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30" yWindow="495" windowWidth="16380" windowHeight="8190" tabRatio="583" activeTab="4"/>
  </bookViews>
  <sheets>
    <sheet name="Voorblad" sheetId="19" r:id="rId1"/>
    <sheet name="Overzicht" sheetId="1" r:id="rId2"/>
    <sheet name="Resultaten" sheetId="13" r:id="rId3"/>
    <sheet name="Massabalans" sheetId="15" r:id="rId4"/>
    <sheet name="Bosbouw" sheetId="2" r:id="rId5"/>
    <sheet name="Bewerking 1" sheetId="3" r:id="rId6"/>
    <sheet name="Bewerking 2" sheetId="4" r:id="rId7"/>
    <sheet name="Productie" sheetId="5" r:id="rId8"/>
    <sheet name="Transport" sheetId="6" r:id="rId9"/>
    <sheet name="Allocatie en resultaat" sheetId="18" r:id="rId10"/>
    <sheet name="DB E" sheetId="7" r:id="rId11"/>
    <sheet name="DB M1" sheetId="8" r:id="rId12"/>
    <sheet name="DB M2" sheetId="9" r:id="rId13"/>
    <sheet name="DB H" sheetId="10" r:id="rId14"/>
    <sheet name="DB T" sheetId="11" r:id="rId15"/>
    <sheet name="GWP" sheetId="12" r:id="rId16"/>
  </sheets>
  <calcPr calcId="145621"/>
</workbook>
</file>

<file path=xl/calcChain.xml><?xml version="1.0" encoding="utf-8"?>
<calcChain xmlns="http://schemas.openxmlformats.org/spreadsheetml/2006/main">
  <c r="H14" i="13" l="1"/>
  <c r="F14" i="13"/>
  <c r="E14" i="13"/>
  <c r="E13" i="13"/>
  <c r="E12" i="13"/>
  <c r="E11" i="13"/>
  <c r="E10" i="13"/>
  <c r="E9" i="13"/>
  <c r="E8" i="13"/>
  <c r="H36" i="15"/>
  <c r="H31" i="15"/>
  <c r="H28" i="15"/>
  <c r="H22" i="15"/>
  <c r="H19" i="15"/>
  <c r="H13" i="15"/>
  <c r="H7" i="15"/>
  <c r="E38" i="18"/>
  <c r="E37" i="18"/>
  <c r="E33" i="18"/>
  <c r="E32" i="18"/>
  <c r="F37" i="18"/>
  <c r="H13" i="13" s="1"/>
  <c r="V41" i="2"/>
  <c r="V42" i="2" s="1"/>
  <c r="K51" i="18"/>
  <c r="V44" i="2"/>
  <c r="J29" i="3"/>
  <c r="J28" i="3"/>
  <c r="J27" i="3"/>
  <c r="J26" i="3"/>
  <c r="J29" i="5"/>
  <c r="J28" i="5"/>
  <c r="J27" i="5"/>
  <c r="J26" i="5"/>
  <c r="J29" i="4"/>
  <c r="J28" i="4"/>
  <c r="J27" i="4"/>
  <c r="J26" i="4"/>
  <c r="N22" i="5"/>
  <c r="M22" i="5"/>
  <c r="L22" i="5"/>
  <c r="N21" i="5"/>
  <c r="M21" i="5"/>
  <c r="L21" i="5"/>
  <c r="N20" i="5"/>
  <c r="M20" i="5"/>
  <c r="L20" i="5"/>
  <c r="N16" i="5"/>
  <c r="M16" i="5"/>
  <c r="L16" i="5"/>
  <c r="N15" i="5"/>
  <c r="M15" i="5"/>
  <c r="L15" i="5"/>
  <c r="N14" i="5"/>
  <c r="M14" i="5"/>
  <c r="L14" i="5"/>
  <c r="N22" i="4"/>
  <c r="M22" i="4"/>
  <c r="L22" i="4"/>
  <c r="N21" i="4"/>
  <c r="M21" i="4"/>
  <c r="L21" i="4"/>
  <c r="N20" i="4"/>
  <c r="M20" i="4"/>
  <c r="L20" i="4"/>
  <c r="N16" i="4"/>
  <c r="M16" i="4"/>
  <c r="L16" i="4"/>
  <c r="N15" i="4"/>
  <c r="M15" i="4"/>
  <c r="L15" i="4"/>
  <c r="L21" i="3"/>
  <c r="M21" i="3"/>
  <c r="N21" i="3"/>
  <c r="L22" i="3"/>
  <c r="M22" i="3"/>
  <c r="N22" i="3"/>
  <c r="N20" i="3"/>
  <c r="M20" i="3"/>
  <c r="L20" i="3"/>
  <c r="N16" i="3"/>
  <c r="M16" i="3"/>
  <c r="L16" i="3"/>
  <c r="N15" i="3"/>
  <c r="M15" i="3"/>
  <c r="L15" i="3"/>
  <c r="N14" i="3"/>
  <c r="M14" i="3"/>
  <c r="L14" i="3"/>
  <c r="L14" i="2"/>
  <c r="M14" i="2"/>
  <c r="N14" i="2"/>
  <c r="L15" i="2"/>
  <c r="M15" i="2"/>
  <c r="N15" i="2"/>
  <c r="L16" i="2"/>
  <c r="M16" i="2"/>
  <c r="N16" i="2"/>
  <c r="F32" i="18"/>
  <c r="H12" i="13" s="1"/>
  <c r="F38" i="18"/>
  <c r="F33" i="18" s="1"/>
  <c r="F30" i="18" s="1"/>
  <c r="F23" i="18" s="1"/>
  <c r="E20" i="18"/>
  <c r="E19" i="18"/>
  <c r="E22" i="18" s="1"/>
  <c r="E13" i="18"/>
  <c r="E12" i="18"/>
  <c r="D16" i="6"/>
  <c r="D21" i="6"/>
  <c r="O23" i="6"/>
  <c r="N23" i="6"/>
  <c r="M23" i="6"/>
  <c r="O13" i="6"/>
  <c r="N13" i="6"/>
  <c r="M13" i="6"/>
  <c r="D11" i="6"/>
  <c r="H13" i="5"/>
  <c r="H11" i="2"/>
  <c r="H13" i="4"/>
  <c r="B2" i="4" s="1"/>
  <c r="H13" i="3"/>
  <c r="B2" i="3" s="1"/>
  <c r="F22" i="3"/>
  <c r="F21" i="3"/>
  <c r="F20" i="3"/>
  <c r="F22" i="5"/>
  <c r="F21" i="5"/>
  <c r="F20" i="5"/>
  <c r="F22" i="4"/>
  <c r="F21" i="4"/>
  <c r="F20" i="4"/>
  <c r="F16" i="3"/>
  <c r="F15" i="3"/>
  <c r="F14" i="3"/>
  <c r="F13" i="3"/>
  <c r="F20" i="18" l="1"/>
  <c r="E23" i="18"/>
  <c r="V45" i="2"/>
  <c r="V46" i="2" s="1"/>
  <c r="L38" i="2" s="1"/>
  <c r="F13" i="18"/>
  <c r="F29" i="18"/>
  <c r="H11" i="13" l="1"/>
  <c r="F22" i="18"/>
  <c r="H10" i="13" s="1"/>
  <c r="H34" i="15"/>
  <c r="P46" i="15"/>
  <c r="P47" i="15" s="1"/>
  <c r="H33" i="15" s="1"/>
  <c r="P25" i="15"/>
  <c r="P21" i="15"/>
  <c r="P10" i="15"/>
  <c r="P35" i="15" s="1"/>
  <c r="P15" i="15" l="1"/>
  <c r="H25" i="15"/>
  <c r="F13" i="13"/>
  <c r="M37" i="18"/>
  <c r="F19" i="18"/>
  <c r="P20" i="15"/>
  <c r="Q20" i="15" s="1"/>
  <c r="P38" i="15"/>
  <c r="P34" i="15"/>
  <c r="P39" i="15"/>
  <c r="P22" i="15"/>
  <c r="P26" i="15" s="1"/>
  <c r="Q21" i="15" l="1"/>
  <c r="Q22" i="15" s="1"/>
  <c r="Q26" i="15" s="1"/>
  <c r="F12" i="18"/>
  <c r="H8" i="13" s="1"/>
  <c r="H9" i="13"/>
  <c r="F12" i="13"/>
  <c r="F11" i="13"/>
  <c r="M29" i="18"/>
  <c r="E23" i="6"/>
  <c r="E18" i="6"/>
  <c r="I2" i="4"/>
  <c r="P29" i="15"/>
  <c r="P30" i="15" s="1"/>
  <c r="P31" i="15" s="1"/>
  <c r="Q34" i="15" s="1"/>
  <c r="Q35" i="15" l="1"/>
  <c r="Q36" i="15" s="1"/>
  <c r="H16" i="15" s="1"/>
  <c r="H10" i="15" l="1"/>
  <c r="F10" i="13"/>
  <c r="F9" i="13"/>
  <c r="M19" i="18"/>
  <c r="E13" i="6"/>
  <c r="I2" i="3"/>
  <c r="N27" i="6"/>
  <c r="M33" i="5"/>
  <c r="M33" i="4"/>
  <c r="M33" i="3"/>
  <c r="F8" i="13" l="1"/>
  <c r="M12" i="18"/>
  <c r="O2" i="2"/>
  <c r="O18" i="6"/>
  <c r="N18" i="6"/>
  <c r="M18" i="6"/>
  <c r="F16" i="5"/>
  <c r="F15" i="5"/>
  <c r="F14" i="5"/>
  <c r="F13" i="5"/>
  <c r="F14" i="4"/>
  <c r="F15" i="4"/>
  <c r="F16" i="4"/>
  <c r="F13" i="4"/>
  <c r="F14" i="2"/>
  <c r="F15" i="2"/>
  <c r="F16" i="2"/>
  <c r="F13" i="2"/>
  <c r="M45" i="2" l="1"/>
  <c r="E5" i="7"/>
  <c r="F5" i="7"/>
  <c r="G5" i="7"/>
  <c r="E6" i="7"/>
  <c r="F6" i="7"/>
  <c r="G6" i="7"/>
  <c r="E7" i="7"/>
  <c r="F7" i="7"/>
  <c r="G7" i="7"/>
  <c r="E8" i="7"/>
  <c r="F8" i="7"/>
  <c r="G8" i="7"/>
  <c r="E10" i="7"/>
  <c r="F10" i="7"/>
  <c r="G10" i="7"/>
  <c r="E11" i="7"/>
  <c r="F11" i="7"/>
  <c r="G11" i="7"/>
  <c r="E13" i="7"/>
  <c r="F13" i="7"/>
  <c r="G13" i="7"/>
  <c r="E14" i="7"/>
  <c r="L14" i="4" s="1"/>
  <c r="F14" i="7"/>
  <c r="M14" i="4" s="1"/>
  <c r="G14" i="7"/>
  <c r="N14" i="4" s="1"/>
  <c r="E15" i="7"/>
  <c r="F15" i="7"/>
  <c r="G15" i="7"/>
  <c r="E16" i="7"/>
  <c r="F16" i="7"/>
  <c r="G16" i="7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O35" i="8"/>
  <c r="P35" i="8"/>
  <c r="Q35" i="8"/>
  <c r="C5" i="9"/>
  <c r="D5" i="9"/>
  <c r="C6" i="9"/>
  <c r="D6" i="9"/>
  <c r="C7" i="9"/>
  <c r="D7" i="9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O35" i="9"/>
  <c r="P35" i="9"/>
  <c r="Q35" i="9"/>
  <c r="B7" i="12"/>
  <c r="B8" i="12"/>
  <c r="B9" i="12"/>
  <c r="B11" i="12"/>
  <c r="B12" i="12"/>
  <c r="B13" i="12"/>
  <c r="M21" i="8"/>
  <c r="E21" i="8" s="1"/>
  <c r="M19" i="8"/>
  <c r="E19" i="8" s="1"/>
  <c r="M17" i="8"/>
  <c r="E17" i="8" s="1"/>
  <c r="M15" i="8"/>
  <c r="E15" i="8" s="1"/>
  <c r="M13" i="8"/>
  <c r="E13" i="8" s="1"/>
  <c r="M11" i="8"/>
  <c r="E11" i="8" s="1"/>
  <c r="M9" i="8"/>
  <c r="E9" i="8" s="1"/>
  <c r="M7" i="8"/>
  <c r="E7" i="8" s="1"/>
  <c r="N45" i="2"/>
  <c r="M22" i="9"/>
  <c r="E22" i="9" s="1"/>
  <c r="M20" i="9"/>
  <c r="E20" i="9" s="1"/>
  <c r="M18" i="9"/>
  <c r="E18" i="9" s="1"/>
  <c r="M16" i="9"/>
  <c r="E16" i="9" s="1"/>
  <c r="M14" i="9"/>
  <c r="E14" i="9" s="1"/>
  <c r="M12" i="9"/>
  <c r="E12" i="9" s="1"/>
  <c r="M10" i="9"/>
  <c r="E10" i="9" s="1"/>
  <c r="M8" i="9"/>
  <c r="E8" i="9" s="1"/>
  <c r="M6" i="9"/>
  <c r="E6" i="9" s="1"/>
  <c r="O27" i="6" l="1"/>
  <c r="N33" i="5"/>
  <c r="N33" i="4"/>
  <c r="N33" i="3"/>
  <c r="M27" i="6"/>
  <c r="L33" i="5"/>
  <c r="L33" i="4"/>
  <c r="L33" i="3"/>
  <c r="L45" i="2"/>
  <c r="M5" i="9"/>
  <c r="E5" i="9" s="1"/>
  <c r="M5" i="8"/>
  <c r="E5" i="8" s="1"/>
  <c r="J14" i="4"/>
  <c r="N13" i="5"/>
  <c r="N13" i="4"/>
  <c r="M13" i="5"/>
  <c r="M13" i="4"/>
  <c r="L13" i="5"/>
  <c r="J13" i="5" s="1"/>
  <c r="L13" i="4"/>
  <c r="J13" i="4" s="1"/>
  <c r="N13" i="3"/>
  <c r="N13" i="2"/>
  <c r="M13" i="3"/>
  <c r="M13" i="2"/>
  <c r="L13" i="3"/>
  <c r="J13" i="3" s="1"/>
  <c r="L13" i="2"/>
  <c r="J13" i="2" s="1"/>
  <c r="B4" i="12"/>
  <c r="M9" i="9"/>
  <c r="E9" i="9" s="1"/>
  <c r="M11" i="9"/>
  <c r="E11" i="9" s="1"/>
  <c r="M13" i="9"/>
  <c r="E13" i="9" s="1"/>
  <c r="M15" i="9"/>
  <c r="E15" i="9" s="1"/>
  <c r="M17" i="9"/>
  <c r="E17" i="9" s="1"/>
  <c r="M19" i="9"/>
  <c r="E19" i="9" s="1"/>
  <c r="M21" i="9"/>
  <c r="E21" i="9" s="1"/>
  <c r="M6" i="8"/>
  <c r="E6" i="8" s="1"/>
  <c r="M8" i="8"/>
  <c r="E8" i="8" s="1"/>
  <c r="M10" i="8"/>
  <c r="E10" i="8" s="1"/>
  <c r="M12" i="8"/>
  <c r="E12" i="8" s="1"/>
  <c r="M14" i="8"/>
  <c r="E14" i="8" s="1"/>
  <c r="M16" i="8"/>
  <c r="E16" i="8" s="1"/>
  <c r="M18" i="8"/>
  <c r="E18" i="8" s="1"/>
  <c r="M20" i="8"/>
  <c r="E20" i="8" s="1"/>
  <c r="M22" i="8"/>
  <c r="E22" i="8" s="1"/>
  <c r="M7" i="9"/>
  <c r="E7" i="9" s="1"/>
  <c r="B6" i="12"/>
  <c r="J41" i="2" l="1"/>
  <c r="J40" i="2"/>
  <c r="J39" i="2"/>
  <c r="J16" i="2"/>
  <c r="J15" i="2"/>
  <c r="J14" i="2"/>
  <c r="O3" i="2" s="1"/>
  <c r="H12" i="18" s="1"/>
  <c r="I12" i="18" s="1"/>
  <c r="G8" i="13" s="1"/>
  <c r="J8" i="13" s="1"/>
  <c r="J38" i="2"/>
  <c r="J20" i="3"/>
  <c r="J14" i="3"/>
  <c r="I3" i="3" s="1"/>
  <c r="H19" i="18" s="1"/>
  <c r="I19" i="18" s="1"/>
  <c r="J15" i="3"/>
  <c r="J16" i="3"/>
  <c r="J21" i="3"/>
  <c r="J22" i="3"/>
  <c r="J15" i="4"/>
  <c r="I3" i="4" s="1"/>
  <c r="H29" i="18" s="1"/>
  <c r="I29" i="18" s="1"/>
  <c r="J16" i="4"/>
  <c r="J20" i="4"/>
  <c r="J22" i="4"/>
  <c r="J21" i="4"/>
  <c r="J14" i="5"/>
  <c r="I3" i="5" s="1"/>
  <c r="H44" i="18" s="1"/>
  <c r="J16" i="5"/>
  <c r="J20" i="5"/>
  <c r="J22" i="5"/>
  <c r="J15" i="5"/>
  <c r="J21" i="5"/>
  <c r="K13" i="6"/>
  <c r="K23" i="6"/>
  <c r="H37" i="18" s="1"/>
  <c r="I37" i="18" s="1"/>
  <c r="K18" i="6"/>
  <c r="H32" i="18" s="1"/>
  <c r="I32" i="18" s="1"/>
  <c r="I44" i="18" l="1"/>
  <c r="G14" i="13" s="1"/>
  <c r="J44" i="18"/>
  <c r="K44" i="18"/>
  <c r="K29" i="18"/>
  <c r="G11" i="13"/>
  <c r="J29" i="18"/>
  <c r="G9" i="13"/>
  <c r="K19" i="18"/>
  <c r="J19" i="18"/>
  <c r="J9" i="13"/>
  <c r="G12" i="13"/>
  <c r="K32" i="18"/>
  <c r="J32" i="18"/>
  <c r="G13" i="13"/>
  <c r="K37" i="18"/>
  <c r="J37" i="18"/>
  <c r="H22" i="18"/>
  <c r="I22" i="18" s="1"/>
  <c r="K3" i="6"/>
  <c r="K12" i="18"/>
  <c r="J12" i="18"/>
  <c r="G10" i="13" l="1"/>
  <c r="K22" i="18"/>
  <c r="K48" i="18" s="1"/>
  <c r="K52" i="18" s="1"/>
  <c r="J22" i="18"/>
  <c r="J48" i="18" s="1"/>
  <c r="J52" i="18" s="1"/>
  <c r="J10" i="13"/>
  <c r="J11" i="13" s="1"/>
  <c r="J12" i="13" s="1"/>
  <c r="J13" i="13" s="1"/>
  <c r="J14" i="13" s="1"/>
  <c r="J17" i="13" s="1"/>
</calcChain>
</file>

<file path=xl/comments1.xml><?xml version="1.0" encoding="utf-8"?>
<comments xmlns="http://schemas.openxmlformats.org/spreadsheetml/2006/main">
  <authors>
    <author/>
  </authors>
  <commentList>
    <comment ref="E13" authorId="0">
      <text>
        <r>
          <rPr>
            <sz val="10"/>
            <rFont val="Arial"/>
            <family val="2"/>
          </rPr>
          <t>0.05 MJ = 0.0014 liter</t>
        </r>
      </text>
    </comment>
    <comment ref="L38" authorId="0">
      <text>
        <r>
          <rPr>
            <sz val="10"/>
            <rFont val="Arial"/>
            <family val="2"/>
          </rPr>
          <t>Als het hout zou achterblijven in het bos, zou 30% van de koolstof (47% van de droge stof) worden vastgelegd in bodem-organische stof.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13" authorId="0">
      <text>
        <r>
          <rPr>
            <sz val="10"/>
            <rFont val="Arial"/>
            <family val="2"/>
          </rPr>
          <t>0.05 MJ = 0.0014 liter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13" authorId="0">
      <text>
        <r>
          <rPr>
            <sz val="10"/>
            <rFont val="Arial"/>
            <family val="2"/>
          </rPr>
          <t>0.05 MJ = 0.0014 liter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K16" authorId="0">
      <text>
        <r>
          <rPr>
            <sz val="10"/>
            <rFont val="Arial"/>
            <family val="2"/>
          </rPr>
          <t>Standaard IPCC emissiefactor per kg N</t>
        </r>
      </text>
    </comment>
    <comment ref="K17" authorId="0">
      <text>
        <r>
          <rPr>
            <sz val="10"/>
            <rFont val="Arial"/>
            <family val="2"/>
          </rPr>
          <t>Standaard IPCC emissiefactor per kg N</t>
        </r>
      </text>
    </comment>
    <comment ref="O35" authorId="0">
      <text>
        <r>
          <rPr>
            <sz val="10"/>
            <rFont val="Arial"/>
            <family val="2"/>
          </rPr>
          <t>Molecuulgewicht N2O gedeeld door molecuulgewicht N</t>
        </r>
      </text>
    </comment>
    <comment ref="P35" authorId="0">
      <text>
        <r>
          <rPr>
            <sz val="10"/>
            <rFont val="Arial"/>
            <family val="2"/>
          </rPr>
          <t>IPCC N2O/N van verdamping is 1%</t>
        </r>
      </text>
    </comment>
    <comment ref="Q35" authorId="0">
      <text>
        <r>
          <rPr>
            <sz val="10"/>
            <rFont val="Arial"/>
            <family val="2"/>
          </rPr>
          <t>IPCC N2O/N van uitspoeling is 0.75%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K16" authorId="0">
      <text>
        <r>
          <rPr>
            <sz val="10"/>
            <rFont val="Arial"/>
            <family val="2"/>
          </rPr>
          <t>Standaard IPCC emissiefactor per kg N</t>
        </r>
      </text>
    </comment>
    <comment ref="K17" authorId="0">
      <text>
        <r>
          <rPr>
            <sz val="10"/>
            <rFont val="Arial"/>
            <family val="2"/>
          </rPr>
          <t>Standaard IPCC emissiefactor per kg N</t>
        </r>
      </text>
    </comment>
    <comment ref="O35" authorId="0">
      <text>
        <r>
          <rPr>
            <sz val="10"/>
            <rFont val="Arial"/>
            <family val="2"/>
          </rPr>
          <t>Molecuulgewicht N2O gedeeld door molecuulgewicht N</t>
        </r>
      </text>
    </comment>
    <comment ref="P35" authorId="0">
      <text>
        <r>
          <rPr>
            <sz val="10"/>
            <rFont val="Arial"/>
            <family val="2"/>
          </rPr>
          <t>IPCC N2O/N van verdamping is 1%</t>
        </r>
      </text>
    </comment>
    <comment ref="Q35" authorId="0">
      <text>
        <r>
          <rPr>
            <sz val="10"/>
            <rFont val="Arial"/>
            <family val="2"/>
          </rPr>
          <t>IPCC N2O/N van uitspoeling is 0.75%</t>
        </r>
      </text>
    </comment>
  </commentList>
</comments>
</file>

<file path=xl/sharedStrings.xml><?xml version="1.0" encoding="utf-8"?>
<sst xmlns="http://schemas.openxmlformats.org/spreadsheetml/2006/main" count="660" uniqueCount="363">
  <si>
    <t>Ketenschakel</t>
  </si>
  <si>
    <t>Proces</t>
  </si>
  <si>
    <t>kg CO2-eq / kg methanol</t>
  </si>
  <si>
    <t xml:space="preserve">Teelt </t>
  </si>
  <si>
    <t>Bosbouw</t>
  </si>
  <si>
    <t>Bewerking 1</t>
  </si>
  <si>
    <t>Chippen</t>
  </si>
  <si>
    <t xml:space="preserve">Transport </t>
  </si>
  <si>
    <t>Bewerking 2</t>
  </si>
  <si>
    <t xml:space="preserve">Productie </t>
  </si>
  <si>
    <t>Massabalans (kg output / kg eindproduct)</t>
  </si>
  <si>
    <t>kg hout / kg methanol</t>
  </si>
  <si>
    <t>Totaal (emissie factor per kg tussenproduct)</t>
  </si>
  <si>
    <t>kg CO2 equivalent / kg hout</t>
  </si>
  <si>
    <t>Emissies per eenheid input / activiteit</t>
  </si>
  <si>
    <t>Energie</t>
  </si>
  <si>
    <t>Eenheid</t>
  </si>
  <si>
    <t>CO2 (LULUCF)</t>
  </si>
  <si>
    <t>CO2</t>
  </si>
  <si>
    <t>CH4</t>
  </si>
  <si>
    <t>N2O</t>
  </si>
  <si>
    <t>Hoeveelheid</t>
  </si>
  <si>
    <t>Opmerkingen</t>
  </si>
  <si>
    <t>Diesel</t>
  </si>
  <si>
    <t>Energiegebruik voor dunnen</t>
  </si>
  <si>
    <t>Kunstmest (droog klimaat)</t>
  </si>
  <si>
    <t>Kunstmest (nat klimaat / irrigatie)</t>
  </si>
  <si>
    <t>Hulpstoffen (overig)</t>
  </si>
  <si>
    <t>LULUCF emissies</t>
  </si>
  <si>
    <t>kg droog hout</t>
  </si>
  <si>
    <t>Correctie voor standaard gebruik van dunhout</t>
  </si>
  <si>
    <t>kg chips / kg methanol</t>
  </si>
  <si>
    <t>kg CO2 equivalent / kg chips</t>
  </si>
  <si>
    <t>Energie chippen</t>
  </si>
  <si>
    <t>Process emissies</t>
  </si>
  <si>
    <t>Geen procesemissies</t>
  </si>
  <si>
    <t>kg pellets / kg methanol</t>
  </si>
  <si>
    <t>kg CO2 equivalent / kg pellets</t>
  </si>
  <si>
    <t>Energie drogen &amp; pelletiseren</t>
  </si>
  <si>
    <t>Electricity Canada</t>
  </si>
  <si>
    <t>Natural gas (marginal supply)</t>
  </si>
  <si>
    <t>kg methanol / kg methanol</t>
  </si>
  <si>
    <t>kg CO2 equivalent / kg methanol</t>
  </si>
  <si>
    <t>Energie syngas &amp; methanol productie</t>
  </si>
  <si>
    <t>Deze productiestap vergt geen externe energie input</t>
  </si>
  <si>
    <t xml:space="preserve">Inclusief de chips voor energie in droogstap </t>
  </si>
  <si>
    <t>Truck (40 ton) for chips (and similar size dry product) (Diesel)</t>
  </si>
  <si>
    <t>Truck (40 ton) for pellets (Diesel)</t>
  </si>
  <si>
    <t>Standaard data voor energiedragers</t>
  </si>
  <si>
    <t>Emissies in gram  per eenheid,  verbranding en productieketen</t>
  </si>
  <si>
    <t>Emissies in gram per MJ,  verbranding en productieketen</t>
  </si>
  <si>
    <t>MJ in/uit</t>
  </si>
  <si>
    <t>Energiedrager</t>
  </si>
  <si>
    <t>Dichtheid (kg / eenheid)</t>
  </si>
  <si>
    <t>LHV (MJ/kg)</t>
  </si>
  <si>
    <t>[overig...]</t>
  </si>
  <si>
    <t>MJ fossil/MJ</t>
  </si>
  <si>
    <t>liter</t>
  </si>
  <si>
    <t>Gasoline</t>
  </si>
  <si>
    <t>Fuel oil (1.8% S)</t>
  </si>
  <si>
    <t>Fuel oil (3.5% S)</t>
  </si>
  <si>
    <t>Ethanol</t>
  </si>
  <si>
    <t>Methanol</t>
  </si>
  <si>
    <t>MJ</t>
  </si>
  <si>
    <t>Methane</t>
  </si>
  <si>
    <t>LPG</t>
  </si>
  <si>
    <t>Electricity EU mix (10-20 kV)</t>
  </si>
  <si>
    <t>kWh</t>
  </si>
  <si>
    <t>Electricity EU mix (0.4 kV)</t>
  </si>
  <si>
    <t>Standaard data voor kunstmest (nat klimaat)</t>
  </si>
  <si>
    <t>Emissies in gram per eenheid, totaal</t>
  </si>
  <si>
    <t>Emissies in gram per eenheid, productieketen</t>
  </si>
  <si>
    <t>Emissies in gram per eenheid, toepassing</t>
  </si>
  <si>
    <t>Stikstof (N) balans – nat klimaat / irrigatie</t>
  </si>
  <si>
    <t>Hulpstof</t>
  </si>
  <si>
    <t>N2O direct</t>
  </si>
  <si>
    <t>Verdamping</t>
  </si>
  <si>
    <t xml:space="preserve">Uitspoeling </t>
  </si>
  <si>
    <t>Gewasbeschikbaar</t>
  </si>
  <si>
    <t>Synthetic N-fertiliser (kg N)</t>
  </si>
  <si>
    <t>kg N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</si>
  <si>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-fertiliser (kg 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)</t>
    </r>
  </si>
  <si>
    <t>kg P2O5</t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</si>
  <si>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O-fertiliser (kg 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O)</t>
    </r>
  </si>
  <si>
    <t>kg K2O</t>
  </si>
  <si>
    <t>CaO-fertiliser (calculated as kg CaO)</t>
  </si>
  <si>
    <t>kg CaO</t>
  </si>
  <si>
    <r>
      <t>CaO-fertiliser (calculated as kg CaCO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</si>
  <si>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kg CaCO3</t>
  </si>
  <si>
    <t>Ammonium nitrate (AN)</t>
  </si>
  <si>
    <t>Ammonium sulphate (AS)</t>
  </si>
  <si>
    <t>Ammonium nitrate sulphate (ANS)</t>
  </si>
  <si>
    <t>Anhydrous ammonia</t>
  </si>
  <si>
    <t>Calcium ammonium nitrate (CAN)</t>
  </si>
  <si>
    <t>Calcium nitrate (CN)</t>
  </si>
  <si>
    <t>Urea</t>
  </si>
  <si>
    <t>Urea ammonium nitrate (UAN)</t>
  </si>
  <si>
    <t xml:space="preserve">Triple superphosphate (TSP) </t>
  </si>
  <si>
    <r>
      <t>Rock phosphate 21%P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>O</t>
    </r>
    <r>
      <rPr>
        <vertAlign val="subscript"/>
        <sz val="8"/>
        <rFont val="Trebuchet MS"/>
        <family val="2"/>
      </rPr>
      <t>5</t>
    </r>
    <r>
      <rPr>
        <sz val="8"/>
        <rFont val="Trebuchet MS"/>
        <family val="2"/>
      </rPr>
      <t xml:space="preserve"> 23%SO</t>
    </r>
    <r>
      <rPr>
        <vertAlign val="subscript"/>
        <sz val="8"/>
        <rFont val="Trebuchet MS"/>
        <family val="2"/>
      </rPr>
      <t>3</t>
    </r>
  </si>
  <si>
    <r>
      <t>Mono ammonium phosphate (MAP) 11%N 52%P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>O</t>
    </r>
    <r>
      <rPr>
        <vertAlign val="subscript"/>
        <sz val="8"/>
        <rFont val="Trebuchet MS"/>
        <family val="2"/>
      </rPr>
      <t>5</t>
    </r>
  </si>
  <si>
    <t>Di-Ammonium-Phosphate (DAP) 18%N 46%P2O5</t>
  </si>
  <si>
    <t>Muriate of Potash (MOP) 60%K2O</t>
  </si>
  <si>
    <t>Conversiefactor</t>
  </si>
  <si>
    <t>Standaard data voor kunstmest (droog klimaat)</t>
  </si>
  <si>
    <t>Stikstof (N) balans – droog klimaat</t>
  </si>
  <si>
    <t>Standaard data voor hulpstoffen (chemicalien)</t>
  </si>
  <si>
    <t>Acetic acid</t>
  </si>
  <si>
    <t xml:space="preserve">kg  </t>
  </si>
  <si>
    <t>Ammonia</t>
  </si>
  <si>
    <t>alpha-amylase</t>
  </si>
  <si>
    <t>Antioxidant BHT (butylated hydroxytoluene)</t>
  </si>
  <si>
    <t>Citric acid</t>
  </si>
  <si>
    <t>gluco-amylase</t>
  </si>
  <si>
    <t>Hexane</t>
  </si>
  <si>
    <t>n-Hexane</t>
  </si>
  <si>
    <t>Fuller's earth</t>
  </si>
  <si>
    <t>Hydrochloric acid (HCl)</t>
  </si>
  <si>
    <t>Hydrogen (for HVO)</t>
  </si>
  <si>
    <t>Isobutene</t>
  </si>
  <si>
    <t>Limestone</t>
  </si>
  <si>
    <t>Lubricants</t>
  </si>
  <si>
    <t>Nitrogen</t>
  </si>
  <si>
    <r>
      <t>Phosphoric acid (H</t>
    </r>
    <r>
      <rPr>
        <vertAlign val="subscript"/>
        <sz val="8"/>
        <rFont val="Trebuchet MS"/>
        <family val="2"/>
      </rPr>
      <t>3</t>
    </r>
    <r>
      <rPr>
        <sz val="8"/>
        <rFont val="Trebuchet MS"/>
        <family val="2"/>
      </rPr>
      <t>PO</t>
    </r>
    <r>
      <rPr>
        <vertAlign val="subscript"/>
        <sz val="8"/>
        <rFont val="Trebuchet MS"/>
        <family val="2"/>
      </rPr>
      <t>4</t>
    </r>
    <r>
      <rPr>
        <sz val="8"/>
        <rFont val="Trebuchet MS"/>
        <family val="2"/>
      </rPr>
      <t>)</t>
    </r>
  </si>
  <si>
    <t>Potassium hydroxide (KOH)</t>
  </si>
  <si>
    <t>Pure CaO for processes</t>
  </si>
  <si>
    <r>
      <t>Sodium carbonate (Na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>CO</t>
    </r>
    <r>
      <rPr>
        <vertAlign val="subscript"/>
        <sz val="8"/>
        <rFont val="Trebuchet MS"/>
        <family val="2"/>
      </rPr>
      <t>3</t>
    </r>
    <r>
      <rPr>
        <sz val="8"/>
        <rFont val="Trebuchet MS"/>
        <family val="2"/>
      </rPr>
      <t>)</t>
    </r>
  </si>
  <si>
    <t>Sodium hydroxide (NaOH)</t>
  </si>
  <si>
    <t>Sodium methylate (Na(CH3O))</t>
  </si>
  <si>
    <t>Sodium silicate (37% in water)</t>
  </si>
  <si>
    <r>
      <t>Sulphuric acid (H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>SO</t>
    </r>
    <r>
      <rPr>
        <vertAlign val="subscript"/>
        <sz val="8"/>
        <rFont val="Trebuchet MS"/>
        <family val="2"/>
      </rPr>
      <t>4</t>
    </r>
    <r>
      <rPr>
        <sz val="8"/>
        <rFont val="Trebuchet MS"/>
        <family val="2"/>
      </rPr>
      <t>)</t>
    </r>
  </si>
  <si>
    <t>Zeolith</t>
  </si>
  <si>
    <t>Sodium methylate</t>
  </si>
  <si>
    <t>Pesticides</t>
  </si>
  <si>
    <t>Seeds- wheat</t>
  </si>
  <si>
    <t>Seeds- sugarbeet</t>
  </si>
  <si>
    <t>Standaard data voor transportmiddelen</t>
  </si>
  <si>
    <t>Emissies in gram  per eenheid, productieketen en verbranding</t>
  </si>
  <si>
    <t>Tranportmiddel</t>
  </si>
  <si>
    <t>Truck (40 ton) for dry product (Diesel)</t>
  </si>
  <si>
    <t>tonkm</t>
  </si>
  <si>
    <t>Truck (40 ton) for liquids (Diesel)</t>
  </si>
  <si>
    <t>Truck (40 ton) for manure (Diesel)</t>
  </si>
  <si>
    <t>Truck (40 ton) for biowaste (Diesel)</t>
  </si>
  <si>
    <t>Truck (40 ton) for sugar cane transport</t>
  </si>
  <si>
    <t>Truck (20 ton) for Jatropha seed transport (Diesel)</t>
  </si>
  <si>
    <t>Truck (12 ton) for FFB transport (Diesel)</t>
  </si>
  <si>
    <t>Dumpster truck MB2213 for filter mud transport</t>
  </si>
  <si>
    <t>Tanker truck MB2318 for vinasse transport</t>
  </si>
  <si>
    <t>Tanker truck MB2318 for cane seed transport</t>
  </si>
  <si>
    <t>Tanker truck with water cannons for vinasse transport</t>
  </si>
  <si>
    <t>Ocean bulk carrier Panamax (Fuel oil)</t>
  </si>
  <si>
    <t>Inland bulk carrier 8.8 kt (diesel)</t>
  </si>
  <si>
    <t>Inland ship for oil transport, 1.2 kt (diesel)</t>
  </si>
  <si>
    <t xml:space="preserve">Chemical tanker for vegetable oil transport </t>
  </si>
  <si>
    <t>Product tanker 22.56 kt (Fuel oil)</t>
  </si>
  <si>
    <t>Product tanker 15 kt (Fuel oil)</t>
  </si>
  <si>
    <t>Product tanker 12.617 kt (Fuel oil)</t>
  </si>
  <si>
    <r>
      <t>Bulk Carrier "Handysize" - wood chips (Fuel oil) with bulk density 220 kg/m</t>
    </r>
    <r>
      <rPr>
        <vertAlign val="superscript"/>
        <sz val="8"/>
        <color indexed="8"/>
        <rFont val="Trebuchet MS"/>
        <family val="2"/>
      </rPr>
      <t>3</t>
    </r>
  </si>
  <si>
    <r>
      <t>Bulk Carrier "Supramax" - wood chips (Fuel oil) with bulk density 220 kg/m</t>
    </r>
    <r>
      <rPr>
        <vertAlign val="superscript"/>
        <sz val="8"/>
        <color indexed="8"/>
        <rFont val="Trebuchet MS"/>
        <family val="2"/>
      </rPr>
      <t>3</t>
    </r>
  </si>
  <si>
    <r>
      <t>Bulk Carrier "Handysize" - pellets (Fuel oil) with bulk density 650 kg/m</t>
    </r>
    <r>
      <rPr>
        <vertAlign val="superscript"/>
        <sz val="8"/>
        <color indexed="8"/>
        <rFont val="Trebuchet MS"/>
        <family val="2"/>
      </rPr>
      <t>3</t>
    </r>
  </si>
  <si>
    <r>
      <t>Bulk Carrier "Supramax" - pellets (Fuel oil) with bulk density 650 kg/m</t>
    </r>
    <r>
      <rPr>
        <vertAlign val="superscript"/>
        <sz val="8"/>
        <color indexed="8"/>
        <rFont val="Trebuchet MS"/>
        <family val="2"/>
      </rPr>
      <t>3</t>
    </r>
  </si>
  <si>
    <r>
      <t>Bulk Carrier "Handysize" - agri-residues with low bulk density (125 kg/m</t>
    </r>
    <r>
      <rPr>
        <vertAlign val="superscript"/>
        <sz val="8"/>
        <rFont val="Trebuchet MS"/>
        <family val="2"/>
      </rPr>
      <t>3</t>
    </r>
    <r>
      <rPr>
        <sz val="8"/>
        <rFont val="Trebuchet MS"/>
        <family val="2"/>
      </rPr>
      <t>)</t>
    </r>
  </si>
  <si>
    <r>
      <t>Bulk Carrier "Supramax" - agri-residues with low bulk density (125 kg/m</t>
    </r>
    <r>
      <rPr>
        <vertAlign val="superscript"/>
        <sz val="8"/>
        <rFont val="Trebuchet MS"/>
        <family val="2"/>
      </rPr>
      <t>3</t>
    </r>
    <r>
      <rPr>
        <sz val="8"/>
        <rFont val="Trebuchet MS"/>
        <family val="2"/>
      </rPr>
      <t>)</t>
    </r>
  </si>
  <si>
    <r>
      <t>Bulk Carrier "Handysize" - agri-residues with high bulk density (300 kg/m</t>
    </r>
    <r>
      <rPr>
        <vertAlign val="superscript"/>
        <sz val="8"/>
        <rFont val="Trebuchet MS"/>
        <family val="2"/>
      </rPr>
      <t>3</t>
    </r>
    <r>
      <rPr>
        <sz val="8"/>
        <rFont val="Trebuchet MS"/>
        <family val="2"/>
      </rPr>
      <t>)</t>
    </r>
  </si>
  <si>
    <r>
      <t>Bulk Carrier "Supramax" - agri-residues with high bulk density (300 kg/m</t>
    </r>
    <r>
      <rPr>
        <vertAlign val="superscript"/>
        <sz val="8"/>
        <rFont val="Trebuchet MS"/>
        <family val="2"/>
      </rPr>
      <t>3</t>
    </r>
    <r>
      <rPr>
        <sz val="8"/>
        <rFont val="Trebuchet MS"/>
        <family val="2"/>
      </rPr>
      <t>)</t>
    </r>
  </si>
  <si>
    <t>Bulk Carrier "Handysize" - PKM</t>
  </si>
  <si>
    <t>Bulk Carrier "Supramax" - PKM</t>
  </si>
  <si>
    <t>Local (10 km) pipeline</t>
  </si>
  <si>
    <t>Freight train USA (diesel)</t>
  </si>
  <si>
    <t>Rail (Electric, MV)</t>
  </si>
  <si>
    <t>IPCC 2007 (Fourth assessment report)</t>
  </si>
  <si>
    <t>Broeikasgas</t>
  </si>
  <si>
    <t xml:space="preserve">kg CO2-equivalent / kg </t>
  </si>
  <si>
    <t>CO2 (fossiel)</t>
  </si>
  <si>
    <t>CO2 (biotisch)</t>
  </si>
  <si>
    <t>CH4 (fossiel)</t>
  </si>
  <si>
    <t>CH4 (biotisch)</t>
  </si>
  <si>
    <t>Methane biogenic</t>
  </si>
  <si>
    <t xml:space="preserve">Methane fossil </t>
  </si>
  <si>
    <t>1,1,1-trichloroethane</t>
  </si>
  <si>
    <t>Carbon dioxide</t>
  </si>
  <si>
    <t>CFC-11</t>
  </si>
  <si>
    <t>CFC-113</t>
  </si>
  <si>
    <t>CFC-114</t>
  </si>
  <si>
    <t>CFC-115</t>
  </si>
  <si>
    <t>CFC-12</t>
  </si>
  <si>
    <t>CFC-13</t>
  </si>
  <si>
    <t>Dichloromethane</t>
  </si>
  <si>
    <t>Dinitrogen oxide</t>
  </si>
  <si>
    <t>HALON-1211</t>
  </si>
  <si>
    <t>HALON-1301</t>
  </si>
  <si>
    <t>HALON-2402</t>
  </si>
  <si>
    <t>HCFC-123</t>
  </si>
  <si>
    <t>HCFC-124</t>
  </si>
  <si>
    <t>HCFC-141b</t>
  </si>
  <si>
    <t>HCFC-142b</t>
  </si>
  <si>
    <t xml:space="preserve">HCFC-22 </t>
  </si>
  <si>
    <t>HCFC-225ca</t>
  </si>
  <si>
    <t>HCFC-225cb</t>
  </si>
  <si>
    <t>HFC-125</t>
  </si>
  <si>
    <t>HFC-134a</t>
  </si>
  <si>
    <t>HFC-143a</t>
  </si>
  <si>
    <t>HFC-152a</t>
  </si>
  <si>
    <t>HFC-227ea</t>
  </si>
  <si>
    <t>HFC-23</t>
  </si>
  <si>
    <t>HFC-236fa</t>
  </si>
  <si>
    <t>HFC-32</t>
  </si>
  <si>
    <t>HFC-43-10mee</t>
  </si>
  <si>
    <t>Methyl Chloride</t>
  </si>
  <si>
    <t>methylbromide</t>
  </si>
  <si>
    <t>Perfluorobutane</t>
  </si>
  <si>
    <t>Perfluorocyclobutane</t>
  </si>
  <si>
    <t>Perfluoroethane</t>
  </si>
  <si>
    <t>Perfluorohexane</t>
  </si>
  <si>
    <t>Perfluoromethane</t>
  </si>
  <si>
    <t>Perfluoropropane</t>
  </si>
  <si>
    <t>Sulphur hexafluoride</t>
  </si>
  <si>
    <t>Tetrachloromethane</t>
  </si>
  <si>
    <t>Productie</t>
  </si>
  <si>
    <t>Transport</t>
  </si>
  <si>
    <t>Transport over weg</t>
  </si>
  <si>
    <t xml:space="preserve">Allocatie basis : </t>
  </si>
  <si>
    <t>Procesboom</t>
  </si>
  <si>
    <t>Directe emissies</t>
  </si>
  <si>
    <t xml:space="preserve"> (waarden per kg product van betreffende schakel)</t>
  </si>
  <si>
    <t>Vul in deze kolommen uw gegevens in</t>
  </si>
  <si>
    <t>Bosbouw en dunnen</t>
  </si>
  <si>
    <t>Elektriciteit</t>
  </si>
  <si>
    <t>Drogen en pelletsieren</t>
  </si>
  <si>
    <t>aardgas</t>
  </si>
  <si>
    <t>chips</t>
  </si>
  <si>
    <t>Pellet transport zeeschip</t>
  </si>
  <si>
    <t>HFO</t>
  </si>
  <si>
    <t>aardgas/stoom</t>
  </si>
  <si>
    <t>hulpstoffen</t>
  </si>
  <si>
    <t>50 km</t>
  </si>
  <si>
    <t>150 km</t>
  </si>
  <si>
    <t>5000 km</t>
  </si>
  <si>
    <t>Bosbouwschakel</t>
  </si>
  <si>
    <t>Omdat deze keten dunningshout gebruikt, wordt geen van de activiteiten die met verdere bosbouw te maken hebben (planten, rooien, et cetera) hier meegerekend</t>
  </si>
  <si>
    <t>Pellet transport over weg</t>
  </si>
  <si>
    <t>Vergassing en methanol productie</t>
  </si>
  <si>
    <t>Invulbare procesparameters ethanolproductie</t>
  </si>
  <si>
    <t>Rendement</t>
  </si>
  <si>
    <t>Vochtgehalte hout</t>
  </si>
  <si>
    <t>kg chips /kg methanol</t>
  </si>
  <si>
    <t>kg pellets /kg methanol</t>
  </si>
  <si>
    <t>kg/kg methanol</t>
  </si>
  <si>
    <t>kg dunningshout /kg methanol</t>
  </si>
  <si>
    <t>Hout nodig voor drogen:</t>
  </si>
  <si>
    <t>vochtgehalte vers hout</t>
  </si>
  <si>
    <t>vochtgehalte na drogen</t>
  </si>
  <si>
    <t>vochtgehalte na pelletiseren</t>
  </si>
  <si>
    <t>Stookwaarde nat hout</t>
  </si>
  <si>
    <t xml:space="preserve">Bij LHV d.s. = </t>
  </si>
  <si>
    <t>spec warmtevraag per ton H2O verdampt (GJ/ton)</t>
  </si>
  <si>
    <t>H2O verwijdering</t>
  </si>
  <si>
    <t>-  aanhangend vocht/kg droog hout</t>
  </si>
  <si>
    <t>a) vers</t>
  </si>
  <si>
    <t>b) gedroogd</t>
  </si>
  <si>
    <t>c) afgevoerd</t>
  </si>
  <si>
    <t>Spec. warmtegebruik</t>
  </si>
  <si>
    <t>GJ/ton vocht</t>
  </si>
  <si>
    <t>GJ/ton nat hout</t>
  </si>
  <si>
    <t>Hoeveel hout nodig voor drogen</t>
  </si>
  <si>
    <t>ton n.s./ton d.s.</t>
  </si>
  <si>
    <t>ton d.s./ton d.s.</t>
  </si>
  <si>
    <t>als input = 100% dan is output</t>
  </si>
  <si>
    <t xml:space="preserve">Ingaand nat = </t>
  </si>
  <si>
    <t>-  droge stof</t>
  </si>
  <si>
    <t>-  vocht</t>
  </si>
  <si>
    <t>kg H2O per ton chips</t>
  </si>
  <si>
    <t>voor</t>
  </si>
  <si>
    <t>na</t>
  </si>
  <si>
    <t>Hout drogen</t>
  </si>
  <si>
    <t>Methanol uit hout</t>
  </si>
  <si>
    <t>stookwaarde pellets</t>
  </si>
  <si>
    <t>-  vochtgehalte</t>
  </si>
  <si>
    <t>-  stookwaarde (GJ/ton)</t>
  </si>
  <si>
    <t>stookwaarde methanol (GJ/ton)</t>
  </si>
  <si>
    <t>Invulbare procesparameters</t>
  </si>
  <si>
    <t>Massabalans</t>
  </si>
  <si>
    <t>Karakterisatiefactoren</t>
  </si>
  <si>
    <t>Sulphuric acid (H2SO4)</t>
  </si>
  <si>
    <t>Chips transport over weg</t>
  </si>
  <si>
    <t>Afstand</t>
  </si>
  <si>
    <t>X</t>
  </si>
  <si>
    <t>economisch</t>
  </si>
  <si>
    <t>Achtergrondberekeningen</t>
  </si>
  <si>
    <t>Hoeveel-</t>
  </si>
  <si>
    <t>heid (kg)</t>
  </si>
  <si>
    <t>(km)</t>
  </si>
  <si>
    <t>allocatie</t>
  </si>
  <si>
    <t>geen</t>
  </si>
  <si>
    <t>economische</t>
  </si>
  <si>
    <t>energetische</t>
  </si>
  <si>
    <t>economische allocatiefactor</t>
  </si>
  <si>
    <t>energetische allocatiefactor</t>
  </si>
  <si>
    <t>Resultaat</t>
  </si>
  <si>
    <t>kg CO2/kg methanol</t>
  </si>
  <si>
    <t>allocatiefactor</t>
  </si>
  <si>
    <t>kg CO2-eq/kg methanol</t>
  </si>
  <si>
    <t>deze</t>
  </si>
  <si>
    <t>schakel</t>
  </si>
  <si>
    <t>Allocatie en resultaat</t>
  </si>
  <si>
    <t xml:space="preserve">Vermindering bodemorganische stof, klimaat = </t>
  </si>
  <si>
    <t>Gemiddeld vastgelegd in humus over 100 jaar</t>
  </si>
  <si>
    <t>Boreaal, droog</t>
  </si>
  <si>
    <t>Boreaal, nat</t>
  </si>
  <si>
    <t>Gematigd, droog</t>
  </si>
  <si>
    <t>Gematigd, nat</t>
  </si>
  <si>
    <t>Subtropisch, droog</t>
  </si>
  <si>
    <t>Subtropisch, nat</t>
  </si>
  <si>
    <t>Tropisch, montaan, nat</t>
  </si>
  <si>
    <t>Tropisch, montaan, droog</t>
  </si>
  <si>
    <t>Tropisch, droog</t>
  </si>
  <si>
    <t>Tropisch, nat</t>
  </si>
  <si>
    <t>Tropisch regenwoud</t>
  </si>
  <si>
    <t xml:space="preserve">g CO2-eq / kg </t>
  </si>
  <si>
    <t>tussenproduct</t>
  </si>
  <si>
    <t>eindproduct</t>
  </si>
  <si>
    <t>Bulk Carrier "Handysize" - pellets (Fuel oil) with bulk density 650 kg/m3</t>
  </si>
  <si>
    <t>C-gehalte</t>
  </si>
  <si>
    <t>kg C</t>
  </si>
  <si>
    <t>Overblijvend</t>
  </si>
  <si>
    <t>-  percentueel</t>
  </si>
  <si>
    <t>-  kg C</t>
  </si>
  <si>
    <t>kg CO2/</t>
  </si>
  <si>
    <t>kg tussen</t>
  </si>
  <si>
    <t>product</t>
  </si>
  <si>
    <t>overall</t>
  </si>
  <si>
    <t>Massa factor, kg / kg methanol</t>
  </si>
  <si>
    <t>Allocatie-factor</t>
  </si>
  <si>
    <r>
      <t>CO</t>
    </r>
    <r>
      <rPr>
        <b/>
        <vertAlign val="subscript"/>
        <sz val="10"/>
        <color indexed="9"/>
        <rFont val="Trebuchet MS"/>
        <family val="2"/>
      </rPr>
      <t>2</t>
    </r>
    <r>
      <rPr>
        <b/>
        <sz val="10"/>
        <color indexed="9"/>
        <rFont val="Trebuchet MS"/>
        <family val="2"/>
      </rPr>
      <t xml:space="preserve"> waarde </t>
    </r>
  </si>
  <si>
    <r>
      <t>kg CO</t>
    </r>
    <r>
      <rPr>
        <b/>
        <vertAlign val="subscript"/>
        <sz val="10"/>
        <color indexed="9"/>
        <rFont val="Trebuchet MS"/>
        <family val="2"/>
      </rPr>
      <t>2</t>
    </r>
    <r>
      <rPr>
        <b/>
        <sz val="10"/>
        <color indexed="9"/>
        <rFont val="Trebuchet MS"/>
        <family val="2"/>
      </rPr>
      <t>-eq / kg methanol</t>
    </r>
  </si>
  <si>
    <r>
      <t>CO</t>
    </r>
    <r>
      <rPr>
        <b/>
        <vertAlign val="subscript"/>
        <sz val="10"/>
        <rFont val="Trebuchet MS"/>
        <family val="2"/>
      </rPr>
      <t>2</t>
    </r>
    <r>
      <rPr>
        <b/>
        <sz val="10"/>
        <rFont val="Trebuchet MS"/>
        <family val="2"/>
      </rPr>
      <t xml:space="preserve"> waarde (cumulatief), kg CO</t>
    </r>
    <r>
      <rPr>
        <b/>
        <vertAlign val="subscript"/>
        <sz val="10"/>
        <rFont val="Trebuchet MS"/>
        <family val="2"/>
      </rPr>
      <t>2</t>
    </r>
    <r>
      <rPr>
        <b/>
        <sz val="10"/>
        <rFont val="Trebuchet MS"/>
        <family val="2"/>
      </rPr>
      <t>-eq / kg methanol</t>
    </r>
  </si>
  <si>
    <r>
      <t>Ongealloceerde emissie kg CO</t>
    </r>
    <r>
      <rPr>
        <b/>
        <vertAlign val="subscript"/>
        <sz val="10"/>
        <rFont val="Trebuchet MS"/>
        <family val="2"/>
      </rPr>
      <t>2</t>
    </r>
    <r>
      <rPr>
        <b/>
        <sz val="10"/>
        <rFont val="Trebuchet MS"/>
        <family val="2"/>
      </rPr>
      <t>-eq / kg methanol</t>
    </r>
  </si>
  <si>
    <t>Toelichting</t>
  </si>
  <si>
    <t>De gehanteerde ketenstructuur of procesboom is al ingevoerd, zie ook hiernaast</t>
  </si>
  <si>
    <t>De structuur van de spreadsheet volgt de beschrijving in de handleiding CO2-waarde methodiek:</t>
  </si>
  <si>
    <t>-  U bepaalt eerst in het werkblad 'massabalans' de massabalans over de keten</t>
  </si>
  <si>
    <r>
      <rPr>
        <sz val="8"/>
        <color theme="1" tint="0.499984740745262"/>
        <rFont val="Trebuchet MS"/>
        <family val="2"/>
      </rPr>
      <t>U kunt volstaan met het invullen van de cellen met de cellen in kolom E met de in</t>
    </r>
    <r>
      <rPr>
        <sz val="8"/>
        <rFont val="Trebuchet MS"/>
        <family val="2"/>
      </rPr>
      <t xml:space="preserve"> </t>
    </r>
    <r>
      <rPr>
        <b/>
        <sz val="8"/>
        <color rgb="FFFF0000"/>
        <rFont val="Trebuchet MS"/>
        <family val="2"/>
      </rPr>
      <t>vet en rood</t>
    </r>
    <r>
      <rPr>
        <sz val="8"/>
        <color theme="1" tint="0.499984740745262"/>
        <rFont val="Trebuchet MS"/>
        <family val="2"/>
      </rPr>
      <t xml:space="preserve"> opgemaakte cijfers.</t>
    </r>
  </si>
  <si>
    <t>-  In werkblad 'allocatie en resultaat' kunt u tenslotte de prijzen van hoofdproducten en bij-</t>
  </si>
  <si>
    <t>producten opgeven en aangeven of stro wat u betreft een bijproduct of restproduct is.</t>
  </si>
  <si>
    <t xml:space="preserve">De voor energetische allocatie benodigde stookwaarde van hoofdproducten en bijproducten </t>
  </si>
  <si>
    <t>zijn als vaste waarde opgenomen.</t>
  </si>
  <si>
    <t xml:space="preserve">Deze spreadsheet geeft een voorbeeld voor de berekening van de CO2-waarde van methanol geproduceerd op basis van niet commercieel dunningshout uit beheerd bos </t>
  </si>
  <si>
    <t>Voor het gemak zijn zaken als massabalansen over chemische reacties alvast opgenomen.</t>
  </si>
  <si>
    <t>-  Vervolgens kunt u in de overige werkbladen afstanden, gebruik van energie en gebruik van hulpstoffen</t>
  </si>
  <si>
    <r>
      <t xml:space="preserve">variëren, zie weer de cellen met tekstopmaak </t>
    </r>
    <r>
      <rPr>
        <b/>
        <sz val="10"/>
        <color rgb="FFFF0000"/>
        <rFont val="Trebuchet MS"/>
        <family val="2"/>
      </rPr>
      <t>rood en vet</t>
    </r>
    <r>
      <rPr>
        <sz val="10"/>
        <rFont val="Trebuchet MS"/>
        <family val="2"/>
      </rPr>
      <t>.</t>
    </r>
  </si>
  <si>
    <t xml:space="preserve">-  In het werkblad 'Bosbouw en dunnen' kunt aangeven in welke klimaatzone het gebruikte dunningshout </t>
  </si>
  <si>
    <t>wordt 'geoogst', zie keuzemenu in cel D40.</t>
  </si>
  <si>
    <t xml:space="preserve">U kunt hier ook opgeven welk type energiedragers en welke hoeveelheden daarvan worden gebruikt, </t>
  </si>
  <si>
    <r>
      <t xml:space="preserve">zie de cellen met opmaak </t>
    </r>
    <r>
      <rPr>
        <b/>
        <sz val="10"/>
        <color rgb="FFFF0000"/>
        <rFont val="Arial"/>
        <family val="2"/>
      </rPr>
      <t>rood en vet</t>
    </r>
    <r>
      <rPr>
        <sz val="10"/>
        <rFont val="Arial"/>
        <family val="2"/>
      </rPr>
      <t>.</t>
    </r>
  </si>
  <si>
    <t xml:space="preserve"> voorbeeld grondstofketen voor de berekening van de CO2-waarde van methanol geproduceerd op basis van niet-commercieel dunningshout uit beheerd bos</t>
  </si>
  <si>
    <t>RVO, CO2-waarde methodiek</t>
  </si>
  <si>
    <r>
      <t>Voorbeeld grondstofketen voor de berekening van de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-waarde van methanol geproduceerd op basis van niet-commercieel dunningshout uit beheerd bos</t>
    </r>
  </si>
  <si>
    <t>Standaardwaarde</t>
  </si>
  <si>
    <t>Biograce I / RED</t>
  </si>
  <si>
    <t>ja</t>
  </si>
  <si>
    <t>nee</t>
  </si>
  <si>
    <t>kg CO2-eq/ton houtsnippers</t>
  </si>
  <si>
    <t>Biograce I / RED standaardwaarde?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</si>
</sst>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"/>
    <numFmt numFmtId="167" formatCode="0.00000"/>
    <numFmt numFmtId="168" formatCode="0.0%"/>
  </numFmts>
  <fonts count="55" x14ac:knownFonts="1"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12"/>
      <name val="Arial"/>
      <family val="2"/>
    </font>
    <font>
      <vertAlign val="subscript"/>
      <sz val="10"/>
      <name val="Arial"/>
      <family val="2"/>
    </font>
    <font>
      <vertAlign val="subscript"/>
      <sz val="8"/>
      <name val="Arial"/>
      <family val="2"/>
    </font>
    <font>
      <sz val="8"/>
      <name val="Arial"/>
      <family val="2"/>
    </font>
    <font>
      <vertAlign val="subscript"/>
      <sz val="8"/>
      <name val="Trebuchet MS"/>
      <family val="2"/>
    </font>
    <font>
      <sz val="8"/>
      <name val="Trebuchet MS"/>
      <family val="2"/>
    </font>
    <font>
      <vertAlign val="superscript"/>
      <sz val="8"/>
      <color indexed="8"/>
      <name val="Trebuchet MS"/>
      <family val="2"/>
    </font>
    <font>
      <vertAlign val="superscript"/>
      <sz val="8"/>
      <name val="Trebuchet MS"/>
      <family val="2"/>
    </font>
    <font>
      <b/>
      <sz val="14"/>
      <name val="Arial"/>
      <family val="2"/>
    </font>
    <font>
      <sz val="8"/>
      <color theme="0" tint="-0.499984740745262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FF0000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Trebuchet MS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i/>
      <sz val="10"/>
      <color theme="2" tint="-0.499984740745262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1" tint="0.499984740745262"/>
      <name val="Arial"/>
      <family val="2"/>
    </font>
    <font>
      <b/>
      <sz val="8"/>
      <name val="Trebuchet MS"/>
      <family val="2"/>
    </font>
    <font>
      <sz val="8"/>
      <color rgb="FFFF0000"/>
      <name val="Trebuchet MS"/>
      <family val="2"/>
    </font>
    <font>
      <sz val="8"/>
      <color theme="1" tint="0.499984740745262"/>
      <name val="Trebuchet MS"/>
      <family val="2"/>
    </font>
    <font>
      <b/>
      <sz val="12"/>
      <color rgb="FF0070C0"/>
      <name val="Trebuchet MS"/>
      <family val="2"/>
    </font>
    <font>
      <b/>
      <sz val="8"/>
      <color theme="1" tint="0.499984740745262"/>
      <name val="Trebuchet MS"/>
      <family val="2"/>
    </font>
    <font>
      <b/>
      <i/>
      <sz val="8"/>
      <color theme="0" tint="-0.499984740745262"/>
      <name val="Trebuchet MS"/>
      <family val="2"/>
    </font>
    <font>
      <i/>
      <sz val="8"/>
      <color theme="0" tint="-0.499984740745262"/>
      <name val="Trebuchet MS"/>
      <family val="2"/>
    </font>
    <font>
      <sz val="10"/>
      <color theme="2" tint="-0.749992370372631"/>
      <name val="Arial"/>
      <family val="2"/>
    </font>
    <font>
      <b/>
      <sz val="8"/>
      <color rgb="FFFF0000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2" tint="-0.74999237037263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10"/>
      <name val="Trebuchet MS"/>
      <family val="2"/>
    </font>
    <font>
      <b/>
      <sz val="10"/>
      <color indexed="9"/>
      <name val="Trebuchet MS"/>
      <family val="2"/>
    </font>
    <font>
      <b/>
      <vertAlign val="subscript"/>
      <sz val="10"/>
      <color indexed="9"/>
      <name val="Trebuchet MS"/>
      <family val="2"/>
    </font>
    <font>
      <b/>
      <vertAlign val="subscript"/>
      <sz val="10"/>
      <name val="Trebuchet MS"/>
      <family val="2"/>
    </font>
    <font>
      <b/>
      <sz val="10"/>
      <color rgb="FF002060"/>
      <name val="Arial"/>
      <family val="2"/>
    </font>
    <font>
      <b/>
      <sz val="12"/>
      <name val="Trebuchet MS"/>
      <family val="2"/>
    </font>
    <font>
      <b/>
      <sz val="8"/>
      <color rgb="FFFF0000"/>
      <name val="Trebuchet MS"/>
      <family val="2"/>
    </font>
    <font>
      <b/>
      <sz val="10"/>
      <color rgb="FFFF0000"/>
      <name val="Trebuchet MS"/>
      <family val="2"/>
    </font>
    <font>
      <b/>
      <sz val="8"/>
      <color rgb="FF002060"/>
      <name val="Arial"/>
      <family val="2"/>
    </font>
    <font>
      <b/>
      <sz val="20"/>
      <name val="Arial"/>
      <family val="2"/>
    </font>
    <font>
      <b/>
      <vertAlign val="subscript"/>
      <sz val="12"/>
      <name val="Arial"/>
      <family val="2"/>
    </font>
    <font>
      <sz val="10"/>
      <color theme="0" tint="-0.499984740745262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52"/>
        <bgColor indexed="5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77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666666"/>
        <bgColor indexed="23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19" fillId="0" borderId="0"/>
    <xf numFmtId="0" fontId="22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402">
    <xf numFmtId="0" fontId="0" fillId="0" borderId="0" xfId="0"/>
    <xf numFmtId="0" fontId="0" fillId="2" borderId="0" xfId="0" applyFill="1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1" fillId="2" borderId="0" xfId="0" applyFont="1" applyFill="1"/>
    <xf numFmtId="0" fontId="0" fillId="0" borderId="0" xfId="0" applyFill="1"/>
    <xf numFmtId="0" fontId="0" fillId="3" borderId="0" xfId="0" applyFill="1"/>
    <xf numFmtId="166" fontId="3" fillId="2" borderId="0" xfId="0" applyNumberFormat="1" applyFont="1" applyFill="1"/>
    <xf numFmtId="0" fontId="0" fillId="0" borderId="0" xfId="0" applyFont="1"/>
    <xf numFmtId="0" fontId="0" fillId="4" borderId="1" xfId="0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  <xf numFmtId="164" fontId="0" fillId="6" borderId="1" xfId="0" applyNumberFormat="1" applyFill="1" applyBorder="1"/>
    <xf numFmtId="0" fontId="0" fillId="6" borderId="1" xfId="0" applyFill="1" applyBorder="1"/>
    <xf numFmtId="165" fontId="0" fillId="5" borderId="1" xfId="0" applyNumberFormat="1" applyFill="1" applyBorder="1"/>
    <xf numFmtId="2" fontId="0" fillId="5" borderId="1" xfId="0" applyNumberFormat="1" applyFill="1" applyBorder="1"/>
    <xf numFmtId="164" fontId="0" fillId="4" borderId="1" xfId="0" applyNumberFormat="1" applyFill="1" applyBorder="1"/>
    <xf numFmtId="167" fontId="0" fillId="6" borderId="1" xfId="0" applyNumberFormat="1" applyFill="1" applyBorder="1"/>
    <xf numFmtId="0" fontId="0" fillId="5" borderId="1" xfId="0" applyFill="1" applyBorder="1"/>
    <xf numFmtId="0" fontId="1" fillId="3" borderId="1" xfId="0" applyFont="1" applyFill="1" applyBorder="1"/>
    <xf numFmtId="10" fontId="0" fillId="3" borderId="1" xfId="0" applyNumberFormat="1" applyFill="1" applyBorder="1"/>
    <xf numFmtId="0" fontId="0" fillId="3" borderId="1" xfId="0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7" borderId="0" xfId="0" applyFont="1" applyFill="1"/>
    <xf numFmtId="164" fontId="0" fillId="7" borderId="0" xfId="0" applyNumberFormat="1" applyFill="1"/>
    <xf numFmtId="49" fontId="0" fillId="0" borderId="0" xfId="0" applyNumberFormat="1" applyFont="1"/>
    <xf numFmtId="0" fontId="0" fillId="2" borderId="0" xfId="0" applyFill="1" applyBorder="1"/>
    <xf numFmtId="0" fontId="0" fillId="9" borderId="0" xfId="0" applyFill="1"/>
    <xf numFmtId="0" fontId="0" fillId="9" borderId="0" xfId="0" applyFill="1" applyBorder="1"/>
    <xf numFmtId="0" fontId="0" fillId="8" borderId="0" xfId="0" applyFill="1"/>
    <xf numFmtId="0" fontId="13" fillId="10" borderId="0" xfId="0" applyFont="1" applyFill="1" applyBorder="1"/>
    <xf numFmtId="0" fontId="1" fillId="10" borderId="0" xfId="0" applyFont="1" applyFill="1" applyBorder="1"/>
    <xf numFmtId="0" fontId="14" fillId="10" borderId="0" xfId="0" applyFont="1" applyFill="1" applyBorder="1"/>
    <xf numFmtId="0" fontId="15" fillId="3" borderId="2" xfId="0" applyFont="1" applyFill="1" applyBorder="1"/>
    <xf numFmtId="0" fontId="16" fillId="12" borderId="2" xfId="0" applyFont="1" applyFill="1" applyBorder="1"/>
    <xf numFmtId="3" fontId="0" fillId="14" borderId="2" xfId="0" applyNumberFormat="1" applyFont="1" applyFill="1" applyBorder="1"/>
    <xf numFmtId="0" fontId="15" fillId="3" borderId="3" xfId="0" applyFont="1" applyFill="1" applyBorder="1"/>
    <xf numFmtId="0" fontId="16" fillId="12" borderId="3" xfId="0" applyFont="1" applyFill="1" applyBorder="1"/>
    <xf numFmtId="3" fontId="0" fillId="14" borderId="3" xfId="0" applyNumberFormat="1" applyFont="1" applyFill="1" applyBorder="1"/>
    <xf numFmtId="0" fontId="15" fillId="3" borderId="4" xfId="0" applyFont="1" applyFill="1" applyBorder="1"/>
    <xf numFmtId="0" fontId="16" fillId="12" borderId="4" xfId="0" applyFont="1" applyFill="1" applyBorder="1"/>
    <xf numFmtId="3" fontId="0" fillId="14" borderId="4" xfId="0" applyNumberFormat="1" applyFont="1" applyFill="1" applyBorder="1"/>
    <xf numFmtId="0" fontId="17" fillId="2" borderId="0" xfId="0" applyFont="1" applyFill="1"/>
    <xf numFmtId="0" fontId="0" fillId="15" borderId="0" xfId="0" applyFont="1" applyFill="1" applyAlignment="1">
      <alignment horizontal="right"/>
    </xf>
    <xf numFmtId="0" fontId="4" fillId="15" borderId="0" xfId="0" applyFont="1" applyFill="1" applyAlignment="1">
      <alignment horizontal="right"/>
    </xf>
    <xf numFmtId="0" fontId="1" fillId="8" borderId="0" xfId="0" applyFont="1" applyFill="1" applyBorder="1" applyAlignment="1">
      <alignment horizontal="right"/>
    </xf>
    <xf numFmtId="0" fontId="21" fillId="8" borderId="6" xfId="0" applyFont="1" applyFill="1" applyBorder="1"/>
    <xf numFmtId="0" fontId="21" fillId="8" borderId="7" xfId="0" applyFont="1" applyFill="1" applyBorder="1"/>
    <xf numFmtId="0" fontId="21" fillId="8" borderId="0" xfId="0" applyFont="1" applyFill="1" applyBorder="1"/>
    <xf numFmtId="0" fontId="21" fillId="8" borderId="9" xfId="0" applyFont="1" applyFill="1" applyBorder="1"/>
    <xf numFmtId="0" fontId="19" fillId="16" borderId="0" xfId="5" applyFont="1" applyFill="1"/>
    <xf numFmtId="0" fontId="21" fillId="8" borderId="0" xfId="0" applyFont="1" applyFill="1" applyBorder="1" applyAlignment="1">
      <alignment vertical="center"/>
    </xf>
    <xf numFmtId="0" fontId="21" fillId="8" borderId="11" xfId="0" applyFont="1" applyFill="1" applyBorder="1"/>
    <xf numFmtId="0" fontId="21" fillId="8" borderId="12" xfId="0" applyFont="1" applyFill="1" applyBorder="1"/>
    <xf numFmtId="0" fontId="23" fillId="0" borderId="0" xfId="0" applyFont="1"/>
    <xf numFmtId="0" fontId="21" fillId="0" borderId="0" xfId="0" applyFont="1" applyBorder="1"/>
    <xf numFmtId="0" fontId="24" fillId="19" borderId="4" xfId="0" applyFont="1" applyFill="1" applyBorder="1" applyAlignment="1">
      <alignment horizontal="left" vertical="center"/>
    </xf>
    <xf numFmtId="0" fontId="1" fillId="8" borderId="0" xfId="0" applyFont="1" applyFill="1" applyBorder="1"/>
    <xf numFmtId="0" fontId="21" fillId="19" borderId="13" xfId="0" applyFont="1" applyFill="1" applyBorder="1" applyAlignment="1">
      <alignment horizontal="center" vertical="center"/>
    </xf>
    <xf numFmtId="0" fontId="21" fillId="20" borderId="13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vertical="center"/>
    </xf>
    <xf numFmtId="0" fontId="21" fillId="19" borderId="13" xfId="0" applyFont="1" applyFill="1" applyBorder="1" applyAlignment="1">
      <alignment vertical="center"/>
    </xf>
    <xf numFmtId="0" fontId="0" fillId="8" borderId="10" xfId="0" applyFill="1" applyBorder="1"/>
    <xf numFmtId="0" fontId="0" fillId="8" borderId="8" xfId="0" applyFill="1" applyBorder="1"/>
    <xf numFmtId="0" fontId="21" fillId="8" borderId="0" xfId="0" applyFont="1" applyFill="1" applyBorder="1" applyAlignment="1">
      <alignment vertical="top"/>
    </xf>
    <xf numFmtId="0" fontId="0" fillId="8" borderId="5" xfId="0" applyFill="1" applyBorder="1"/>
    <xf numFmtId="0" fontId="21" fillId="8" borderId="0" xfId="0" applyFont="1" applyFill="1" applyBorder="1" applyAlignment="1">
      <alignment horizontal="center" vertical="top"/>
    </xf>
    <xf numFmtId="0" fontId="21" fillId="8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0" fillId="16" borderId="0" xfId="5" applyFont="1" applyFill="1"/>
    <xf numFmtId="0" fontId="0" fillId="2" borderId="0" xfId="0" applyFill="1" applyBorder="1"/>
    <xf numFmtId="0" fontId="19" fillId="16" borderId="0" xfId="5" applyFont="1" applyFill="1"/>
    <xf numFmtId="0" fontId="1" fillId="10" borderId="0" xfId="0" applyFont="1" applyFill="1" applyBorder="1"/>
    <xf numFmtId="0" fontId="1" fillId="10" borderId="0" xfId="0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1" fillId="0" borderId="0" xfId="0" applyFont="1"/>
    <xf numFmtId="2" fontId="0" fillId="0" borderId="0" xfId="0" applyNumberFormat="1"/>
    <xf numFmtId="0" fontId="3" fillId="2" borderId="0" xfId="0" applyFont="1" applyFill="1"/>
    <xf numFmtId="0" fontId="4" fillId="0" borderId="0" xfId="0" applyFont="1"/>
    <xf numFmtId="0" fontId="1" fillId="2" borderId="0" xfId="0" applyFont="1" applyFill="1"/>
    <xf numFmtId="0" fontId="1" fillId="10" borderId="0" xfId="0" applyFont="1" applyFill="1" applyBorder="1"/>
    <xf numFmtId="0" fontId="14" fillId="10" borderId="0" xfId="0" applyFont="1" applyFill="1" applyBorder="1"/>
    <xf numFmtId="0" fontId="16" fillId="12" borderId="2" xfId="0" applyFont="1" applyFill="1" applyBorder="1"/>
    <xf numFmtId="0" fontId="16" fillId="12" borderId="3" xfId="0" applyFont="1" applyFill="1" applyBorder="1"/>
    <xf numFmtId="0" fontId="16" fillId="12" borderId="4" xfId="0" applyFont="1" applyFill="1" applyBorder="1"/>
    <xf numFmtId="0" fontId="0" fillId="8" borderId="0" xfId="0" applyFill="1"/>
    <xf numFmtId="3" fontId="0" fillId="14" borderId="2" xfId="0" applyNumberFormat="1" applyFont="1" applyFill="1" applyBorder="1"/>
    <xf numFmtId="3" fontId="0" fillId="14" borderId="3" xfId="0" applyNumberFormat="1" applyFont="1" applyFill="1" applyBorder="1"/>
    <xf numFmtId="3" fontId="0" fillId="14" borderId="4" xfId="0" applyNumberFormat="1" applyFont="1" applyFill="1" applyBorder="1"/>
    <xf numFmtId="0" fontId="13" fillId="10" borderId="0" xfId="0" applyFont="1" applyFill="1" applyBorder="1"/>
    <xf numFmtId="3" fontId="13" fillId="10" borderId="0" xfId="0" applyNumberFormat="1" applyFont="1" applyFill="1" applyAlignment="1">
      <alignment horizontal="right"/>
    </xf>
    <xf numFmtId="166" fontId="13" fillId="10" borderId="0" xfId="0" applyNumberFormat="1" applyFont="1" applyFill="1"/>
    <xf numFmtId="0" fontId="1" fillId="8" borderId="0" xfId="0" applyFont="1" applyFill="1" applyBorder="1" applyAlignment="1">
      <alignment horizontal="right"/>
    </xf>
    <xf numFmtId="0" fontId="4" fillId="15" borderId="0" xfId="0" applyFont="1" applyFill="1" applyAlignment="1">
      <alignment horizontal="right"/>
    </xf>
    <xf numFmtId="0" fontId="0" fillId="9" borderId="0" xfId="0" applyFill="1" applyBorder="1"/>
    <xf numFmtId="0" fontId="0" fillId="9" borderId="0" xfId="0" applyFill="1"/>
    <xf numFmtId="1" fontId="0" fillId="9" borderId="0" xfId="0" applyNumberFormat="1" applyFill="1" applyBorder="1"/>
    <xf numFmtId="0" fontId="21" fillId="8" borderId="0" xfId="0" applyFont="1" applyFill="1"/>
    <xf numFmtId="0" fontId="1" fillId="8" borderId="0" xfId="0" applyFont="1" applyFill="1"/>
    <xf numFmtId="0" fontId="28" fillId="8" borderId="0" xfId="0" applyFont="1" applyFill="1"/>
    <xf numFmtId="0" fontId="9" fillId="0" borderId="0" xfId="0" applyFont="1"/>
    <xf numFmtId="0" fontId="9" fillId="20" borderId="0" xfId="0" applyFont="1" applyFill="1"/>
    <xf numFmtId="0" fontId="30" fillId="20" borderId="0" xfId="0" applyFont="1" applyFill="1"/>
    <xf numFmtId="0" fontId="9" fillId="8" borderId="0" xfId="0" applyFont="1" applyFill="1"/>
    <xf numFmtId="0" fontId="9" fillId="21" borderId="0" xfId="0" applyFont="1" applyFill="1"/>
    <xf numFmtId="9" fontId="29" fillId="0" borderId="14" xfId="6" applyFont="1" applyBorder="1" applyAlignment="1">
      <alignment horizontal="center" vertical="center"/>
    </xf>
    <xf numFmtId="0" fontId="21" fillId="13" borderId="15" xfId="0" applyFont="1" applyFill="1" applyBorder="1" applyAlignment="1">
      <alignment vertical="center"/>
    </xf>
    <xf numFmtId="0" fontId="31" fillId="8" borderId="16" xfId="0" applyFont="1" applyFill="1" applyBorder="1" applyAlignment="1">
      <alignment horizontal="center" vertical="top" wrapText="1"/>
    </xf>
    <xf numFmtId="0" fontId="21" fillId="0" borderId="0" xfId="0" applyFont="1"/>
    <xf numFmtId="9" fontId="21" fillId="0" borderId="0" xfId="0" applyNumberFormat="1" applyFont="1"/>
    <xf numFmtId="0" fontId="21" fillId="0" borderId="0" xfId="0" quotePrefix="1" applyFont="1"/>
    <xf numFmtId="0" fontId="0" fillId="22" borderId="0" xfId="0" applyFill="1"/>
    <xf numFmtId="0" fontId="27" fillId="22" borderId="0" xfId="0" applyFont="1" applyFill="1"/>
    <xf numFmtId="168" fontId="29" fillId="0" borderId="14" xfId="6" applyNumberFormat="1" applyFont="1" applyBorder="1" applyAlignment="1">
      <alignment horizontal="center" vertical="center"/>
    </xf>
    <xf numFmtId="2" fontId="21" fillId="0" borderId="0" xfId="0" applyNumberFormat="1" applyFont="1"/>
    <xf numFmtId="9" fontId="21" fillId="0" borderId="0" xfId="6" applyFont="1"/>
    <xf numFmtId="0" fontId="15" fillId="3" borderId="13" xfId="0" applyFont="1" applyFill="1" applyBorder="1"/>
    <xf numFmtId="0" fontId="1" fillId="4" borderId="17" xfId="0" applyFont="1" applyFill="1" applyBorder="1"/>
    <xf numFmtId="0" fontId="1" fillId="6" borderId="17" xfId="0" applyFont="1" applyFill="1" applyBorder="1"/>
    <xf numFmtId="0" fontId="0" fillId="4" borderId="18" xfId="0" applyFill="1" applyBorder="1"/>
    <xf numFmtId="0" fontId="0" fillId="6" borderId="18" xfId="0" applyFill="1" applyBorder="1"/>
    <xf numFmtId="0" fontId="0" fillId="4" borderId="18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0" fillId="6" borderId="20" xfId="0" applyFill="1" applyBorder="1"/>
    <xf numFmtId="0" fontId="0" fillId="6" borderId="21" xfId="0" applyFill="1" applyBorder="1"/>
    <xf numFmtId="0" fontId="0" fillId="4" borderId="22" xfId="0" applyFill="1" applyBorder="1"/>
    <xf numFmtId="0" fontId="0" fillId="6" borderId="23" xfId="0" applyFill="1" applyBorder="1"/>
    <xf numFmtId="0" fontId="0" fillId="4" borderId="22" xfId="0" applyFont="1" applyFill="1" applyBorder="1"/>
    <xf numFmtId="0" fontId="0" fillId="4" borderId="24" xfId="0" applyFont="1" applyFill="1" applyBorder="1"/>
    <xf numFmtId="0" fontId="0" fillId="4" borderId="25" xfId="0" applyFill="1" applyBorder="1"/>
    <xf numFmtId="0" fontId="0" fillId="6" borderId="25" xfId="0" applyFill="1" applyBorder="1"/>
    <xf numFmtId="0" fontId="0" fillId="6" borderId="26" xfId="0" applyFill="1" applyBorder="1"/>
    <xf numFmtId="164" fontId="0" fillId="6" borderId="20" xfId="0" applyNumberFormat="1" applyFill="1" applyBorder="1"/>
    <xf numFmtId="0" fontId="0" fillId="4" borderId="24" xfId="0" applyFill="1" applyBorder="1"/>
    <xf numFmtId="3" fontId="0" fillId="14" borderId="13" xfId="0" applyNumberFormat="1" applyFont="1" applyFill="1" applyBorder="1"/>
    <xf numFmtId="2" fontId="0" fillId="11" borderId="13" xfId="0" applyNumberFormat="1" applyFont="1" applyFill="1" applyBorder="1"/>
    <xf numFmtId="1" fontId="15" fillId="24" borderId="13" xfId="0" applyNumberFormat="1" applyFont="1" applyFill="1" applyBorder="1"/>
    <xf numFmtId="0" fontId="9" fillId="14" borderId="0" xfId="0" applyFont="1" applyFill="1"/>
    <xf numFmtId="0" fontId="0" fillId="14" borderId="0" xfId="0" applyFill="1"/>
    <xf numFmtId="0" fontId="33" fillId="10" borderId="12" xfId="0" applyFont="1" applyFill="1" applyBorder="1" applyAlignment="1">
      <alignment vertical="top"/>
    </xf>
    <xf numFmtId="0" fontId="34" fillId="10" borderId="11" xfId="0" applyFont="1" applyFill="1" applyBorder="1"/>
    <xf numFmtId="0" fontId="34" fillId="10" borderId="10" xfId="0" applyFont="1" applyFill="1" applyBorder="1"/>
    <xf numFmtId="0" fontId="34" fillId="10" borderId="9" xfId="0" applyFont="1" applyFill="1" applyBorder="1"/>
    <xf numFmtId="0" fontId="34" fillId="10" borderId="0" xfId="0" applyFont="1" applyFill="1" applyBorder="1"/>
    <xf numFmtId="0" fontId="34" fillId="10" borderId="8" xfId="0" applyFont="1" applyFill="1" applyBorder="1"/>
    <xf numFmtId="9" fontId="34" fillId="10" borderId="0" xfId="0" applyNumberFormat="1" applyFont="1" applyFill="1" applyBorder="1"/>
    <xf numFmtId="2" fontId="34" fillId="10" borderId="0" xfId="0" applyNumberFormat="1" applyFont="1" applyFill="1" applyBorder="1"/>
    <xf numFmtId="0" fontId="33" fillId="10" borderId="9" xfId="0" applyFont="1" applyFill="1" applyBorder="1"/>
    <xf numFmtId="0" fontId="33" fillId="10" borderId="0" xfId="0" applyFont="1" applyFill="1" applyBorder="1"/>
    <xf numFmtId="0" fontId="33" fillId="10" borderId="8" xfId="0" applyFont="1" applyFill="1" applyBorder="1"/>
    <xf numFmtId="0" fontId="34" fillId="10" borderId="9" xfId="0" quotePrefix="1" applyFont="1" applyFill="1" applyBorder="1"/>
    <xf numFmtId="9" fontId="34" fillId="10" borderId="8" xfId="6" applyFont="1" applyFill="1" applyBorder="1"/>
    <xf numFmtId="9" fontId="34" fillId="10" borderId="0" xfId="6" applyFont="1" applyFill="1" applyBorder="1"/>
    <xf numFmtId="9" fontId="34" fillId="10" borderId="8" xfId="0" applyNumberFormat="1" applyFont="1" applyFill="1" applyBorder="1"/>
    <xf numFmtId="0" fontId="34" fillId="10" borderId="7" xfId="0" applyFont="1" applyFill="1" applyBorder="1"/>
    <xf numFmtId="0" fontId="34" fillId="10" borderId="6" xfId="0" applyFont="1" applyFill="1" applyBorder="1"/>
    <xf numFmtId="0" fontId="34" fillId="10" borderId="5" xfId="0" applyFont="1" applyFill="1" applyBorder="1"/>
    <xf numFmtId="0" fontId="34" fillId="10" borderId="12" xfId="0" applyFont="1" applyFill="1" applyBorder="1"/>
    <xf numFmtId="0" fontId="34" fillId="10" borderId="7" xfId="0" quotePrefix="1" applyFont="1" applyFill="1" applyBorder="1"/>
    <xf numFmtId="2" fontId="34" fillId="10" borderId="6" xfId="0" applyNumberFormat="1" applyFont="1" applyFill="1" applyBorder="1"/>
    <xf numFmtId="0" fontId="9" fillId="12" borderId="0" xfId="0" applyFont="1" applyFill="1"/>
    <xf numFmtId="0" fontId="21" fillId="12" borderId="0" xfId="0" applyFont="1" applyFill="1"/>
    <xf numFmtId="0" fontId="32" fillId="12" borderId="0" xfId="0" applyFont="1" applyFill="1"/>
    <xf numFmtId="0" fontId="1" fillId="14" borderId="0" xfId="0" applyFont="1" applyFill="1"/>
    <xf numFmtId="9" fontId="0" fillId="14" borderId="0" xfId="0" applyNumberFormat="1" applyFill="1"/>
    <xf numFmtId="0" fontId="4" fillId="14" borderId="0" xfId="0" applyFont="1" applyFill="1"/>
    <xf numFmtId="1" fontId="3" fillId="2" borderId="0" xfId="0" applyNumberFormat="1" applyFont="1" applyFill="1"/>
    <xf numFmtId="0" fontId="35" fillId="19" borderId="0" xfId="0" applyFont="1" applyFill="1" applyBorder="1" applyAlignment="1">
      <alignment vertical="top" wrapText="1"/>
    </xf>
    <xf numFmtId="0" fontId="35" fillId="19" borderId="0" xfId="0" applyFont="1" applyFill="1" applyBorder="1" applyAlignment="1">
      <alignment horizontal="center" vertical="top" wrapText="1"/>
    </xf>
    <xf numFmtId="0" fontId="35" fillId="19" borderId="0" xfId="0" applyFont="1" applyFill="1" applyBorder="1"/>
    <xf numFmtId="0" fontId="0" fillId="8" borderId="0" xfId="0" applyFill="1" applyBorder="1"/>
    <xf numFmtId="2" fontId="0" fillId="8" borderId="0" xfId="0" applyNumberFormat="1" applyFill="1" applyBorder="1"/>
    <xf numFmtId="2" fontId="0" fillId="8" borderId="0" xfId="0" applyNumberFormat="1" applyFill="1"/>
    <xf numFmtId="9" fontId="0" fillId="8" borderId="0" xfId="6" applyFont="1" applyFill="1"/>
    <xf numFmtId="168" fontId="0" fillId="8" borderId="0" xfId="0" applyNumberFormat="1" applyFill="1"/>
    <xf numFmtId="0" fontId="27" fillId="8" borderId="28" xfId="0" applyFont="1" applyFill="1" applyBorder="1"/>
    <xf numFmtId="0" fontId="27" fillId="8" borderId="29" xfId="0" applyFont="1" applyFill="1" applyBorder="1"/>
    <xf numFmtId="0" fontId="27" fillId="8" borderId="0" xfId="0" applyFont="1" applyFill="1" applyBorder="1"/>
    <xf numFmtId="0" fontId="1" fillId="2" borderId="0" xfId="0" applyFont="1" applyFill="1" applyBorder="1"/>
    <xf numFmtId="0" fontId="1" fillId="25" borderId="0" xfId="0" applyFont="1" applyFill="1" applyBorder="1"/>
    <xf numFmtId="0" fontId="1" fillId="10" borderId="0" xfId="0" applyFont="1" applyFill="1"/>
    <xf numFmtId="0" fontId="0" fillId="10" borderId="0" xfId="0" applyFill="1"/>
    <xf numFmtId="0" fontId="31" fillId="8" borderId="0" xfId="0" applyFont="1" applyFill="1" applyBorder="1" applyAlignment="1">
      <alignment horizontal="center" vertical="top" wrapText="1"/>
    </xf>
    <xf numFmtId="9" fontId="0" fillId="0" borderId="0" xfId="6" applyFont="1"/>
    <xf numFmtId="9" fontId="0" fillId="0" borderId="0" xfId="6" applyFont="1" applyFill="1"/>
    <xf numFmtId="0" fontId="15" fillId="8" borderId="3" xfId="0" applyFont="1" applyFill="1" applyBorder="1" applyAlignment="1">
      <alignment vertical="center" wrapText="1"/>
    </xf>
    <xf numFmtId="0" fontId="13" fillId="19" borderId="0" xfId="0" applyFont="1" applyFill="1" applyBorder="1"/>
    <xf numFmtId="0" fontId="1" fillId="10" borderId="0" xfId="0" applyFont="1" applyFill="1" applyBorder="1" applyAlignment="1">
      <alignment horizontal="right"/>
    </xf>
    <xf numFmtId="0" fontId="4" fillId="10" borderId="0" xfId="0" applyFont="1" applyFill="1" applyAlignment="1">
      <alignment horizontal="right"/>
    </xf>
    <xf numFmtId="0" fontId="4" fillId="10" borderId="0" xfId="0" applyFont="1" applyFill="1"/>
    <xf numFmtId="3" fontId="13" fillId="19" borderId="0" xfId="0" applyNumberFormat="1" applyFont="1" applyFill="1" applyAlignment="1">
      <alignment horizontal="right"/>
    </xf>
    <xf numFmtId="166" fontId="13" fillId="19" borderId="0" xfId="0" applyNumberFormat="1" applyFont="1" applyFill="1"/>
    <xf numFmtId="0" fontId="0" fillId="4" borderId="30" xfId="0" applyFill="1" applyBorder="1"/>
    <xf numFmtId="0" fontId="0" fillId="4" borderId="31" xfId="0" applyFill="1" applyBorder="1"/>
    <xf numFmtId="0" fontId="0" fillId="6" borderId="31" xfId="0" applyFill="1" applyBorder="1"/>
    <xf numFmtId="0" fontId="0" fillId="6" borderId="32" xfId="0" applyFill="1" applyBorder="1"/>
    <xf numFmtId="0" fontId="1" fillId="4" borderId="33" xfId="0" applyFont="1" applyFill="1" applyBorder="1"/>
    <xf numFmtId="0" fontId="1" fillId="4" borderId="31" xfId="0" applyFont="1" applyFill="1" applyBorder="1"/>
    <xf numFmtId="0" fontId="1" fillId="6" borderId="31" xfId="0" applyFont="1" applyFill="1" applyBorder="1"/>
    <xf numFmtId="0" fontId="1" fillId="6" borderId="34" xfId="0" applyFont="1" applyFill="1" applyBorder="1"/>
    <xf numFmtId="164" fontId="15" fillId="11" borderId="10" xfId="0" applyNumberFormat="1" applyFont="1" applyFill="1" applyBorder="1"/>
    <xf numFmtId="164" fontId="15" fillId="11" borderId="8" xfId="0" applyNumberFormat="1" applyFont="1" applyFill="1" applyBorder="1"/>
    <xf numFmtId="164" fontId="15" fillId="11" borderId="5" xfId="0" applyNumberFormat="1" applyFont="1" applyFill="1" applyBorder="1"/>
    <xf numFmtId="164" fontId="15" fillId="11" borderId="2" xfId="0" applyNumberFormat="1" applyFont="1" applyFill="1" applyBorder="1"/>
    <xf numFmtId="164" fontId="15" fillId="11" borderId="3" xfId="0" applyNumberFormat="1" applyFont="1" applyFill="1" applyBorder="1"/>
    <xf numFmtId="164" fontId="15" fillId="11" borderId="4" xfId="0" applyNumberFormat="1" applyFont="1" applyFill="1" applyBorder="1"/>
    <xf numFmtId="3" fontId="13" fillId="19" borderId="0" xfId="0" applyNumberFormat="1" applyFont="1" applyFill="1"/>
    <xf numFmtId="166" fontId="36" fillId="19" borderId="0" xfId="0" applyNumberFormat="1" applyFont="1" applyFill="1"/>
    <xf numFmtId="165" fontId="36" fillId="19" borderId="0" xfId="0" applyNumberFormat="1" applyFont="1" applyFill="1" applyAlignment="1">
      <alignment horizontal="right"/>
    </xf>
    <xf numFmtId="165" fontId="36" fillId="19" borderId="0" xfId="0" applyNumberFormat="1" applyFont="1" applyFill="1"/>
    <xf numFmtId="166" fontId="36" fillId="19" borderId="0" xfId="0" applyNumberFormat="1" applyFont="1" applyFill="1" applyAlignment="1">
      <alignment horizontal="right"/>
    </xf>
    <xf numFmtId="0" fontId="15" fillId="23" borderId="2" xfId="0" applyFont="1" applyFill="1" applyBorder="1"/>
    <xf numFmtId="0" fontId="15" fillId="23" borderId="3" xfId="0" applyFont="1" applyFill="1" applyBorder="1"/>
    <xf numFmtId="0" fontId="15" fillId="23" borderId="4" xfId="0" applyFont="1" applyFill="1" applyBorder="1"/>
    <xf numFmtId="164" fontId="0" fillId="9" borderId="0" xfId="0" applyNumberFormat="1" applyFill="1" applyBorder="1"/>
    <xf numFmtId="164" fontId="1" fillId="10" borderId="0" xfId="0" applyNumberFormat="1" applyFont="1" applyFill="1" applyBorder="1"/>
    <xf numFmtId="0" fontId="14" fillId="10" borderId="0" xfId="0" applyFont="1" applyFill="1" applyBorder="1" applyAlignment="1">
      <alignment horizontal="center"/>
    </xf>
    <xf numFmtId="0" fontId="1" fillId="26" borderId="0" xfId="0" applyFont="1" applyFill="1" applyBorder="1"/>
    <xf numFmtId="0" fontId="1" fillId="10" borderId="0" xfId="0" quotePrefix="1" applyFont="1" applyFill="1"/>
    <xf numFmtId="0" fontId="14" fillId="8" borderId="0" xfId="0" applyFont="1" applyFill="1" applyBorder="1" applyAlignment="1">
      <alignment horizontal="center"/>
    </xf>
    <xf numFmtId="3" fontId="15" fillId="24" borderId="13" xfId="0" applyNumberFormat="1" applyFont="1" applyFill="1" applyBorder="1"/>
    <xf numFmtId="2" fontId="37" fillId="10" borderId="0" xfId="0" applyNumberFormat="1" applyFont="1" applyFill="1" applyBorder="1"/>
    <xf numFmtId="2" fontId="37" fillId="10" borderId="0" xfId="0" applyNumberFormat="1" applyFont="1" applyFill="1"/>
    <xf numFmtId="9" fontId="0" fillId="14" borderId="0" xfId="6" applyFont="1" applyFill="1"/>
    <xf numFmtId="0" fontId="0" fillId="27" borderId="13" xfId="0" applyFill="1" applyBorder="1"/>
    <xf numFmtId="2" fontId="0" fillId="8" borderId="16" xfId="0" applyNumberFormat="1" applyFill="1" applyBorder="1"/>
    <xf numFmtId="0" fontId="0" fillId="27" borderId="2" xfId="0" applyFill="1" applyBorder="1"/>
    <xf numFmtId="0" fontId="0" fillId="20" borderId="13" xfId="0" applyFill="1" applyBorder="1"/>
    <xf numFmtId="2" fontId="0" fillId="27" borderId="13" xfId="0" applyNumberFormat="1" applyFill="1" applyBorder="1"/>
    <xf numFmtId="2" fontId="0" fillId="20" borderId="13" xfId="0" applyNumberFormat="1" applyFill="1" applyBorder="1"/>
    <xf numFmtId="2" fontId="0" fillId="0" borderId="16" xfId="0" applyNumberFormat="1" applyBorder="1"/>
    <xf numFmtId="9" fontId="19" fillId="8" borderId="0" xfId="6" applyFont="1" applyFill="1"/>
    <xf numFmtId="0" fontId="0" fillId="8" borderId="0" xfId="0" applyFont="1" applyFill="1"/>
    <xf numFmtId="0" fontId="0" fillId="22" borderId="0" xfId="0" applyFont="1" applyFill="1"/>
    <xf numFmtId="0" fontId="39" fillId="2" borderId="0" xfId="0" applyFont="1" applyFill="1"/>
    <xf numFmtId="0" fontId="39" fillId="0" borderId="0" xfId="0" applyFont="1"/>
    <xf numFmtId="0" fontId="40" fillId="0" borderId="0" xfId="0" applyFont="1"/>
    <xf numFmtId="2" fontId="39" fillId="0" borderId="0" xfId="0" applyNumberFormat="1" applyFont="1"/>
    <xf numFmtId="164" fontId="39" fillId="0" borderId="0" xfId="0" applyNumberFormat="1" applyFont="1"/>
    <xf numFmtId="9" fontId="39" fillId="0" borderId="0" xfId="0" applyNumberFormat="1" applyFont="1"/>
    <xf numFmtId="0" fontId="42" fillId="2" borderId="0" xfId="0" applyFont="1" applyFill="1"/>
    <xf numFmtId="2" fontId="42" fillId="2" borderId="0" xfId="0" applyNumberFormat="1" applyFont="1" applyFill="1" applyAlignment="1">
      <alignment horizontal="center"/>
    </xf>
    <xf numFmtId="0" fontId="39" fillId="9" borderId="0" xfId="0" applyFont="1" applyFill="1"/>
    <xf numFmtId="0" fontId="42" fillId="9" borderId="0" xfId="0" applyFont="1" applyFill="1"/>
    <xf numFmtId="0" fontId="39" fillId="10" borderId="0" xfId="0" applyFont="1" applyFill="1"/>
    <xf numFmtId="0" fontId="39" fillId="8" borderId="0" xfId="0" applyFont="1" applyFill="1"/>
    <xf numFmtId="0" fontId="39" fillId="14" borderId="0" xfId="0" applyFont="1" applyFill="1"/>
    <xf numFmtId="0" fontId="41" fillId="14" borderId="0" xfId="0" applyFont="1" applyFill="1"/>
    <xf numFmtId="2" fontId="45" fillId="27" borderId="14" xfId="0" applyNumberFormat="1" applyFont="1" applyFill="1" applyBorder="1"/>
    <xf numFmtId="2" fontId="45" fillId="20" borderId="14" xfId="0" applyNumberFormat="1" applyFont="1" applyFill="1" applyBorder="1"/>
    <xf numFmtId="0" fontId="45" fillId="8" borderId="27" xfId="0" applyFont="1" applyFill="1" applyBorder="1"/>
    <xf numFmtId="0" fontId="40" fillId="8" borderId="0" xfId="0" applyFont="1" applyFill="1" applyAlignment="1">
      <alignment horizontal="center" vertical="top"/>
    </xf>
    <xf numFmtId="0" fontId="40" fillId="8" borderId="0" xfId="0" applyFont="1" applyFill="1" applyAlignment="1">
      <alignment horizontal="center" vertical="top" wrapText="1"/>
    </xf>
    <xf numFmtId="0" fontId="0" fillId="0" borderId="0" xfId="0" applyAlignment="1"/>
    <xf numFmtId="166" fontId="49" fillId="19" borderId="0" xfId="0" applyNumberFormat="1" applyFont="1" applyFill="1"/>
    <xf numFmtId="0" fontId="46" fillId="8" borderId="35" xfId="0" applyFont="1" applyFill="1" applyBorder="1"/>
    <xf numFmtId="0" fontId="39" fillId="8" borderId="36" xfId="0" applyFont="1" applyFill="1" applyBorder="1"/>
    <xf numFmtId="0" fontId="39" fillId="8" borderId="37" xfId="0" applyFont="1" applyFill="1" applyBorder="1"/>
    <xf numFmtId="0" fontId="39" fillId="8" borderId="38" xfId="0" applyFont="1" applyFill="1" applyBorder="1"/>
    <xf numFmtId="0" fontId="39" fillId="8" borderId="0" xfId="0" applyFont="1" applyFill="1" applyBorder="1"/>
    <xf numFmtId="0" fontId="39" fillId="8" borderId="39" xfId="0" applyFont="1" applyFill="1" applyBorder="1"/>
    <xf numFmtId="0" fontId="39" fillId="8" borderId="38" xfId="0" applyFont="1" applyFill="1" applyBorder="1" applyAlignment="1">
      <alignment vertical="top" wrapText="1"/>
    </xf>
    <xf numFmtId="0" fontId="39" fillId="8" borderId="0" xfId="0" applyFont="1" applyFill="1" applyBorder="1" applyAlignment="1">
      <alignment vertical="top" wrapText="1"/>
    </xf>
    <xf numFmtId="0" fontId="39" fillId="8" borderId="38" xfId="0" applyFont="1" applyFill="1" applyBorder="1" applyAlignment="1">
      <alignment vertical="top"/>
    </xf>
    <xf numFmtId="0" fontId="39" fillId="8" borderId="38" xfId="0" quotePrefix="1" applyFont="1" applyFill="1" applyBorder="1"/>
    <xf numFmtId="0" fontId="39" fillId="8" borderId="0" xfId="0" applyFont="1" applyFill="1" applyBorder="1" applyAlignment="1">
      <alignment vertical="top"/>
    </xf>
    <xf numFmtId="0" fontId="39" fillId="8" borderId="38" xfId="0" applyFont="1" applyFill="1" applyBorder="1" applyAlignment="1">
      <alignment horizontal="left" indent="1"/>
    </xf>
    <xf numFmtId="0" fontId="0" fillId="8" borderId="38" xfId="0" quotePrefix="1" applyFill="1" applyBorder="1"/>
    <xf numFmtId="0" fontId="0" fillId="8" borderId="39" xfId="0" applyFill="1" applyBorder="1"/>
    <xf numFmtId="0" fontId="0" fillId="8" borderId="38" xfId="0" applyFill="1" applyBorder="1" applyAlignment="1">
      <alignment horizontal="left" indent="1"/>
    </xf>
    <xf numFmtId="0" fontId="0" fillId="8" borderId="38" xfId="0" applyFill="1" applyBorder="1"/>
    <xf numFmtId="0" fontId="39" fillId="8" borderId="38" xfId="0" quotePrefix="1" applyFont="1" applyFill="1" applyBorder="1" applyAlignment="1">
      <alignment vertical="top"/>
    </xf>
    <xf numFmtId="0" fontId="30" fillId="8" borderId="0" xfId="0" applyFont="1" applyFill="1" applyBorder="1" applyAlignment="1">
      <alignment vertical="top"/>
    </xf>
    <xf numFmtId="0" fontId="39" fillId="8" borderId="40" xfId="0" applyFont="1" applyFill="1" applyBorder="1"/>
    <xf numFmtId="0" fontId="30" fillId="8" borderId="41" xfId="0" applyFont="1" applyFill="1" applyBorder="1" applyAlignment="1">
      <alignment vertical="top"/>
    </xf>
    <xf numFmtId="0" fontId="39" fillId="8" borderId="41" xfId="0" applyFont="1" applyFill="1" applyBorder="1"/>
    <xf numFmtId="0" fontId="39" fillId="8" borderId="42" xfId="0" applyFont="1" applyFill="1" applyBorder="1"/>
    <xf numFmtId="0" fontId="23" fillId="14" borderId="0" xfId="0" applyFont="1" applyFill="1" applyBorder="1" applyAlignment="1">
      <alignment vertical="top" wrapText="1"/>
    </xf>
    <xf numFmtId="0" fontId="23" fillId="14" borderId="38" xfId="0" applyFont="1" applyFill="1" applyBorder="1" applyAlignment="1">
      <alignment vertical="top" wrapText="1"/>
    </xf>
    <xf numFmtId="0" fontId="50" fillId="14" borderId="0" xfId="0" applyFont="1" applyFill="1" applyBorder="1" applyAlignment="1">
      <alignment vertical="top"/>
    </xf>
    <xf numFmtId="0" fontId="39" fillId="14" borderId="0" xfId="0" applyFont="1" applyFill="1" applyBorder="1" applyAlignment="1"/>
    <xf numFmtId="0" fontId="39" fillId="14" borderId="0" xfId="0" applyFont="1" applyFill="1" applyBorder="1"/>
    <xf numFmtId="0" fontId="0" fillId="14" borderId="0" xfId="0" applyFill="1" applyBorder="1" applyAlignment="1"/>
    <xf numFmtId="1" fontId="49" fillId="19" borderId="0" xfId="0" applyNumberFormat="1" applyFont="1" applyFill="1" applyAlignment="1">
      <alignment horizontal="right"/>
    </xf>
    <xf numFmtId="0" fontId="48" fillId="3" borderId="1" xfId="0" applyFont="1" applyFill="1" applyBorder="1"/>
    <xf numFmtId="0" fontId="0" fillId="29" borderId="0" xfId="0" applyFill="1"/>
    <xf numFmtId="0" fontId="52" fillId="29" borderId="0" xfId="0" applyFont="1" applyFill="1"/>
    <xf numFmtId="1" fontId="52" fillId="29" borderId="0" xfId="0" applyNumberFormat="1" applyFont="1" applyFill="1"/>
    <xf numFmtId="0" fontId="50" fillId="8" borderId="35" xfId="0" applyFont="1" applyFill="1" applyBorder="1" applyAlignment="1">
      <alignment horizontal="center" vertical="top" wrapText="1"/>
    </xf>
    <xf numFmtId="0" fontId="50" fillId="8" borderId="36" xfId="0" applyFont="1" applyFill="1" applyBorder="1" applyAlignment="1">
      <alignment horizontal="center" vertical="top" wrapText="1"/>
    </xf>
    <xf numFmtId="0" fontId="50" fillId="8" borderId="37" xfId="0" applyFont="1" applyFill="1" applyBorder="1" applyAlignment="1">
      <alignment horizontal="center" vertical="top" wrapText="1"/>
    </xf>
    <xf numFmtId="0" fontId="50" fillId="8" borderId="38" xfId="0" applyFont="1" applyFill="1" applyBorder="1" applyAlignment="1">
      <alignment horizontal="center" vertical="top" wrapText="1"/>
    </xf>
    <xf numFmtId="0" fontId="50" fillId="8" borderId="0" xfId="0" applyFont="1" applyFill="1" applyBorder="1" applyAlignment="1">
      <alignment horizontal="center" vertical="top" wrapText="1"/>
    </xf>
    <xf numFmtId="0" fontId="50" fillId="8" borderId="39" xfId="0" applyFont="1" applyFill="1" applyBorder="1" applyAlignment="1">
      <alignment horizontal="center" vertical="top" wrapText="1"/>
    </xf>
    <xf numFmtId="0" fontId="50" fillId="8" borderId="40" xfId="0" applyFont="1" applyFill="1" applyBorder="1" applyAlignment="1">
      <alignment horizontal="center" vertical="top" wrapText="1"/>
    </xf>
    <xf numFmtId="0" fontId="50" fillId="8" borderId="41" xfId="0" applyFont="1" applyFill="1" applyBorder="1" applyAlignment="1">
      <alignment horizontal="center" vertical="top" wrapText="1"/>
    </xf>
    <xf numFmtId="0" fontId="50" fillId="8" borderId="42" xfId="0" applyFont="1" applyFill="1" applyBorder="1" applyAlignment="1">
      <alignment horizontal="center" vertical="top" wrapText="1"/>
    </xf>
    <xf numFmtId="0" fontId="23" fillId="8" borderId="12" xfId="0" applyFont="1" applyFill="1" applyBorder="1" applyAlignment="1">
      <alignment horizontal="center" vertical="top" wrapText="1"/>
    </xf>
    <xf numFmtId="0" fontId="23" fillId="8" borderId="11" xfId="0" applyFont="1" applyFill="1" applyBorder="1" applyAlignment="1">
      <alignment horizontal="center" vertical="top" wrapText="1"/>
    </xf>
    <xf numFmtId="0" fontId="23" fillId="8" borderId="10" xfId="0" applyFont="1" applyFill="1" applyBorder="1" applyAlignment="1">
      <alignment horizontal="center" vertical="top" wrapText="1"/>
    </xf>
    <xf numFmtId="0" fontId="23" fillId="8" borderId="9" xfId="0" applyFont="1" applyFill="1" applyBorder="1" applyAlignment="1">
      <alignment horizontal="center" vertical="top" wrapText="1"/>
    </xf>
    <xf numFmtId="0" fontId="23" fillId="8" borderId="0" xfId="0" applyFont="1" applyFill="1" applyBorder="1" applyAlignment="1">
      <alignment horizontal="center" vertical="top" wrapText="1"/>
    </xf>
    <xf numFmtId="0" fontId="23" fillId="8" borderId="8" xfId="0" applyFont="1" applyFill="1" applyBorder="1" applyAlignment="1">
      <alignment horizontal="center" vertical="top" wrapText="1"/>
    </xf>
    <xf numFmtId="0" fontId="23" fillId="8" borderId="7" xfId="0" applyFont="1" applyFill="1" applyBorder="1" applyAlignment="1">
      <alignment horizontal="center" vertical="top" wrapText="1"/>
    </xf>
    <xf numFmtId="0" fontId="23" fillId="8" borderId="6" xfId="0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horizontal="center" vertical="top" wrapText="1"/>
    </xf>
    <xf numFmtId="0" fontId="21" fillId="18" borderId="2" xfId="0" applyFont="1" applyFill="1" applyBorder="1" applyAlignment="1">
      <alignment horizontal="center" vertical="center" wrapText="1"/>
    </xf>
    <xf numFmtId="0" fontId="21" fillId="18" borderId="3" xfId="0" applyFont="1" applyFill="1" applyBorder="1" applyAlignment="1">
      <alignment horizontal="center" vertical="center" wrapText="1"/>
    </xf>
    <xf numFmtId="0" fontId="21" fillId="18" borderId="4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1" fillId="19" borderId="2" xfId="0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21" fillId="17" borderId="4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1" fillId="20" borderId="3" xfId="0" applyFont="1" applyFill="1" applyBorder="1" applyAlignment="1">
      <alignment horizontal="center" vertical="center" wrapText="1"/>
    </xf>
    <xf numFmtId="0" fontId="21" fillId="20" borderId="4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top"/>
    </xf>
    <xf numFmtId="0" fontId="23" fillId="14" borderId="0" xfId="0" applyFont="1" applyFill="1" applyBorder="1" applyAlignment="1">
      <alignment horizontal="left" vertical="top" wrapText="1"/>
    </xf>
    <xf numFmtId="0" fontId="39" fillId="8" borderId="38" xfId="0" applyFont="1" applyFill="1" applyBorder="1" applyAlignment="1">
      <alignment horizontal="left" vertical="top" wrapText="1"/>
    </xf>
    <xf numFmtId="0" fontId="39" fillId="8" borderId="0" xfId="0" applyFont="1" applyFill="1" applyBorder="1" applyAlignment="1">
      <alignment horizontal="left" vertical="top" wrapText="1"/>
    </xf>
    <xf numFmtId="0" fontId="39" fillId="8" borderId="39" xfId="0" applyFont="1" applyFill="1" applyBorder="1" applyAlignment="1">
      <alignment horizontal="left" vertical="top" wrapText="1"/>
    </xf>
    <xf numFmtId="0" fontId="9" fillId="8" borderId="0" xfId="0" applyFont="1" applyFill="1" applyBorder="1" applyAlignment="1">
      <alignment horizontal="left" wrapText="1"/>
    </xf>
    <xf numFmtId="0" fontId="30" fillId="8" borderId="0" xfId="0" applyFont="1" applyFill="1" applyBorder="1" applyAlignment="1">
      <alignment horizontal="left" wrapText="1"/>
    </xf>
    <xf numFmtId="0" fontId="40" fillId="8" borderId="0" xfId="0" applyFont="1" applyFill="1" applyAlignment="1">
      <alignment horizontal="center" vertical="top" wrapText="1"/>
    </xf>
    <xf numFmtId="0" fontId="42" fillId="2" borderId="0" xfId="0" applyFont="1" applyFill="1" applyAlignment="1">
      <alignment horizontal="center"/>
    </xf>
    <xf numFmtId="0" fontId="40" fillId="8" borderId="0" xfId="0" applyFont="1" applyFill="1" applyAlignment="1">
      <alignment horizontal="center" vertical="top"/>
    </xf>
    <xf numFmtId="0" fontId="21" fillId="13" borderId="12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21" fillId="20" borderId="12" xfId="0" applyFont="1" applyFill="1" applyBorder="1" applyAlignment="1">
      <alignment horizontal="center" vertical="center"/>
    </xf>
    <xf numFmtId="0" fontId="21" fillId="20" borderId="10" xfId="0" applyFont="1" applyFill="1" applyBorder="1" applyAlignment="1">
      <alignment horizontal="center" vertical="center"/>
    </xf>
    <xf numFmtId="0" fontId="21" fillId="20" borderId="9" xfId="0" applyFont="1" applyFill="1" applyBorder="1" applyAlignment="1">
      <alignment horizontal="center" vertical="center"/>
    </xf>
    <xf numFmtId="0" fontId="21" fillId="20" borderId="8" xfId="0" applyFont="1" applyFill="1" applyBorder="1" applyAlignment="1">
      <alignment horizontal="center" vertical="center"/>
    </xf>
    <xf numFmtId="0" fontId="21" fillId="20" borderId="7" xfId="0" applyFont="1" applyFill="1" applyBorder="1" applyAlignment="1">
      <alignment horizontal="center" vertical="center"/>
    </xf>
    <xf numFmtId="0" fontId="21" fillId="20" borderId="5" xfId="0" applyFont="1" applyFill="1" applyBorder="1" applyAlignment="1">
      <alignment horizontal="center" vertical="center"/>
    </xf>
    <xf numFmtId="2" fontId="26" fillId="0" borderId="12" xfId="0" applyNumberFormat="1" applyFont="1" applyBorder="1" applyAlignment="1">
      <alignment horizontal="center" vertical="center"/>
    </xf>
    <xf numFmtId="2" fontId="26" fillId="0" borderId="7" xfId="0" applyNumberFormat="1" applyFont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 wrapText="1"/>
    </xf>
    <xf numFmtId="0" fontId="21" fillId="18" borderId="10" xfId="0" applyFont="1" applyFill="1" applyBorder="1" applyAlignment="1">
      <alignment horizontal="center" vertical="center" wrapText="1"/>
    </xf>
    <xf numFmtId="0" fontId="21" fillId="18" borderId="7" xfId="0" applyFont="1" applyFill="1" applyBorder="1" applyAlignment="1">
      <alignment horizontal="center" vertical="center" wrapText="1"/>
    </xf>
    <xf numFmtId="0" fontId="21" fillId="18" borderId="5" xfId="0" applyFont="1" applyFill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/>
    </xf>
    <xf numFmtId="0" fontId="12" fillId="8" borderId="0" xfId="0" applyFont="1" applyFill="1" applyAlignment="1">
      <alignment horizontal="left" vertical="top" wrapText="1"/>
    </xf>
    <xf numFmtId="0" fontId="21" fillId="20" borderId="12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21" fillId="20" borderId="9" xfId="0" applyFont="1" applyFill="1" applyBorder="1" applyAlignment="1">
      <alignment horizontal="center" vertical="center" wrapText="1"/>
    </xf>
    <xf numFmtId="0" fontId="21" fillId="20" borderId="8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center" vertical="center" wrapText="1"/>
    </xf>
    <xf numFmtId="0" fontId="21" fillId="20" borderId="5" xfId="0" applyFont="1" applyFill="1" applyBorder="1" applyAlignment="1">
      <alignment horizontal="center" vertical="center" wrapText="1"/>
    </xf>
    <xf numFmtId="0" fontId="21" fillId="17" borderId="12" xfId="0" applyFont="1" applyFill="1" applyBorder="1" applyAlignment="1">
      <alignment horizontal="center" vertical="center" wrapText="1"/>
    </xf>
    <xf numFmtId="0" fontId="21" fillId="17" borderId="10" xfId="0" applyFont="1" applyFill="1" applyBorder="1" applyAlignment="1">
      <alignment horizontal="center" vertical="center" wrapText="1"/>
    </xf>
    <xf numFmtId="0" fontId="21" fillId="17" borderId="9" xfId="0" applyFont="1" applyFill="1" applyBorder="1" applyAlignment="1">
      <alignment horizontal="center" vertical="center" wrapText="1"/>
    </xf>
    <xf numFmtId="0" fontId="21" fillId="17" borderId="8" xfId="0" applyFont="1" applyFill="1" applyBorder="1" applyAlignment="1">
      <alignment horizontal="center" vertical="center" wrapText="1"/>
    </xf>
    <xf numFmtId="0" fontId="21" fillId="17" borderId="7" xfId="0" applyFont="1" applyFill="1" applyBorder="1" applyAlignment="1">
      <alignment horizontal="center" vertical="center" wrapText="1"/>
    </xf>
    <xf numFmtId="0" fontId="21" fillId="17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10" borderId="0" xfId="0" applyFont="1" applyFill="1" applyAlignment="1">
      <alignment horizontal="center" wrapText="1"/>
    </xf>
    <xf numFmtId="0" fontId="13" fillId="19" borderId="0" xfId="0" applyFont="1" applyFill="1" applyBorder="1" applyAlignment="1">
      <alignment horizontal="center" vertical="center" wrapText="1"/>
    </xf>
    <xf numFmtId="0" fontId="24" fillId="19" borderId="2" xfId="0" applyFont="1" applyFill="1" applyBorder="1" applyAlignment="1">
      <alignment horizontal="left" vertical="center" wrapText="1"/>
    </xf>
    <xf numFmtId="0" fontId="24" fillId="19" borderId="3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center" vertical="top" wrapText="1"/>
    </xf>
    <xf numFmtId="0" fontId="18" fillId="17" borderId="2" xfId="0" applyFont="1" applyFill="1" applyBorder="1" applyAlignment="1">
      <alignment horizontal="center" vertical="center" wrapText="1"/>
    </xf>
    <xf numFmtId="0" fontId="18" fillId="17" borderId="3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53" fillId="28" borderId="12" xfId="0" applyFont="1" applyFill="1" applyBorder="1" applyAlignment="1">
      <alignment horizontal="center" vertical="center" wrapText="1"/>
    </xf>
    <xf numFmtId="0" fontId="53" fillId="28" borderId="11" xfId="0" applyFont="1" applyFill="1" applyBorder="1" applyAlignment="1">
      <alignment horizontal="center" vertical="center" wrapText="1"/>
    </xf>
    <xf numFmtId="0" fontId="53" fillId="28" borderId="7" xfId="0" applyFont="1" applyFill="1" applyBorder="1" applyAlignment="1">
      <alignment horizontal="center" vertical="center" wrapText="1"/>
    </xf>
    <xf numFmtId="0" fontId="53" fillId="28" borderId="6" xfId="0" applyFont="1" applyFill="1" applyBorder="1" applyAlignment="1">
      <alignment horizontal="center" vertical="center" wrapText="1"/>
    </xf>
    <xf numFmtId="0" fontId="54" fillId="28" borderId="10" xfId="0" applyFont="1" applyFill="1" applyBorder="1" applyAlignment="1">
      <alignment horizontal="center" vertical="center" wrapText="1"/>
    </xf>
    <xf numFmtId="0" fontId="54" fillId="28" borderId="5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8" fillId="20" borderId="2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4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18" fillId="18" borderId="3" xfId="0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 wrapText="1"/>
    </xf>
    <xf numFmtId="0" fontId="38" fillId="19" borderId="0" xfId="0" applyFont="1" applyFill="1" applyBorder="1" applyAlignment="1">
      <alignment horizontal="center" vertical="top" wrapText="1"/>
    </xf>
    <xf numFmtId="2" fontId="45" fillId="0" borderId="12" xfId="0" applyNumberFormat="1" applyFont="1" applyBorder="1" applyAlignment="1">
      <alignment horizontal="center" vertical="center"/>
    </xf>
    <xf numFmtId="2" fontId="45" fillId="0" borderId="7" xfId="0" applyNumberFormat="1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7">
    <cellStyle name="Hyperlink" xfId="5" builtinId="8"/>
    <cellStyle name="Procent" xfId="6" builtinId="5"/>
    <cellStyle name="Procent 2" xfId="1"/>
    <cellStyle name="Procent 2 2" xfId="2"/>
    <cellStyle name="Standaard" xfId="0" builtinId="0"/>
    <cellStyle name="Standaard 2" xfId="3"/>
    <cellStyle name="Standaard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33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FF00"/>
      <color rgb="FFCCECFF"/>
      <color rgb="FFCCFFFF"/>
      <color rgb="FFCCFFCC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4791075</xdr:colOff>
      <xdr:row>4</xdr:row>
      <xdr:rowOff>85725</xdr:rowOff>
    </xdr:from>
    <xdr:to>
      <xdr:col>3</xdr:col>
      <xdr:colOff>0</xdr:colOff>
      <xdr:row>6</xdr:row>
      <xdr:rowOff>48746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rcRect b="18520"/>
        <a:stretch>
          <a:fillRect/>
        </a:stretch>
      </xdr:blipFill>
      <xdr:spPr bwMode="auto">
        <a:xfrm>
          <a:off x="1552575" y="85725"/>
          <a:ext cx="0" cy="315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6981825</xdr:colOff>
      <xdr:row>7</xdr:row>
      <xdr:rowOff>180975</xdr:rowOff>
    </xdr:from>
    <xdr:to>
      <xdr:col>3</xdr:col>
      <xdr:colOff>0</xdr:colOff>
      <xdr:row>8</xdr:row>
      <xdr:rowOff>4483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52575" y="342900"/>
          <a:ext cx="0" cy="1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609040</xdr:colOff>
      <xdr:row>1</xdr:row>
      <xdr:rowOff>62234</xdr:rowOff>
    </xdr:from>
    <xdr:to>
      <xdr:col>6</xdr:col>
      <xdr:colOff>182856</xdr:colOff>
      <xdr:row>6</xdr:row>
      <xdr:rowOff>80609</xdr:rowOff>
    </xdr:to>
    <xdr:pic>
      <xdr:nvPicPr>
        <xdr:cNvPr id="4" name="Afbeelding 3" descr="RV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8640" y="224159"/>
          <a:ext cx="2621816" cy="828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14</xdr:col>
      <xdr:colOff>514350</xdr:colOff>
      <xdr:row>1</xdr:row>
      <xdr:rowOff>62234</xdr:rowOff>
    </xdr:from>
    <xdr:to>
      <xdr:col>18</xdr:col>
      <xdr:colOff>595738</xdr:colOff>
      <xdr:row>6</xdr:row>
      <xdr:rowOff>80609</xdr:rowOff>
    </xdr:to>
    <xdr:pic>
      <xdr:nvPicPr>
        <xdr:cNvPr id="5" name="Afbeelding 4" descr="CE 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24159"/>
          <a:ext cx="2519788" cy="828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13</xdr:row>
      <xdr:rowOff>199908</xdr:rowOff>
    </xdr:from>
    <xdr:to>
      <xdr:col>17</xdr:col>
      <xdr:colOff>1</xdr:colOff>
      <xdr:row>14</xdr:row>
      <xdr:rowOff>116</xdr:rowOff>
    </xdr:to>
    <xdr:cxnSp macro="">
      <xdr:nvCxnSpPr>
        <xdr:cNvPr id="12" name="Rechte verbindingslijn met pijl 11"/>
        <xdr:cNvCxnSpPr/>
      </xdr:nvCxnSpPr>
      <xdr:spPr>
        <a:xfrm flipV="1">
          <a:off x="4562475" y="1685808"/>
          <a:ext cx="381001" cy="233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100013</xdr:rowOff>
    </xdr:from>
    <xdr:to>
      <xdr:col>17</xdr:col>
      <xdr:colOff>0</xdr:colOff>
      <xdr:row>16</xdr:row>
      <xdr:rowOff>100013</xdr:rowOff>
    </xdr:to>
    <xdr:cxnSp macro="">
      <xdr:nvCxnSpPr>
        <xdr:cNvPr id="13" name="Rechte verbindingslijn met pijl 12"/>
        <xdr:cNvCxnSpPr/>
      </xdr:nvCxnSpPr>
      <xdr:spPr>
        <a:xfrm>
          <a:off x="4562475" y="2185988"/>
          <a:ext cx="381000" cy="0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30</xdr:row>
      <xdr:rowOff>111487</xdr:rowOff>
    </xdr:from>
    <xdr:to>
      <xdr:col>17</xdr:col>
      <xdr:colOff>0</xdr:colOff>
      <xdr:row>30</xdr:row>
      <xdr:rowOff>114345</xdr:rowOff>
    </xdr:to>
    <xdr:cxnSp macro="">
      <xdr:nvCxnSpPr>
        <xdr:cNvPr id="14" name="Rechte verbindingslijn met pijl 13"/>
        <xdr:cNvCxnSpPr/>
      </xdr:nvCxnSpPr>
      <xdr:spPr>
        <a:xfrm>
          <a:off x="5043714" y="3903344"/>
          <a:ext cx="453572" cy="2858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19</xdr:row>
      <xdr:rowOff>16969</xdr:rowOff>
    </xdr:from>
    <xdr:to>
      <xdr:col>17</xdr:col>
      <xdr:colOff>1</xdr:colOff>
      <xdr:row>19</xdr:row>
      <xdr:rowOff>16970</xdr:rowOff>
    </xdr:to>
    <xdr:cxnSp macro="">
      <xdr:nvCxnSpPr>
        <xdr:cNvPr id="18" name="Rechte verbindingslijn met pijl 17"/>
        <xdr:cNvCxnSpPr/>
      </xdr:nvCxnSpPr>
      <xdr:spPr>
        <a:xfrm>
          <a:off x="4562475" y="2703019"/>
          <a:ext cx="381001" cy="1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357188</xdr:colOff>
      <xdr:row>14</xdr:row>
      <xdr:rowOff>199791</xdr:rowOff>
    </xdr:from>
    <xdr:to>
      <xdr:col>17</xdr:col>
      <xdr:colOff>357768</xdr:colOff>
      <xdr:row>16</xdr:row>
      <xdr:rowOff>0</xdr:rowOff>
    </xdr:to>
    <xdr:cxnSp macro="">
      <xdr:nvCxnSpPr>
        <xdr:cNvPr id="19" name="Rechte verbindingslijn met pijl 18"/>
        <xdr:cNvCxnSpPr/>
      </xdr:nvCxnSpPr>
      <xdr:spPr>
        <a:xfrm>
          <a:off x="5300663" y="1885716"/>
          <a:ext cx="580" cy="200259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357768</xdr:colOff>
      <xdr:row>17</xdr:row>
      <xdr:rowOff>0</xdr:rowOff>
    </xdr:from>
    <xdr:to>
      <xdr:col>17</xdr:col>
      <xdr:colOff>358141</xdr:colOff>
      <xdr:row>18</xdr:row>
      <xdr:rowOff>4820</xdr:rowOff>
    </xdr:to>
    <xdr:cxnSp macro="">
      <xdr:nvCxnSpPr>
        <xdr:cNvPr id="20" name="Rechte verbindingslijn met pijl 19"/>
        <xdr:cNvCxnSpPr/>
      </xdr:nvCxnSpPr>
      <xdr:spPr>
        <a:xfrm>
          <a:off x="5301243" y="2286000"/>
          <a:ext cx="373" cy="204845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358141</xdr:colOff>
      <xdr:row>19</xdr:row>
      <xdr:rowOff>200570</xdr:rowOff>
    </xdr:from>
    <xdr:to>
      <xdr:col>17</xdr:col>
      <xdr:colOff>359756</xdr:colOff>
      <xdr:row>21</xdr:row>
      <xdr:rowOff>4905</xdr:rowOff>
    </xdr:to>
    <xdr:cxnSp macro="">
      <xdr:nvCxnSpPr>
        <xdr:cNvPr id="21" name="Rechte verbindingslijn met pijl 20"/>
        <xdr:cNvCxnSpPr/>
      </xdr:nvCxnSpPr>
      <xdr:spPr>
        <a:xfrm>
          <a:off x="5301616" y="2886620"/>
          <a:ext cx="1615" cy="204385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359227</xdr:colOff>
      <xdr:row>28</xdr:row>
      <xdr:rowOff>2837</xdr:rowOff>
    </xdr:from>
    <xdr:to>
      <xdr:col>17</xdr:col>
      <xdr:colOff>359756</xdr:colOff>
      <xdr:row>28</xdr:row>
      <xdr:rowOff>194310</xdr:rowOff>
    </xdr:to>
    <xdr:cxnSp macro="">
      <xdr:nvCxnSpPr>
        <xdr:cNvPr id="22" name="Rechte verbindingslijn met pijl 21"/>
        <xdr:cNvCxnSpPr/>
      </xdr:nvCxnSpPr>
      <xdr:spPr>
        <a:xfrm flipH="1">
          <a:off x="5302702" y="4489112"/>
          <a:ext cx="529" cy="191473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357768</xdr:colOff>
      <xdr:row>31</xdr:row>
      <xdr:rowOff>198120</xdr:rowOff>
    </xdr:from>
    <xdr:to>
      <xdr:col>17</xdr:col>
      <xdr:colOff>358275</xdr:colOff>
      <xdr:row>33</xdr:row>
      <xdr:rowOff>0</xdr:rowOff>
    </xdr:to>
    <xdr:cxnSp macro="">
      <xdr:nvCxnSpPr>
        <xdr:cNvPr id="23" name="Rechte verbindingslijn met pijl 22"/>
        <xdr:cNvCxnSpPr/>
      </xdr:nvCxnSpPr>
      <xdr:spPr>
        <a:xfrm flipH="1">
          <a:off x="5301243" y="5284470"/>
          <a:ext cx="507" cy="201930"/>
        </a:xfrm>
        <a:prstGeom prst="straightConnector1">
          <a:avLst/>
        </a:prstGeom>
        <a:ln w="25400">
          <a:prstDash val="dash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357768</xdr:colOff>
      <xdr:row>36</xdr:row>
      <xdr:rowOff>0</xdr:rowOff>
    </xdr:from>
    <xdr:to>
      <xdr:col>17</xdr:col>
      <xdr:colOff>357768</xdr:colOff>
      <xdr:row>37</xdr:row>
      <xdr:rowOff>6569</xdr:rowOff>
    </xdr:to>
    <xdr:cxnSp macro="">
      <xdr:nvCxnSpPr>
        <xdr:cNvPr id="24" name="Rechte verbindingslijn met pijl 23"/>
        <xdr:cNvCxnSpPr/>
      </xdr:nvCxnSpPr>
      <xdr:spPr>
        <a:xfrm>
          <a:off x="5301243" y="6086475"/>
          <a:ext cx="0" cy="206594"/>
        </a:xfrm>
        <a:prstGeom prst="straightConnector1">
          <a:avLst/>
        </a:prstGeom>
        <a:ln w="25400">
          <a:prstDash val="dash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95250</xdr:rowOff>
    </xdr:from>
    <xdr:to>
      <xdr:col>17</xdr:col>
      <xdr:colOff>1</xdr:colOff>
      <xdr:row>21</xdr:row>
      <xdr:rowOff>95251</xdr:rowOff>
    </xdr:to>
    <xdr:cxnSp macro="">
      <xdr:nvCxnSpPr>
        <xdr:cNvPr id="25" name="Rechte verbindingslijn met pijl 24"/>
        <xdr:cNvCxnSpPr/>
      </xdr:nvCxnSpPr>
      <xdr:spPr>
        <a:xfrm>
          <a:off x="4562475" y="3181350"/>
          <a:ext cx="381001" cy="1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23</xdr:row>
      <xdr:rowOff>95250</xdr:rowOff>
    </xdr:from>
    <xdr:to>
      <xdr:col>17</xdr:col>
      <xdr:colOff>1</xdr:colOff>
      <xdr:row>23</xdr:row>
      <xdr:rowOff>95251</xdr:rowOff>
    </xdr:to>
    <xdr:cxnSp macro="">
      <xdr:nvCxnSpPr>
        <xdr:cNvPr id="26" name="Rechte verbindingslijn met pijl 25"/>
        <xdr:cNvCxnSpPr/>
      </xdr:nvCxnSpPr>
      <xdr:spPr>
        <a:xfrm>
          <a:off x="4562475" y="3581400"/>
          <a:ext cx="381001" cy="1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27</xdr:row>
      <xdr:rowOff>95250</xdr:rowOff>
    </xdr:from>
    <xdr:to>
      <xdr:col>17</xdr:col>
      <xdr:colOff>1</xdr:colOff>
      <xdr:row>27</xdr:row>
      <xdr:rowOff>95251</xdr:rowOff>
    </xdr:to>
    <xdr:cxnSp macro="">
      <xdr:nvCxnSpPr>
        <xdr:cNvPr id="27" name="Rechte verbindingslijn met pijl 26"/>
        <xdr:cNvCxnSpPr/>
      </xdr:nvCxnSpPr>
      <xdr:spPr>
        <a:xfrm>
          <a:off x="4562475" y="4381500"/>
          <a:ext cx="381001" cy="1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37</xdr:row>
      <xdr:rowOff>103816</xdr:rowOff>
    </xdr:from>
    <xdr:to>
      <xdr:col>17</xdr:col>
      <xdr:colOff>0</xdr:colOff>
      <xdr:row>37</xdr:row>
      <xdr:rowOff>103816</xdr:rowOff>
    </xdr:to>
    <xdr:cxnSp macro="">
      <xdr:nvCxnSpPr>
        <xdr:cNvPr id="33" name="Rechte verbindingslijn met pijl 32"/>
        <xdr:cNvCxnSpPr/>
      </xdr:nvCxnSpPr>
      <xdr:spPr>
        <a:xfrm>
          <a:off x="4562475" y="6390316"/>
          <a:ext cx="381000" cy="0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39</xdr:row>
      <xdr:rowOff>103816</xdr:rowOff>
    </xdr:from>
    <xdr:to>
      <xdr:col>17</xdr:col>
      <xdr:colOff>0</xdr:colOff>
      <xdr:row>39</xdr:row>
      <xdr:rowOff>103816</xdr:rowOff>
    </xdr:to>
    <xdr:cxnSp macro="">
      <xdr:nvCxnSpPr>
        <xdr:cNvPr id="34" name="Rechte verbindingslijn met pijl 33"/>
        <xdr:cNvCxnSpPr/>
      </xdr:nvCxnSpPr>
      <xdr:spPr>
        <a:xfrm>
          <a:off x="4562475" y="6790366"/>
          <a:ext cx="381000" cy="0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41</xdr:row>
      <xdr:rowOff>103816</xdr:rowOff>
    </xdr:from>
    <xdr:to>
      <xdr:col>17</xdr:col>
      <xdr:colOff>0</xdr:colOff>
      <xdr:row>41</xdr:row>
      <xdr:rowOff>103816</xdr:rowOff>
    </xdr:to>
    <xdr:cxnSp macro="">
      <xdr:nvCxnSpPr>
        <xdr:cNvPr id="35" name="Rechte verbindingslijn met pijl 34"/>
        <xdr:cNvCxnSpPr/>
      </xdr:nvCxnSpPr>
      <xdr:spPr>
        <a:xfrm>
          <a:off x="4562475" y="7190416"/>
          <a:ext cx="381000" cy="0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12</xdr:row>
      <xdr:rowOff>99786</xdr:rowOff>
    </xdr:from>
    <xdr:to>
      <xdr:col>19</xdr:col>
      <xdr:colOff>457200</xdr:colOff>
      <xdr:row>15</xdr:row>
      <xdr:rowOff>108857</xdr:rowOff>
    </xdr:to>
    <xdr:sp macro="" textlink="">
      <xdr:nvSpPr>
        <xdr:cNvPr id="38" name="Rechteraccolade 37"/>
        <xdr:cNvSpPr/>
      </xdr:nvSpPr>
      <xdr:spPr bwMode="auto">
        <a:xfrm>
          <a:off x="6449786" y="789215"/>
          <a:ext cx="457200" cy="553356"/>
        </a:xfrm>
        <a:prstGeom prst="rightBrace">
          <a:avLst>
            <a:gd name="adj1" fmla="val 9191"/>
            <a:gd name="adj2" fmla="val 51253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16</xdr:col>
      <xdr:colOff>0</xdr:colOff>
      <xdr:row>34</xdr:row>
      <xdr:rowOff>108852</xdr:rowOff>
    </xdr:from>
    <xdr:to>
      <xdr:col>17</xdr:col>
      <xdr:colOff>0</xdr:colOff>
      <xdr:row>34</xdr:row>
      <xdr:rowOff>111710</xdr:rowOff>
    </xdr:to>
    <xdr:cxnSp macro="">
      <xdr:nvCxnSpPr>
        <xdr:cNvPr id="39" name="Rechte verbindingslijn met pijl 38"/>
        <xdr:cNvCxnSpPr/>
      </xdr:nvCxnSpPr>
      <xdr:spPr>
        <a:xfrm>
          <a:off x="5043714" y="4626423"/>
          <a:ext cx="453572" cy="2858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17</xdr:row>
      <xdr:rowOff>90714</xdr:rowOff>
    </xdr:from>
    <xdr:to>
      <xdr:col>19</xdr:col>
      <xdr:colOff>457200</xdr:colOff>
      <xdr:row>20</xdr:row>
      <xdr:rowOff>99786</xdr:rowOff>
    </xdr:to>
    <xdr:sp macro="" textlink="">
      <xdr:nvSpPr>
        <xdr:cNvPr id="40" name="Rechteraccolade 39"/>
        <xdr:cNvSpPr/>
      </xdr:nvSpPr>
      <xdr:spPr bwMode="auto">
        <a:xfrm>
          <a:off x="6449786" y="1687285"/>
          <a:ext cx="457200" cy="553358"/>
        </a:xfrm>
        <a:prstGeom prst="rightBrace">
          <a:avLst>
            <a:gd name="adj1" fmla="val 9191"/>
            <a:gd name="adj2" fmla="val 49614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19</xdr:col>
      <xdr:colOff>0</xdr:colOff>
      <xdr:row>28</xdr:row>
      <xdr:rowOff>99786</xdr:rowOff>
    </xdr:from>
    <xdr:to>
      <xdr:col>19</xdr:col>
      <xdr:colOff>457200</xdr:colOff>
      <xdr:row>36</xdr:row>
      <xdr:rowOff>90714</xdr:rowOff>
    </xdr:to>
    <xdr:sp macro="" textlink="">
      <xdr:nvSpPr>
        <xdr:cNvPr id="41" name="Rechteraccolade 40"/>
        <xdr:cNvSpPr/>
      </xdr:nvSpPr>
      <xdr:spPr bwMode="auto">
        <a:xfrm>
          <a:off x="6331857" y="3528786"/>
          <a:ext cx="457200" cy="1442357"/>
        </a:xfrm>
        <a:prstGeom prst="rightBrace">
          <a:avLst>
            <a:gd name="adj1" fmla="val 9191"/>
            <a:gd name="adj2" fmla="val 47975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18</xdr:col>
      <xdr:colOff>116113</xdr:colOff>
      <xdr:row>20</xdr:row>
      <xdr:rowOff>97972</xdr:rowOff>
    </xdr:from>
    <xdr:to>
      <xdr:col>19</xdr:col>
      <xdr:colOff>455385</xdr:colOff>
      <xdr:row>28</xdr:row>
      <xdr:rowOff>88900</xdr:rowOff>
    </xdr:to>
    <xdr:sp macro="" textlink="">
      <xdr:nvSpPr>
        <xdr:cNvPr id="42" name="Rechteraccolade 41"/>
        <xdr:cNvSpPr/>
      </xdr:nvSpPr>
      <xdr:spPr bwMode="auto">
        <a:xfrm>
          <a:off x="6330042" y="2075543"/>
          <a:ext cx="457200" cy="1442357"/>
        </a:xfrm>
        <a:prstGeom prst="rightBrace">
          <a:avLst>
            <a:gd name="adj1" fmla="val 9191"/>
            <a:gd name="adj2" fmla="val 47975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19</xdr:col>
      <xdr:colOff>5443</xdr:colOff>
      <xdr:row>36</xdr:row>
      <xdr:rowOff>87087</xdr:rowOff>
    </xdr:from>
    <xdr:to>
      <xdr:col>19</xdr:col>
      <xdr:colOff>462643</xdr:colOff>
      <xdr:row>42</xdr:row>
      <xdr:rowOff>108858</xdr:rowOff>
    </xdr:to>
    <xdr:sp macro="" textlink="">
      <xdr:nvSpPr>
        <xdr:cNvPr id="43" name="Rechteraccolade 42"/>
        <xdr:cNvSpPr/>
      </xdr:nvSpPr>
      <xdr:spPr bwMode="auto">
        <a:xfrm>
          <a:off x="6337300" y="4967516"/>
          <a:ext cx="457200" cy="1110342"/>
        </a:xfrm>
        <a:prstGeom prst="rightBrace">
          <a:avLst>
            <a:gd name="adj1" fmla="val 9191"/>
            <a:gd name="adj2" fmla="val 47975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19</xdr:col>
      <xdr:colOff>7257</xdr:colOff>
      <xdr:row>15</xdr:row>
      <xdr:rowOff>97971</xdr:rowOff>
    </xdr:from>
    <xdr:to>
      <xdr:col>19</xdr:col>
      <xdr:colOff>464457</xdr:colOff>
      <xdr:row>17</xdr:row>
      <xdr:rowOff>99785</xdr:rowOff>
    </xdr:to>
    <xdr:sp macro="" textlink="">
      <xdr:nvSpPr>
        <xdr:cNvPr id="44" name="Rechteraccolade 43"/>
        <xdr:cNvSpPr/>
      </xdr:nvSpPr>
      <xdr:spPr bwMode="auto">
        <a:xfrm>
          <a:off x="6339114" y="1168400"/>
          <a:ext cx="457200" cy="364671"/>
        </a:xfrm>
        <a:prstGeom prst="rightBrace">
          <a:avLst>
            <a:gd name="adj1" fmla="val 9191"/>
            <a:gd name="adj2" fmla="val 51253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21</xdr:col>
      <xdr:colOff>4791075</xdr:colOff>
      <xdr:row>0</xdr:row>
      <xdr:rowOff>0</xdr:rowOff>
    </xdr:from>
    <xdr:to>
      <xdr:col>21</xdr:col>
      <xdr:colOff>771525</xdr:colOff>
      <xdr:row>2</xdr:row>
      <xdr:rowOff>54349</xdr:rowOff>
    </xdr:to>
    <xdr:pic>
      <xdr:nvPicPr>
        <xdr:cNvPr id="3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rcRect b="18520"/>
        <a:stretch>
          <a:fillRect/>
        </a:stretch>
      </xdr:blipFill>
      <xdr:spPr bwMode="auto">
        <a:xfrm>
          <a:off x="5038725" y="85725"/>
          <a:ext cx="20764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6981825</xdr:colOff>
      <xdr:row>0</xdr:row>
      <xdr:rowOff>0</xdr:rowOff>
    </xdr:from>
    <xdr:to>
      <xdr:col>21</xdr:col>
      <xdr:colOff>771525</xdr:colOff>
      <xdr:row>0</xdr:row>
      <xdr:rowOff>14008</xdr:rowOff>
    </xdr:to>
    <xdr:pic>
      <xdr:nvPicPr>
        <xdr:cNvPr id="36" name="Afbeelding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29475" y="352425"/>
          <a:ext cx="1104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4791075</xdr:colOff>
      <xdr:row>5</xdr:row>
      <xdr:rowOff>85725</xdr:rowOff>
    </xdr:from>
    <xdr:to>
      <xdr:col>2</xdr:col>
      <xdr:colOff>0</xdr:colOff>
      <xdr:row>7</xdr:row>
      <xdr:rowOff>48746</xdr:rowOff>
    </xdr:to>
    <xdr:pic>
      <xdr:nvPicPr>
        <xdr:cNvPr id="28" name="Afbeelding 27"/>
        <xdr:cNvPicPr>
          <a:picLocks noChangeAspect="1"/>
        </xdr:cNvPicPr>
      </xdr:nvPicPr>
      <xdr:blipFill>
        <a:blip xmlns:r="http://schemas.openxmlformats.org/officeDocument/2006/relationships" r:embed="rId1"/>
        <a:srcRect b="18520"/>
        <a:stretch>
          <a:fillRect/>
        </a:stretch>
      </xdr:blipFill>
      <xdr:spPr bwMode="auto">
        <a:xfrm>
          <a:off x="1552575" y="1038225"/>
          <a:ext cx="0" cy="3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6981825</xdr:colOff>
      <xdr:row>1</xdr:row>
      <xdr:rowOff>180975</xdr:rowOff>
    </xdr:from>
    <xdr:to>
      <xdr:col>2</xdr:col>
      <xdr:colOff>0</xdr:colOff>
      <xdr:row>2</xdr:row>
      <xdr:rowOff>4483</xdr:rowOff>
    </xdr:to>
    <xdr:pic>
      <xdr:nvPicPr>
        <xdr:cNvPr id="29" name="Afbeelding 2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52575" y="371475"/>
          <a:ext cx="0" cy="1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42831</xdr:colOff>
      <xdr:row>1</xdr:row>
      <xdr:rowOff>125735</xdr:rowOff>
    </xdr:from>
    <xdr:to>
      <xdr:col>16</xdr:col>
      <xdr:colOff>182855</xdr:colOff>
      <xdr:row>6</xdr:row>
      <xdr:rowOff>144110</xdr:rowOff>
    </xdr:to>
    <xdr:pic>
      <xdr:nvPicPr>
        <xdr:cNvPr id="30" name="Afbeelding 29" descr="RV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5906" y="316235"/>
          <a:ext cx="2930849" cy="97087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17</xdr:col>
      <xdr:colOff>170389</xdr:colOff>
      <xdr:row>1</xdr:row>
      <xdr:rowOff>136312</xdr:rowOff>
    </xdr:from>
    <xdr:to>
      <xdr:col>22</xdr:col>
      <xdr:colOff>52789</xdr:colOff>
      <xdr:row>6</xdr:row>
      <xdr:rowOff>144282</xdr:rowOff>
    </xdr:to>
    <xdr:pic>
      <xdr:nvPicPr>
        <xdr:cNvPr id="31" name="Afbeelding 30" descr="CE Logo.pn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00624" y="293194"/>
          <a:ext cx="2930400" cy="96047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150950</xdr:colOff>
      <xdr:row>17</xdr:row>
      <xdr:rowOff>0</xdr:rowOff>
    </xdr:from>
    <xdr:to>
      <xdr:col>8</xdr:col>
      <xdr:colOff>151323</xdr:colOff>
      <xdr:row>18</xdr:row>
      <xdr:rowOff>4820</xdr:rowOff>
    </xdr:to>
    <xdr:cxnSp macro="">
      <xdr:nvCxnSpPr>
        <xdr:cNvPr id="12" name="Rechte verbindingslijn met pijl 11"/>
        <xdr:cNvCxnSpPr/>
      </xdr:nvCxnSpPr>
      <xdr:spPr>
        <a:xfrm>
          <a:off x="5142050" y="3004457"/>
          <a:ext cx="373" cy="184434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151323</xdr:colOff>
      <xdr:row>19</xdr:row>
      <xdr:rowOff>162470</xdr:rowOff>
    </xdr:from>
    <xdr:to>
      <xdr:col>8</xdr:col>
      <xdr:colOff>152938</xdr:colOff>
      <xdr:row>21</xdr:row>
      <xdr:rowOff>4905</xdr:rowOff>
    </xdr:to>
    <xdr:cxnSp macro="">
      <xdr:nvCxnSpPr>
        <xdr:cNvPr id="13" name="Rechte verbindingslijn met pijl 12"/>
        <xdr:cNvCxnSpPr/>
      </xdr:nvCxnSpPr>
      <xdr:spPr>
        <a:xfrm>
          <a:off x="5142423" y="3509827"/>
          <a:ext cx="1615" cy="185335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152409</xdr:colOff>
      <xdr:row>26</xdr:row>
      <xdr:rowOff>2837</xdr:rowOff>
    </xdr:from>
    <xdr:to>
      <xdr:col>8</xdr:col>
      <xdr:colOff>152938</xdr:colOff>
      <xdr:row>27</xdr:row>
      <xdr:rowOff>5171</xdr:rowOff>
    </xdr:to>
    <xdr:cxnSp macro="">
      <xdr:nvCxnSpPr>
        <xdr:cNvPr id="14" name="Rechte verbindingslijn met pijl 13"/>
        <xdr:cNvCxnSpPr/>
      </xdr:nvCxnSpPr>
      <xdr:spPr>
        <a:xfrm flipH="1">
          <a:off x="5143509" y="4509523"/>
          <a:ext cx="529" cy="181948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150950</xdr:colOff>
      <xdr:row>28</xdr:row>
      <xdr:rowOff>163285</xdr:rowOff>
    </xdr:from>
    <xdr:to>
      <xdr:col>8</xdr:col>
      <xdr:colOff>152409</xdr:colOff>
      <xdr:row>29</xdr:row>
      <xdr:rowOff>190500</xdr:rowOff>
    </xdr:to>
    <xdr:cxnSp macro="">
      <xdr:nvCxnSpPr>
        <xdr:cNvPr id="15" name="Rechte verbindingslijn met pijl 14"/>
        <xdr:cNvCxnSpPr/>
      </xdr:nvCxnSpPr>
      <xdr:spPr>
        <a:xfrm flipH="1">
          <a:off x="5142050" y="5012871"/>
          <a:ext cx="1459" cy="190500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150950</xdr:colOff>
      <xdr:row>34</xdr:row>
      <xdr:rowOff>4647</xdr:rowOff>
    </xdr:from>
    <xdr:to>
      <xdr:col>8</xdr:col>
      <xdr:colOff>150950</xdr:colOff>
      <xdr:row>35</xdr:row>
      <xdr:rowOff>7620</xdr:rowOff>
    </xdr:to>
    <xdr:cxnSp macro="">
      <xdr:nvCxnSpPr>
        <xdr:cNvPr id="16" name="Rechte verbindingslijn met pijl 15"/>
        <xdr:cNvCxnSpPr/>
      </xdr:nvCxnSpPr>
      <xdr:spPr>
        <a:xfrm>
          <a:off x="5142050" y="5861161"/>
          <a:ext cx="0" cy="182588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150950</xdr:colOff>
      <xdr:row>11</xdr:row>
      <xdr:rowOff>0</xdr:rowOff>
    </xdr:from>
    <xdr:to>
      <xdr:col>8</xdr:col>
      <xdr:colOff>151323</xdr:colOff>
      <xdr:row>12</xdr:row>
      <xdr:rowOff>4820</xdr:rowOff>
    </xdr:to>
    <xdr:cxnSp macro="">
      <xdr:nvCxnSpPr>
        <xdr:cNvPr id="20" name="Rechte verbindingslijn met pijl 19"/>
        <xdr:cNvCxnSpPr/>
      </xdr:nvCxnSpPr>
      <xdr:spPr>
        <a:xfrm>
          <a:off x="5142050" y="1953986"/>
          <a:ext cx="373" cy="184434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</xdr:row>
      <xdr:rowOff>0</xdr:rowOff>
    </xdr:from>
    <xdr:to>
      <xdr:col>9</xdr:col>
      <xdr:colOff>5443</xdr:colOff>
      <xdr:row>11</xdr:row>
      <xdr:rowOff>0</xdr:rowOff>
    </xdr:to>
    <xdr:sp macro="" textlink="">
      <xdr:nvSpPr>
        <xdr:cNvPr id="21" name="Rechthoek 20"/>
        <xdr:cNvSpPr/>
      </xdr:nvSpPr>
      <xdr:spPr bwMode="auto">
        <a:xfrm>
          <a:off x="4381500" y="1137557"/>
          <a:ext cx="1529443" cy="816429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nl-N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582698</xdr:colOff>
      <xdr:row>8</xdr:row>
      <xdr:rowOff>22413</xdr:rowOff>
    </xdr:from>
    <xdr:to>
      <xdr:col>3</xdr:col>
      <xdr:colOff>582698</xdr:colOff>
      <xdr:row>9</xdr:row>
      <xdr:rowOff>167119</xdr:rowOff>
    </xdr:to>
    <xdr:cxnSp macro="">
      <xdr:nvCxnSpPr>
        <xdr:cNvPr id="2" name="Rechte verbindingslijn met pijl 1"/>
        <xdr:cNvCxnSpPr/>
      </xdr:nvCxnSpPr>
      <xdr:spPr bwMode="auto">
        <a:xfrm>
          <a:off x="1963823" y="1451163"/>
          <a:ext cx="0" cy="32568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0070C0"/>
          </a:solidFill>
          <a:prstDash val="solid"/>
          <a:round/>
          <a:headEnd type="none" w="med" len="med"/>
          <a:tailEnd type="triangle" w="sm" len="med"/>
        </a:ln>
        <a:effectLst/>
      </xdr:spPr>
    </xdr:cxnSp>
    <xdr:clientData/>
  </xdr:twoCellAnchor>
  <xdr:twoCellAnchor>
    <xdr:from>
      <xdr:col>4</xdr:col>
      <xdr:colOff>358592</xdr:colOff>
      <xdr:row>8</xdr:row>
      <xdr:rowOff>22413</xdr:rowOff>
    </xdr:from>
    <xdr:to>
      <xdr:col>4</xdr:col>
      <xdr:colOff>358592</xdr:colOff>
      <xdr:row>9</xdr:row>
      <xdr:rowOff>167119</xdr:rowOff>
    </xdr:to>
    <xdr:cxnSp macro="">
      <xdr:nvCxnSpPr>
        <xdr:cNvPr id="3" name="Rechte verbindingslijn met pijl 2"/>
        <xdr:cNvCxnSpPr/>
      </xdr:nvCxnSpPr>
      <xdr:spPr bwMode="auto">
        <a:xfrm>
          <a:off x="4178117" y="1451163"/>
          <a:ext cx="0" cy="32568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0070C0"/>
          </a:solidFill>
          <a:prstDash val="solid"/>
          <a:round/>
          <a:headEnd type="none" w="med" len="med"/>
          <a:tailEnd type="triangle" w="sm" len="med"/>
        </a:ln>
        <a:effectLst/>
      </xdr:spPr>
    </xdr:cxnSp>
    <xdr:clientData/>
  </xdr:twoCellAnchor>
  <xdr:twoCellAnchor>
    <xdr:from>
      <xdr:col>6</xdr:col>
      <xdr:colOff>9525</xdr:colOff>
      <xdr:row>13</xdr:row>
      <xdr:rowOff>57150</xdr:rowOff>
    </xdr:from>
    <xdr:to>
      <xdr:col>6</xdr:col>
      <xdr:colOff>434787</xdr:colOff>
      <xdr:row>14</xdr:row>
      <xdr:rowOff>95809</xdr:rowOff>
    </xdr:to>
    <xdr:sp macro="" textlink="">
      <xdr:nvSpPr>
        <xdr:cNvPr id="4" name="PIJL-RECHTS 3"/>
        <xdr:cNvSpPr/>
      </xdr:nvSpPr>
      <xdr:spPr bwMode="auto">
        <a:xfrm>
          <a:off x="5276850" y="2095500"/>
          <a:ext cx="425262" cy="229159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9525</xdr:colOff>
      <xdr:row>13</xdr:row>
      <xdr:rowOff>57150</xdr:rowOff>
    </xdr:from>
    <xdr:to>
      <xdr:col>8</xdr:col>
      <xdr:colOff>425262</xdr:colOff>
      <xdr:row>14</xdr:row>
      <xdr:rowOff>95809</xdr:rowOff>
    </xdr:to>
    <xdr:sp macro="" textlink="">
      <xdr:nvSpPr>
        <xdr:cNvPr id="5" name="PIJL-RECHTS 4"/>
        <xdr:cNvSpPr/>
      </xdr:nvSpPr>
      <xdr:spPr bwMode="auto">
        <a:xfrm>
          <a:off x="6705600" y="2095500"/>
          <a:ext cx="415737" cy="229159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9525</xdr:colOff>
      <xdr:row>38</xdr:row>
      <xdr:rowOff>85725</xdr:rowOff>
    </xdr:from>
    <xdr:to>
      <xdr:col>6</xdr:col>
      <xdr:colOff>434787</xdr:colOff>
      <xdr:row>39</xdr:row>
      <xdr:rowOff>124384</xdr:rowOff>
    </xdr:to>
    <xdr:sp macro="" textlink="">
      <xdr:nvSpPr>
        <xdr:cNvPr id="6" name="PIJL-RECHTS 5"/>
        <xdr:cNvSpPr/>
      </xdr:nvSpPr>
      <xdr:spPr bwMode="auto">
        <a:xfrm>
          <a:off x="5276850" y="3238500"/>
          <a:ext cx="425262" cy="229159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9525</xdr:colOff>
      <xdr:row>38</xdr:row>
      <xdr:rowOff>85725</xdr:rowOff>
    </xdr:from>
    <xdr:to>
      <xdr:col>8</xdr:col>
      <xdr:colOff>425262</xdr:colOff>
      <xdr:row>39</xdr:row>
      <xdr:rowOff>124384</xdr:rowOff>
    </xdr:to>
    <xdr:sp macro="" textlink="">
      <xdr:nvSpPr>
        <xdr:cNvPr id="7" name="PIJL-RECHTS 6"/>
        <xdr:cNvSpPr/>
      </xdr:nvSpPr>
      <xdr:spPr bwMode="auto">
        <a:xfrm>
          <a:off x="6705600" y="3238500"/>
          <a:ext cx="415737" cy="229159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20052</xdr:colOff>
      <xdr:row>13</xdr:row>
      <xdr:rowOff>40104</xdr:rowOff>
    </xdr:from>
    <xdr:to>
      <xdr:col>7</xdr:col>
      <xdr:colOff>3803</xdr:colOff>
      <xdr:row>14</xdr:row>
      <xdr:rowOff>103800</xdr:rowOff>
    </xdr:to>
    <xdr:sp macro="" textlink="">
      <xdr:nvSpPr>
        <xdr:cNvPr id="2" name="PIJL-RECHTS 1"/>
        <xdr:cNvSpPr/>
      </xdr:nvSpPr>
      <xdr:spPr bwMode="auto">
        <a:xfrm>
          <a:off x="5287377" y="2049879"/>
          <a:ext cx="43142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20052</xdr:colOff>
      <xdr:row>19</xdr:row>
      <xdr:rowOff>130343</xdr:rowOff>
    </xdr:from>
    <xdr:to>
      <xdr:col>6</xdr:col>
      <xdr:colOff>927728</xdr:colOff>
      <xdr:row>21</xdr:row>
      <xdr:rowOff>33618</xdr:rowOff>
    </xdr:to>
    <xdr:sp macro="" textlink="">
      <xdr:nvSpPr>
        <xdr:cNvPr id="3" name="PIJL-RECHTS 2"/>
        <xdr:cNvSpPr/>
      </xdr:nvSpPr>
      <xdr:spPr bwMode="auto">
        <a:xfrm>
          <a:off x="5068302" y="3111668"/>
          <a:ext cx="431426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20052</xdr:colOff>
      <xdr:row>26</xdr:row>
      <xdr:rowOff>30078</xdr:rowOff>
    </xdr:from>
    <xdr:to>
      <xdr:col>6</xdr:col>
      <xdr:colOff>927728</xdr:colOff>
      <xdr:row>27</xdr:row>
      <xdr:rowOff>93774</xdr:rowOff>
    </xdr:to>
    <xdr:sp macro="" textlink="">
      <xdr:nvSpPr>
        <xdr:cNvPr id="4" name="PIJL-RECHTS 3"/>
        <xdr:cNvSpPr/>
      </xdr:nvSpPr>
      <xdr:spPr bwMode="auto">
        <a:xfrm>
          <a:off x="5068302" y="4144878"/>
          <a:ext cx="43142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13</xdr:row>
      <xdr:rowOff>40104</xdr:rowOff>
    </xdr:from>
    <xdr:to>
      <xdr:col>8</xdr:col>
      <xdr:colOff>927728</xdr:colOff>
      <xdr:row>14</xdr:row>
      <xdr:rowOff>103800</xdr:rowOff>
    </xdr:to>
    <xdr:sp macro="" textlink="">
      <xdr:nvSpPr>
        <xdr:cNvPr id="5" name="PIJL-RECHTS 4"/>
        <xdr:cNvSpPr/>
      </xdr:nvSpPr>
      <xdr:spPr bwMode="auto">
        <a:xfrm>
          <a:off x="6439902" y="2049879"/>
          <a:ext cx="41237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19</xdr:row>
      <xdr:rowOff>130343</xdr:rowOff>
    </xdr:from>
    <xdr:to>
      <xdr:col>8</xdr:col>
      <xdr:colOff>927728</xdr:colOff>
      <xdr:row>21</xdr:row>
      <xdr:rowOff>33618</xdr:rowOff>
    </xdr:to>
    <xdr:sp macro="" textlink="">
      <xdr:nvSpPr>
        <xdr:cNvPr id="6" name="PIJL-RECHTS 5"/>
        <xdr:cNvSpPr/>
      </xdr:nvSpPr>
      <xdr:spPr bwMode="auto">
        <a:xfrm>
          <a:off x="6439902" y="3111668"/>
          <a:ext cx="412376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26</xdr:row>
      <xdr:rowOff>30078</xdr:rowOff>
    </xdr:from>
    <xdr:to>
      <xdr:col>8</xdr:col>
      <xdr:colOff>927728</xdr:colOff>
      <xdr:row>27</xdr:row>
      <xdr:rowOff>93774</xdr:rowOff>
    </xdr:to>
    <xdr:sp macro="" textlink="">
      <xdr:nvSpPr>
        <xdr:cNvPr id="7" name="PIJL-RECHTS 6"/>
        <xdr:cNvSpPr/>
      </xdr:nvSpPr>
      <xdr:spPr bwMode="auto">
        <a:xfrm>
          <a:off x="6439902" y="4144878"/>
          <a:ext cx="41237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20052</xdr:colOff>
      <xdr:row>13</xdr:row>
      <xdr:rowOff>40104</xdr:rowOff>
    </xdr:from>
    <xdr:to>
      <xdr:col>6</xdr:col>
      <xdr:colOff>927728</xdr:colOff>
      <xdr:row>14</xdr:row>
      <xdr:rowOff>103800</xdr:rowOff>
    </xdr:to>
    <xdr:sp macro="" textlink="">
      <xdr:nvSpPr>
        <xdr:cNvPr id="2" name="PIJL-RECHTS 1"/>
        <xdr:cNvSpPr/>
      </xdr:nvSpPr>
      <xdr:spPr bwMode="auto">
        <a:xfrm>
          <a:off x="5287377" y="2049879"/>
          <a:ext cx="43142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20052</xdr:colOff>
      <xdr:row>19</xdr:row>
      <xdr:rowOff>130343</xdr:rowOff>
    </xdr:from>
    <xdr:to>
      <xdr:col>6</xdr:col>
      <xdr:colOff>927728</xdr:colOff>
      <xdr:row>21</xdr:row>
      <xdr:rowOff>33618</xdr:rowOff>
    </xdr:to>
    <xdr:sp macro="" textlink="">
      <xdr:nvSpPr>
        <xdr:cNvPr id="3" name="PIJL-RECHTS 2"/>
        <xdr:cNvSpPr/>
      </xdr:nvSpPr>
      <xdr:spPr bwMode="auto">
        <a:xfrm>
          <a:off x="5287377" y="3111668"/>
          <a:ext cx="431426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20052</xdr:colOff>
      <xdr:row>26</xdr:row>
      <xdr:rowOff>30078</xdr:rowOff>
    </xdr:from>
    <xdr:to>
      <xdr:col>6</xdr:col>
      <xdr:colOff>927728</xdr:colOff>
      <xdr:row>27</xdr:row>
      <xdr:rowOff>93774</xdr:rowOff>
    </xdr:to>
    <xdr:sp macro="" textlink="">
      <xdr:nvSpPr>
        <xdr:cNvPr id="4" name="PIJL-RECHTS 3"/>
        <xdr:cNvSpPr/>
      </xdr:nvSpPr>
      <xdr:spPr bwMode="auto">
        <a:xfrm>
          <a:off x="5287377" y="4144878"/>
          <a:ext cx="43142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13</xdr:row>
      <xdr:rowOff>40104</xdr:rowOff>
    </xdr:from>
    <xdr:to>
      <xdr:col>8</xdr:col>
      <xdr:colOff>927728</xdr:colOff>
      <xdr:row>14</xdr:row>
      <xdr:rowOff>103800</xdr:rowOff>
    </xdr:to>
    <xdr:sp macro="" textlink="">
      <xdr:nvSpPr>
        <xdr:cNvPr id="5" name="PIJL-RECHTS 4"/>
        <xdr:cNvSpPr/>
      </xdr:nvSpPr>
      <xdr:spPr bwMode="auto">
        <a:xfrm>
          <a:off x="6716127" y="2049879"/>
          <a:ext cx="421901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19</xdr:row>
      <xdr:rowOff>130343</xdr:rowOff>
    </xdr:from>
    <xdr:to>
      <xdr:col>8</xdr:col>
      <xdr:colOff>927728</xdr:colOff>
      <xdr:row>21</xdr:row>
      <xdr:rowOff>33618</xdr:rowOff>
    </xdr:to>
    <xdr:sp macro="" textlink="">
      <xdr:nvSpPr>
        <xdr:cNvPr id="6" name="PIJL-RECHTS 5"/>
        <xdr:cNvSpPr/>
      </xdr:nvSpPr>
      <xdr:spPr bwMode="auto">
        <a:xfrm>
          <a:off x="6716127" y="3111668"/>
          <a:ext cx="421901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26</xdr:row>
      <xdr:rowOff>30078</xdr:rowOff>
    </xdr:from>
    <xdr:to>
      <xdr:col>8</xdr:col>
      <xdr:colOff>927728</xdr:colOff>
      <xdr:row>27</xdr:row>
      <xdr:rowOff>93774</xdr:rowOff>
    </xdr:to>
    <xdr:sp macro="" textlink="">
      <xdr:nvSpPr>
        <xdr:cNvPr id="7" name="PIJL-RECHTS 6"/>
        <xdr:cNvSpPr/>
      </xdr:nvSpPr>
      <xdr:spPr bwMode="auto">
        <a:xfrm>
          <a:off x="6716127" y="4144878"/>
          <a:ext cx="421901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20052</xdr:colOff>
      <xdr:row>13</xdr:row>
      <xdr:rowOff>40104</xdr:rowOff>
    </xdr:from>
    <xdr:to>
      <xdr:col>6</xdr:col>
      <xdr:colOff>927728</xdr:colOff>
      <xdr:row>14</xdr:row>
      <xdr:rowOff>103800</xdr:rowOff>
    </xdr:to>
    <xdr:sp macro="" textlink="">
      <xdr:nvSpPr>
        <xdr:cNvPr id="2" name="PIJL-RECHTS 1"/>
        <xdr:cNvSpPr/>
      </xdr:nvSpPr>
      <xdr:spPr bwMode="auto">
        <a:xfrm>
          <a:off x="5287377" y="2049879"/>
          <a:ext cx="43142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20052</xdr:colOff>
      <xdr:row>19</xdr:row>
      <xdr:rowOff>130343</xdr:rowOff>
    </xdr:from>
    <xdr:to>
      <xdr:col>6</xdr:col>
      <xdr:colOff>927728</xdr:colOff>
      <xdr:row>21</xdr:row>
      <xdr:rowOff>33618</xdr:rowOff>
    </xdr:to>
    <xdr:sp macro="" textlink="">
      <xdr:nvSpPr>
        <xdr:cNvPr id="3" name="PIJL-RECHTS 2"/>
        <xdr:cNvSpPr/>
      </xdr:nvSpPr>
      <xdr:spPr bwMode="auto">
        <a:xfrm>
          <a:off x="5287377" y="3111668"/>
          <a:ext cx="431426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6</xdr:col>
      <xdr:colOff>20052</xdr:colOff>
      <xdr:row>26</xdr:row>
      <xdr:rowOff>30078</xdr:rowOff>
    </xdr:from>
    <xdr:to>
      <xdr:col>6</xdr:col>
      <xdr:colOff>927728</xdr:colOff>
      <xdr:row>27</xdr:row>
      <xdr:rowOff>93774</xdr:rowOff>
    </xdr:to>
    <xdr:sp macro="" textlink="">
      <xdr:nvSpPr>
        <xdr:cNvPr id="4" name="PIJL-RECHTS 3"/>
        <xdr:cNvSpPr/>
      </xdr:nvSpPr>
      <xdr:spPr bwMode="auto">
        <a:xfrm>
          <a:off x="5287377" y="4144878"/>
          <a:ext cx="431426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13</xdr:row>
      <xdr:rowOff>40104</xdr:rowOff>
    </xdr:from>
    <xdr:to>
      <xdr:col>8</xdr:col>
      <xdr:colOff>927728</xdr:colOff>
      <xdr:row>14</xdr:row>
      <xdr:rowOff>103800</xdr:rowOff>
    </xdr:to>
    <xdr:sp macro="" textlink="">
      <xdr:nvSpPr>
        <xdr:cNvPr id="5" name="PIJL-RECHTS 4"/>
        <xdr:cNvSpPr/>
      </xdr:nvSpPr>
      <xdr:spPr bwMode="auto">
        <a:xfrm>
          <a:off x="6716127" y="2049879"/>
          <a:ext cx="421901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19</xdr:row>
      <xdr:rowOff>130343</xdr:rowOff>
    </xdr:from>
    <xdr:to>
      <xdr:col>8</xdr:col>
      <xdr:colOff>927728</xdr:colOff>
      <xdr:row>21</xdr:row>
      <xdr:rowOff>33618</xdr:rowOff>
    </xdr:to>
    <xdr:sp macro="" textlink="">
      <xdr:nvSpPr>
        <xdr:cNvPr id="6" name="PIJL-RECHTS 5"/>
        <xdr:cNvSpPr/>
      </xdr:nvSpPr>
      <xdr:spPr bwMode="auto">
        <a:xfrm>
          <a:off x="6716127" y="3111668"/>
          <a:ext cx="421901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20052</xdr:colOff>
      <xdr:row>26</xdr:row>
      <xdr:rowOff>30078</xdr:rowOff>
    </xdr:from>
    <xdr:to>
      <xdr:col>8</xdr:col>
      <xdr:colOff>927728</xdr:colOff>
      <xdr:row>27</xdr:row>
      <xdr:rowOff>93774</xdr:rowOff>
    </xdr:to>
    <xdr:sp macro="" textlink="">
      <xdr:nvSpPr>
        <xdr:cNvPr id="7" name="PIJL-RECHTS 6"/>
        <xdr:cNvSpPr/>
      </xdr:nvSpPr>
      <xdr:spPr bwMode="auto">
        <a:xfrm>
          <a:off x="6716127" y="4144878"/>
          <a:ext cx="421901" cy="225621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20052</xdr:colOff>
      <xdr:row>16</xdr:row>
      <xdr:rowOff>130343</xdr:rowOff>
    </xdr:from>
    <xdr:to>
      <xdr:col>7</xdr:col>
      <xdr:colOff>927728</xdr:colOff>
      <xdr:row>18</xdr:row>
      <xdr:rowOff>33618</xdr:rowOff>
    </xdr:to>
    <xdr:sp macro="" textlink="">
      <xdr:nvSpPr>
        <xdr:cNvPr id="9" name="PIJL-RECHTS 8"/>
        <xdr:cNvSpPr/>
      </xdr:nvSpPr>
      <xdr:spPr bwMode="auto">
        <a:xfrm>
          <a:off x="5287377" y="3111668"/>
          <a:ext cx="431426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20052</xdr:colOff>
      <xdr:row>21</xdr:row>
      <xdr:rowOff>130343</xdr:rowOff>
    </xdr:from>
    <xdr:to>
      <xdr:col>7</xdr:col>
      <xdr:colOff>927728</xdr:colOff>
      <xdr:row>23</xdr:row>
      <xdr:rowOff>33618</xdr:rowOff>
    </xdr:to>
    <xdr:sp macro="" textlink="">
      <xdr:nvSpPr>
        <xdr:cNvPr id="10" name="PIJL-RECHTS 9"/>
        <xdr:cNvSpPr/>
      </xdr:nvSpPr>
      <xdr:spPr bwMode="auto">
        <a:xfrm>
          <a:off x="5287377" y="3111668"/>
          <a:ext cx="431426" cy="227125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9</xdr:col>
      <xdr:colOff>20052</xdr:colOff>
      <xdr:row>16</xdr:row>
      <xdr:rowOff>130343</xdr:rowOff>
    </xdr:from>
    <xdr:to>
      <xdr:col>9</xdr:col>
      <xdr:colOff>927728</xdr:colOff>
      <xdr:row>18</xdr:row>
      <xdr:rowOff>33618</xdr:rowOff>
    </xdr:to>
    <xdr:sp macro="" textlink="">
      <xdr:nvSpPr>
        <xdr:cNvPr id="12" name="PIJL-RECHTS 11"/>
        <xdr:cNvSpPr/>
      </xdr:nvSpPr>
      <xdr:spPr bwMode="auto">
        <a:xfrm>
          <a:off x="7303876" y="2550814"/>
          <a:ext cx="431426" cy="217039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9</xdr:col>
      <xdr:colOff>20052</xdr:colOff>
      <xdr:row>21</xdr:row>
      <xdr:rowOff>130343</xdr:rowOff>
    </xdr:from>
    <xdr:to>
      <xdr:col>9</xdr:col>
      <xdr:colOff>927728</xdr:colOff>
      <xdr:row>23</xdr:row>
      <xdr:rowOff>33618</xdr:rowOff>
    </xdr:to>
    <xdr:sp macro="" textlink="">
      <xdr:nvSpPr>
        <xdr:cNvPr id="13" name="PIJL-RECHTS 12"/>
        <xdr:cNvSpPr/>
      </xdr:nvSpPr>
      <xdr:spPr bwMode="auto">
        <a:xfrm>
          <a:off x="7303876" y="3335225"/>
          <a:ext cx="431426" cy="2170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20052</xdr:colOff>
      <xdr:row>11</xdr:row>
      <xdr:rowOff>130343</xdr:rowOff>
    </xdr:from>
    <xdr:to>
      <xdr:col>7</xdr:col>
      <xdr:colOff>927728</xdr:colOff>
      <xdr:row>13</xdr:row>
      <xdr:rowOff>33618</xdr:rowOff>
    </xdr:to>
    <xdr:sp macro="" textlink="">
      <xdr:nvSpPr>
        <xdr:cNvPr id="14" name="PIJL-RECHTS 13"/>
        <xdr:cNvSpPr/>
      </xdr:nvSpPr>
      <xdr:spPr bwMode="auto">
        <a:xfrm>
          <a:off x="6747083" y="2964031"/>
          <a:ext cx="431426" cy="23665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  <xdr:twoCellAnchor>
    <xdr:from>
      <xdr:col>9</xdr:col>
      <xdr:colOff>20052</xdr:colOff>
      <xdr:row>11</xdr:row>
      <xdr:rowOff>130343</xdr:rowOff>
    </xdr:from>
    <xdr:to>
      <xdr:col>9</xdr:col>
      <xdr:colOff>927728</xdr:colOff>
      <xdr:row>13</xdr:row>
      <xdr:rowOff>33618</xdr:rowOff>
    </xdr:to>
    <xdr:sp macro="" textlink="">
      <xdr:nvSpPr>
        <xdr:cNvPr id="15" name="PIJL-RECHTS 14"/>
        <xdr:cNvSpPr/>
      </xdr:nvSpPr>
      <xdr:spPr bwMode="auto">
        <a:xfrm>
          <a:off x="8175833" y="2964031"/>
          <a:ext cx="421901" cy="23665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nl-N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150950</xdr:colOff>
      <xdr:row>20</xdr:row>
      <xdr:rowOff>0</xdr:rowOff>
    </xdr:from>
    <xdr:to>
      <xdr:col>13</xdr:col>
      <xdr:colOff>151323</xdr:colOff>
      <xdr:row>21</xdr:row>
      <xdr:rowOff>4820</xdr:rowOff>
    </xdr:to>
    <xdr:cxnSp macro="">
      <xdr:nvCxnSpPr>
        <xdr:cNvPr id="9" name="Rechte verbindingslijn met pijl 8"/>
        <xdr:cNvCxnSpPr/>
      </xdr:nvCxnSpPr>
      <xdr:spPr>
        <a:xfrm>
          <a:off x="5142050" y="2990850"/>
          <a:ext cx="373" cy="185795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151323</xdr:colOff>
      <xdr:row>22</xdr:row>
      <xdr:rowOff>162470</xdr:rowOff>
    </xdr:from>
    <xdr:to>
      <xdr:col>13</xdr:col>
      <xdr:colOff>152938</xdr:colOff>
      <xdr:row>25</xdr:row>
      <xdr:rowOff>4905</xdr:rowOff>
    </xdr:to>
    <xdr:cxnSp macro="">
      <xdr:nvCxnSpPr>
        <xdr:cNvPr id="10" name="Rechte verbindingslijn met pijl 9"/>
        <xdr:cNvCxnSpPr/>
      </xdr:nvCxnSpPr>
      <xdr:spPr>
        <a:xfrm>
          <a:off x="5142423" y="3496220"/>
          <a:ext cx="1615" cy="185335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152409</xdr:colOff>
      <xdr:row>30</xdr:row>
      <xdr:rowOff>2837</xdr:rowOff>
    </xdr:from>
    <xdr:to>
      <xdr:col>13</xdr:col>
      <xdr:colOff>152938</xdr:colOff>
      <xdr:row>31</xdr:row>
      <xdr:rowOff>5171</xdr:rowOff>
    </xdr:to>
    <xdr:cxnSp macro="">
      <xdr:nvCxnSpPr>
        <xdr:cNvPr id="11" name="Rechte verbindingslijn met pijl 10"/>
        <xdr:cNvCxnSpPr/>
      </xdr:nvCxnSpPr>
      <xdr:spPr>
        <a:xfrm flipH="1">
          <a:off x="5143509" y="4489112"/>
          <a:ext cx="529" cy="183309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150950</xdr:colOff>
      <xdr:row>32</xdr:row>
      <xdr:rowOff>163285</xdr:rowOff>
    </xdr:from>
    <xdr:to>
      <xdr:col>13</xdr:col>
      <xdr:colOff>152409</xdr:colOff>
      <xdr:row>33</xdr:row>
      <xdr:rowOff>190500</xdr:rowOff>
    </xdr:to>
    <xdr:cxnSp macro="">
      <xdr:nvCxnSpPr>
        <xdr:cNvPr id="12" name="Rechte verbindingslijn met pijl 11"/>
        <xdr:cNvCxnSpPr/>
      </xdr:nvCxnSpPr>
      <xdr:spPr>
        <a:xfrm flipH="1">
          <a:off x="5142050" y="4992460"/>
          <a:ext cx="1459" cy="189140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150950</xdr:colOff>
      <xdr:row>38</xdr:row>
      <xdr:rowOff>4647</xdr:rowOff>
    </xdr:from>
    <xdr:to>
      <xdr:col>13</xdr:col>
      <xdr:colOff>150950</xdr:colOff>
      <xdr:row>40</xdr:row>
      <xdr:rowOff>7620</xdr:rowOff>
    </xdr:to>
    <xdr:cxnSp macro="">
      <xdr:nvCxnSpPr>
        <xdr:cNvPr id="13" name="Rechte verbindingslijn met pijl 12"/>
        <xdr:cNvCxnSpPr/>
      </xdr:nvCxnSpPr>
      <xdr:spPr>
        <a:xfrm>
          <a:off x="5142050" y="5833947"/>
          <a:ext cx="0" cy="183948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150950</xdr:colOff>
      <xdr:row>13</xdr:row>
      <xdr:rowOff>0</xdr:rowOff>
    </xdr:from>
    <xdr:to>
      <xdr:col>13</xdr:col>
      <xdr:colOff>151323</xdr:colOff>
      <xdr:row>15</xdr:row>
      <xdr:rowOff>4820</xdr:rowOff>
    </xdr:to>
    <xdr:cxnSp macro="">
      <xdr:nvCxnSpPr>
        <xdr:cNvPr id="14" name="Rechte verbindingslijn met pijl 13"/>
        <xdr:cNvCxnSpPr/>
      </xdr:nvCxnSpPr>
      <xdr:spPr>
        <a:xfrm>
          <a:off x="5142050" y="1952625"/>
          <a:ext cx="373" cy="185795"/>
        </a:xfrm>
        <a:prstGeom prst="straightConnector1">
          <a:avLst/>
        </a:prstGeom>
        <a:ln w="25400"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8</xdr:row>
      <xdr:rowOff>0</xdr:rowOff>
    </xdr:from>
    <xdr:to>
      <xdr:col>14</xdr:col>
      <xdr:colOff>5443</xdr:colOff>
      <xdr:row>13</xdr:row>
      <xdr:rowOff>0</xdr:rowOff>
    </xdr:to>
    <xdr:sp macro="" textlink="">
      <xdr:nvSpPr>
        <xdr:cNvPr id="15" name="Rechthoek 14"/>
        <xdr:cNvSpPr/>
      </xdr:nvSpPr>
      <xdr:spPr bwMode="auto">
        <a:xfrm>
          <a:off x="4381500" y="1143000"/>
          <a:ext cx="1529443" cy="80962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V16"/>
  <sheetViews>
    <sheetView workbookViewId="0">
      <selection activeCell="C14" sqref="C14:S16"/>
    </sheetView>
  </sheetViews>
  <sheetFormatPr defaultRowHeight="12.75" x14ac:dyDescent="0.2"/>
  <cols>
    <col min="1" max="16384" width="9.140625" style="146"/>
  </cols>
  <sheetData>
    <row r="7" spans="3:22" ht="13.5" thickBot="1" x14ac:dyDescent="0.25"/>
    <row r="8" spans="3:22" ht="12.75" customHeight="1" x14ac:dyDescent="0.2">
      <c r="C8" s="296" t="s">
        <v>355</v>
      </c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8"/>
      <c r="T8" s="286"/>
      <c r="U8" s="285"/>
      <c r="V8" s="285"/>
    </row>
    <row r="9" spans="3:22" ht="12.75" customHeight="1" x14ac:dyDescent="0.2">
      <c r="C9" s="299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1"/>
      <c r="T9" s="286"/>
      <c r="U9" s="285"/>
      <c r="V9" s="285"/>
    </row>
    <row r="10" spans="3:22" ht="12.75" customHeight="1" x14ac:dyDescent="0.2">
      <c r="C10" s="299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1"/>
      <c r="T10" s="286"/>
      <c r="U10" s="285"/>
      <c r="V10" s="285"/>
    </row>
    <row r="11" spans="3:22" ht="13.5" customHeight="1" thickBot="1" x14ac:dyDescent="0.25">
      <c r="C11" s="302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4"/>
      <c r="T11" s="286"/>
      <c r="U11" s="285"/>
      <c r="V11" s="285"/>
    </row>
    <row r="14" spans="3:22" x14ac:dyDescent="0.2">
      <c r="C14" s="305" t="s">
        <v>354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7"/>
    </row>
    <row r="15" spans="3:22" x14ac:dyDescent="0.2">
      <c r="C15" s="308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10"/>
    </row>
    <row r="16" spans="3:22" x14ac:dyDescent="0.2">
      <c r="C16" s="311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3"/>
    </row>
  </sheetData>
  <mergeCells count="2">
    <mergeCell ref="C8:S11"/>
    <mergeCell ref="C14:S1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9"/>
  <sheetViews>
    <sheetView topLeftCell="A10" zoomScale="85" zoomScaleNormal="85" workbookViewId="0">
      <selection activeCell="S22" sqref="S22"/>
    </sheetView>
  </sheetViews>
  <sheetFormatPr defaultRowHeight="12.75" x14ac:dyDescent="0.2"/>
  <cols>
    <col min="2" max="2" width="3.7109375" customWidth="1"/>
    <col min="4" max="4" width="24.42578125" bestFit="1" customWidth="1"/>
    <col min="5" max="5" width="7.42578125" bestFit="1" customWidth="1"/>
    <col min="6" max="6" width="6.5703125" bestFit="1" customWidth="1"/>
    <col min="7" max="7" width="4.7109375" customWidth="1"/>
    <col min="8" max="8" width="9.140625" style="80" bestFit="1" customWidth="1"/>
    <col min="10" max="10" width="11.85546875" bestFit="1" customWidth="1"/>
    <col min="11" max="11" width="11.7109375" bestFit="1" customWidth="1"/>
    <col min="12" max="12" width="16.7109375" customWidth="1"/>
    <col min="14" max="14" width="12.85546875" customWidth="1"/>
    <col min="16" max="16" width="3.7109375" customWidth="1"/>
  </cols>
  <sheetData>
    <row r="1" spans="1:25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ht="20.100000000000001" customHeight="1" x14ac:dyDescent="0.2">
      <c r="A2" s="146"/>
      <c r="B2" s="357" t="s">
        <v>304</v>
      </c>
      <c r="C2" s="357"/>
      <c r="D2" s="357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20.100000000000001" customHeight="1" x14ac:dyDescent="0.2">
      <c r="A3" s="146"/>
      <c r="B3" s="357"/>
      <c r="C3" s="357"/>
      <c r="D3" s="357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5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x14ac:dyDescent="0.2">
      <c r="A5" s="14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146"/>
      <c r="R5" s="146"/>
      <c r="S5" s="146"/>
      <c r="T5" s="146"/>
      <c r="U5" s="146"/>
      <c r="V5" s="146"/>
      <c r="W5" s="146"/>
      <c r="X5" s="146"/>
      <c r="Y5" s="146"/>
    </row>
    <row r="6" spans="1:25" ht="14.25" x14ac:dyDescent="0.3">
      <c r="A6" s="146"/>
      <c r="B6" s="86"/>
      <c r="C6" s="92"/>
      <c r="D6" s="92"/>
      <c r="E6" s="398" t="s">
        <v>300</v>
      </c>
      <c r="F6" s="398"/>
      <c r="G6" s="92"/>
      <c r="H6" s="189" t="s">
        <v>327</v>
      </c>
      <c r="I6" s="395" t="s">
        <v>301</v>
      </c>
      <c r="J6" s="395"/>
      <c r="K6" s="395"/>
      <c r="L6" s="92"/>
      <c r="M6" s="54"/>
      <c r="N6" s="54"/>
      <c r="O6" s="54"/>
      <c r="P6" s="86"/>
      <c r="Q6" s="146"/>
      <c r="R6" s="146"/>
      <c r="S6" s="146"/>
      <c r="T6" s="146"/>
      <c r="U6" s="146"/>
      <c r="V6" s="146"/>
      <c r="W6" s="146"/>
      <c r="X6" s="146"/>
      <c r="Y6" s="146"/>
    </row>
    <row r="7" spans="1:25" s="80" customFormat="1" ht="14.25" customHeight="1" x14ac:dyDescent="0.3">
      <c r="A7" s="146"/>
      <c r="B7" s="86"/>
      <c r="C7" s="92"/>
      <c r="D7" s="92"/>
      <c r="E7" s="92" t="s">
        <v>302</v>
      </c>
      <c r="F7" s="92" t="s">
        <v>330</v>
      </c>
      <c r="G7" s="92"/>
      <c r="H7" s="189" t="s">
        <v>328</v>
      </c>
      <c r="I7" s="175" t="s">
        <v>293</v>
      </c>
      <c r="J7" s="176" t="s">
        <v>294</v>
      </c>
      <c r="K7" s="176" t="s">
        <v>295</v>
      </c>
      <c r="L7" s="92"/>
      <c r="M7" s="54"/>
      <c r="N7" s="54"/>
      <c r="O7" s="54"/>
      <c r="P7" s="86"/>
      <c r="Q7" s="146"/>
      <c r="R7" s="146"/>
      <c r="S7" s="146"/>
      <c r="T7" s="146"/>
      <c r="U7" s="146"/>
      <c r="V7" s="146"/>
      <c r="W7" s="146"/>
      <c r="X7" s="146"/>
      <c r="Y7" s="146"/>
    </row>
    <row r="8" spans="1:25" s="80" customFormat="1" ht="14.25" x14ac:dyDescent="0.3">
      <c r="A8" s="146"/>
      <c r="B8" s="86"/>
      <c r="C8" s="92"/>
      <c r="D8" s="92"/>
      <c r="E8" s="92" t="s">
        <v>303</v>
      </c>
      <c r="F8" s="92"/>
      <c r="G8" s="92"/>
      <c r="H8" s="189" t="s">
        <v>329</v>
      </c>
      <c r="I8" s="177" t="s">
        <v>292</v>
      </c>
      <c r="J8" s="177" t="s">
        <v>292</v>
      </c>
      <c r="K8" s="177" t="s">
        <v>292</v>
      </c>
      <c r="L8" s="92"/>
      <c r="M8" s="54"/>
      <c r="N8" s="54"/>
      <c r="O8" s="54"/>
      <c r="P8" s="86"/>
      <c r="Q8" s="146"/>
      <c r="R8" s="146"/>
      <c r="S8" s="146"/>
      <c r="T8" s="146"/>
      <c r="U8" s="146"/>
      <c r="V8" s="146"/>
      <c r="W8" s="146"/>
      <c r="X8" s="146"/>
      <c r="Y8" s="146"/>
    </row>
    <row r="9" spans="1:25" ht="14.25" x14ac:dyDescent="0.3">
      <c r="A9" s="146"/>
      <c r="B9" s="86"/>
      <c r="C9" s="92"/>
      <c r="D9" s="105"/>
      <c r="E9" s="92"/>
      <c r="F9" s="92"/>
      <c r="G9" s="92"/>
      <c r="H9" s="92"/>
      <c r="I9" s="92"/>
      <c r="J9" s="92"/>
      <c r="K9" s="92"/>
      <c r="L9" s="92"/>
      <c r="M9" s="364" t="s">
        <v>226</v>
      </c>
      <c r="N9" s="365"/>
      <c r="O9" s="110"/>
      <c r="P9" s="86"/>
      <c r="Q9" s="146"/>
      <c r="R9" s="146"/>
      <c r="S9" s="146"/>
      <c r="T9" s="146"/>
      <c r="U9" s="146"/>
      <c r="V9" s="146"/>
      <c r="W9" s="146"/>
      <c r="X9" s="146"/>
      <c r="Y9" s="146"/>
    </row>
    <row r="10" spans="1:25" ht="14.25" x14ac:dyDescent="0.3">
      <c r="A10" s="146"/>
      <c r="B10" s="86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366"/>
      <c r="N10" s="367"/>
      <c r="O10" s="110"/>
      <c r="P10" s="86"/>
      <c r="Q10" s="146"/>
      <c r="R10" s="146"/>
      <c r="S10" s="146"/>
      <c r="T10" s="146"/>
      <c r="U10" s="146"/>
      <c r="V10" s="146"/>
      <c r="W10" s="146"/>
      <c r="X10" s="146"/>
      <c r="Y10" s="146"/>
    </row>
    <row r="11" spans="1:25" ht="14.25" x14ac:dyDescent="0.3">
      <c r="A11" s="146"/>
      <c r="B11" s="86"/>
      <c r="C11" s="92"/>
      <c r="D11" s="92"/>
      <c r="E11" s="92"/>
      <c r="F11" s="92"/>
      <c r="G11" s="92"/>
      <c r="H11" s="92"/>
      <c r="I11" s="178"/>
      <c r="J11" s="178"/>
      <c r="K11" s="178"/>
      <c r="L11" s="92"/>
      <c r="M11" s="368"/>
      <c r="N11" s="369"/>
      <c r="O11" s="110"/>
      <c r="P11" s="86"/>
      <c r="Q11" s="146"/>
      <c r="R11" s="146"/>
      <c r="S11" s="146"/>
      <c r="T11" s="146"/>
      <c r="U11" s="146"/>
      <c r="V11" s="146"/>
      <c r="W11" s="146"/>
      <c r="X11" s="146"/>
      <c r="Y11" s="146"/>
    </row>
    <row r="12" spans="1:25" ht="14.25" customHeight="1" x14ac:dyDescent="0.3">
      <c r="A12" s="146"/>
      <c r="B12" s="86"/>
      <c r="C12" s="92"/>
      <c r="D12" s="232" t="s">
        <v>296</v>
      </c>
      <c r="E12" s="239">
        <f>+IF(G3=M35,M14*#REF!/(M14*#REF!+P14*#REF!),100%)</f>
        <v>1</v>
      </c>
      <c r="F12" s="239">
        <f>+F19*E12</f>
        <v>1</v>
      </c>
      <c r="G12" s="92"/>
      <c r="H12" s="229">
        <f>+Bosbouw!O3</f>
        <v>0.17611453730608001</v>
      </c>
      <c r="I12" s="238">
        <f>+H12*M12</f>
        <v>0.69626899612480075</v>
      </c>
      <c r="J12" s="236">
        <f>+F12*I12</f>
        <v>0.69626899612480075</v>
      </c>
      <c r="K12" s="237">
        <f>+F13*I12</f>
        <v>0.69626899612480075</v>
      </c>
      <c r="L12" s="92"/>
      <c r="M12" s="396">
        <f>+Massabalans!H10</f>
        <v>3.9535009816635021</v>
      </c>
      <c r="N12" s="322" t="s">
        <v>248</v>
      </c>
      <c r="O12" s="110"/>
      <c r="P12" s="86"/>
      <c r="Q12" s="146"/>
      <c r="R12" s="146"/>
      <c r="S12" s="146"/>
      <c r="T12" s="146"/>
      <c r="U12" s="146"/>
      <c r="V12" s="146"/>
      <c r="W12" s="146"/>
      <c r="X12" s="146"/>
      <c r="Y12" s="146"/>
    </row>
    <row r="13" spans="1:25" ht="14.25" x14ac:dyDescent="0.3">
      <c r="A13" s="146"/>
      <c r="B13" s="86"/>
      <c r="C13" s="92"/>
      <c r="D13" s="235" t="s">
        <v>297</v>
      </c>
      <c r="E13" s="239">
        <f>+IF(G3=M35,(M14*X16/Y14)/((M14*X16/Y14)+(P14*Z16/AA14)),100%)</f>
        <v>1</v>
      </c>
      <c r="F13" s="239">
        <f>+F20*E13</f>
        <v>1</v>
      </c>
      <c r="G13" s="92"/>
      <c r="H13" s="179"/>
      <c r="I13" s="179"/>
      <c r="J13" s="179"/>
      <c r="K13" s="180"/>
      <c r="L13" s="92"/>
      <c r="M13" s="397"/>
      <c r="N13" s="323"/>
      <c r="O13" s="110"/>
      <c r="P13" s="86"/>
      <c r="Q13" s="146"/>
      <c r="R13" s="146"/>
      <c r="S13" s="146"/>
      <c r="T13" s="146"/>
      <c r="U13" s="146"/>
      <c r="V13" s="146"/>
      <c r="W13" s="146"/>
      <c r="X13" s="146"/>
      <c r="Y13" s="146"/>
    </row>
    <row r="14" spans="1:25" ht="14.25" x14ac:dyDescent="0.3">
      <c r="A14" s="146"/>
      <c r="B14" s="86"/>
      <c r="C14" s="92"/>
      <c r="D14" s="92"/>
      <c r="E14" s="240"/>
      <c r="F14" s="240"/>
      <c r="G14" s="92"/>
      <c r="H14" s="92"/>
      <c r="I14" s="92"/>
      <c r="J14" s="92"/>
      <c r="K14" s="92"/>
      <c r="L14" s="92"/>
      <c r="M14" s="104"/>
      <c r="N14" s="110"/>
      <c r="O14" s="110"/>
      <c r="P14" s="86"/>
      <c r="Q14" s="146"/>
      <c r="R14" s="146"/>
      <c r="S14" s="146"/>
      <c r="T14" s="146"/>
      <c r="U14" s="146"/>
      <c r="V14" s="146"/>
      <c r="W14" s="146"/>
      <c r="X14" s="146"/>
      <c r="Y14" s="146"/>
    </row>
    <row r="15" spans="1:25" s="80" customFormat="1" ht="14.25" x14ac:dyDescent="0.3">
      <c r="A15" s="146"/>
      <c r="B15" s="86"/>
      <c r="C15" s="92"/>
      <c r="D15" s="92"/>
      <c r="E15" s="240"/>
      <c r="F15" s="240"/>
      <c r="G15" s="92"/>
      <c r="H15" s="92"/>
      <c r="I15" s="92"/>
      <c r="J15" s="92"/>
      <c r="K15" s="92"/>
      <c r="L15" s="92"/>
      <c r="M15" s="104"/>
      <c r="N15" s="110"/>
      <c r="O15" s="110"/>
      <c r="P15" s="86"/>
      <c r="Q15" s="146"/>
      <c r="R15" s="146"/>
      <c r="S15" s="146"/>
      <c r="T15" s="146"/>
      <c r="U15" s="146"/>
      <c r="V15" s="146"/>
      <c r="W15" s="146"/>
      <c r="X15" s="146"/>
      <c r="Y15" s="146"/>
    </row>
    <row r="16" spans="1:25" ht="14.25" x14ac:dyDescent="0.3">
      <c r="A16" s="146"/>
      <c r="B16" s="86"/>
      <c r="C16" s="92"/>
      <c r="D16" s="92"/>
      <c r="E16" s="240"/>
      <c r="F16" s="240"/>
      <c r="G16" s="92"/>
      <c r="H16" s="92"/>
      <c r="I16" s="92"/>
      <c r="J16" s="92"/>
      <c r="K16" s="92"/>
      <c r="L16" s="92"/>
      <c r="M16" s="343" t="s">
        <v>6</v>
      </c>
      <c r="N16" s="344"/>
      <c r="O16" s="110"/>
      <c r="P16" s="86"/>
      <c r="Q16" s="146"/>
      <c r="R16" s="146"/>
      <c r="S16" s="146"/>
      <c r="T16" s="146"/>
      <c r="U16" s="146"/>
      <c r="V16" s="146"/>
      <c r="W16" s="146"/>
      <c r="X16" s="146"/>
      <c r="Y16" s="146"/>
    </row>
    <row r="17" spans="1:25" ht="14.25" x14ac:dyDescent="0.3">
      <c r="A17" s="146"/>
      <c r="B17" s="86"/>
      <c r="C17" s="92"/>
      <c r="D17" s="92"/>
      <c r="E17" s="240"/>
      <c r="F17" s="240"/>
      <c r="G17" s="92"/>
      <c r="H17" s="92"/>
      <c r="I17" s="92"/>
      <c r="J17" s="92"/>
      <c r="K17" s="92"/>
      <c r="L17" s="92"/>
      <c r="M17" s="345"/>
      <c r="N17" s="346"/>
      <c r="O17" s="110"/>
      <c r="P17" s="86"/>
      <c r="Q17" s="146"/>
      <c r="R17" s="146"/>
      <c r="S17" s="146"/>
      <c r="T17" s="146"/>
      <c r="U17" s="146"/>
      <c r="V17" s="146"/>
      <c r="W17" s="146"/>
      <c r="X17" s="146"/>
      <c r="Y17" s="146"/>
    </row>
    <row r="18" spans="1:25" ht="14.25" x14ac:dyDescent="0.3">
      <c r="A18" s="146"/>
      <c r="B18" s="86"/>
      <c r="C18" s="92"/>
      <c r="D18" s="92"/>
      <c r="E18" s="240"/>
      <c r="F18" s="240"/>
      <c r="G18" s="182"/>
      <c r="H18" s="182"/>
      <c r="I18" s="182"/>
      <c r="J18" s="182"/>
      <c r="K18" s="182"/>
      <c r="L18" s="92"/>
      <c r="M18" s="347"/>
      <c r="N18" s="348"/>
      <c r="O18" s="110"/>
      <c r="P18" s="86"/>
      <c r="Q18" s="146"/>
      <c r="R18" s="146"/>
      <c r="S18" s="146"/>
      <c r="T18" s="146"/>
      <c r="U18" s="146"/>
      <c r="V18" s="146"/>
      <c r="W18" s="146"/>
      <c r="X18" s="146"/>
      <c r="Y18" s="146"/>
    </row>
    <row r="19" spans="1:25" ht="14.25" customHeight="1" x14ac:dyDescent="0.3">
      <c r="A19" s="146"/>
      <c r="B19" s="86"/>
      <c r="C19" s="92"/>
      <c r="D19" s="232" t="s">
        <v>296</v>
      </c>
      <c r="E19" s="239">
        <f>+IF(G11=M44,M21*#REF!/(M21*#REF!+P21*#REF!),100%)</f>
        <v>1</v>
      </c>
      <c r="F19" s="239">
        <f>+E19*F22</f>
        <v>1</v>
      </c>
      <c r="G19" s="92"/>
      <c r="H19" s="229">
        <f>+'Bewerking 1'!I3</f>
        <v>4.6973533067274659E-3</v>
      </c>
      <c r="I19" s="238">
        <f>+H19*M19</f>
        <v>1.8106716136633151E-2</v>
      </c>
      <c r="J19" s="236">
        <f>+F19*I19</f>
        <v>1.8106716136633151E-2</v>
      </c>
      <c r="K19" s="237">
        <f>+F20*I19</f>
        <v>1.8106716136633151E-2</v>
      </c>
      <c r="L19" s="92"/>
      <c r="M19" s="396">
        <f>+Massabalans!H16</f>
        <v>3.8546634571219145</v>
      </c>
      <c r="N19" s="324" t="s">
        <v>245</v>
      </c>
      <c r="O19" s="110"/>
      <c r="P19" s="86"/>
      <c r="Q19" s="146"/>
      <c r="R19" s="146"/>
      <c r="S19" s="146"/>
      <c r="T19" s="146"/>
      <c r="U19" s="146"/>
      <c r="V19" s="146"/>
      <c r="W19" s="146"/>
      <c r="X19" s="146"/>
      <c r="Y19" s="146"/>
    </row>
    <row r="20" spans="1:25" ht="14.25" x14ac:dyDescent="0.3">
      <c r="A20" s="146"/>
      <c r="B20" s="86"/>
      <c r="C20" s="92"/>
      <c r="D20" s="235" t="s">
        <v>297</v>
      </c>
      <c r="E20" s="239">
        <f>+IF(G11=M44,(M21*X24/Y21)/((M21*X24/Y21)+(P21*Z24/AA21)),100%)</f>
        <v>1</v>
      </c>
      <c r="F20" s="239">
        <f>+E20*F23</f>
        <v>1</v>
      </c>
      <c r="G20" s="92"/>
      <c r="H20" s="179"/>
      <c r="I20" s="179"/>
      <c r="J20" s="179"/>
      <c r="K20" s="180"/>
      <c r="L20" s="92"/>
      <c r="M20" s="397"/>
      <c r="N20" s="326"/>
      <c r="O20" s="110"/>
      <c r="P20" s="86"/>
      <c r="Q20" s="146"/>
      <c r="R20" s="146"/>
      <c r="S20" s="146"/>
      <c r="T20" s="146"/>
      <c r="U20" s="146"/>
      <c r="V20" s="146"/>
      <c r="W20" s="146"/>
      <c r="X20" s="146"/>
      <c r="Y20" s="146"/>
    </row>
    <row r="21" spans="1:25" ht="14.25" x14ac:dyDescent="0.3">
      <c r="A21" s="146"/>
      <c r="B21" s="86"/>
      <c r="C21" s="92"/>
      <c r="D21" s="92"/>
      <c r="E21" s="240"/>
      <c r="F21" s="240"/>
      <c r="G21" s="92"/>
      <c r="H21" s="92"/>
      <c r="I21" s="180"/>
      <c r="J21" s="92"/>
      <c r="K21" s="92"/>
      <c r="L21" s="92"/>
      <c r="M21" s="104"/>
      <c r="N21" s="110"/>
      <c r="O21" s="110"/>
      <c r="P21" s="86"/>
      <c r="Q21" s="146"/>
      <c r="R21" s="146"/>
      <c r="S21" s="146"/>
      <c r="T21" s="146"/>
      <c r="U21" s="146"/>
      <c r="V21" s="146"/>
      <c r="W21" s="146"/>
      <c r="X21" s="146"/>
      <c r="Y21" s="146"/>
    </row>
    <row r="22" spans="1:25" ht="14.25" customHeight="1" x14ac:dyDescent="0.3">
      <c r="A22" s="146"/>
      <c r="B22" s="86"/>
      <c r="C22" s="92"/>
      <c r="D22" s="232" t="s">
        <v>296</v>
      </c>
      <c r="E22" s="239">
        <f>+E19</f>
        <v>1</v>
      </c>
      <c r="F22" s="239">
        <f>+F29</f>
        <v>1</v>
      </c>
      <c r="G22" s="92"/>
      <c r="H22" s="230">
        <f>+Transport!K13/1000</f>
        <v>1.5359429801678736E-2</v>
      </c>
      <c r="I22" s="233">
        <f>+H22*M19</f>
        <v>5.9205432778760322E-2</v>
      </c>
      <c r="J22" s="236">
        <f>+F22*I22</f>
        <v>5.9205432778760322E-2</v>
      </c>
      <c r="K22" s="237">
        <f>+F23*I22</f>
        <v>5.9205432778760322E-2</v>
      </c>
      <c r="L22" s="92"/>
      <c r="M22" s="351" t="s">
        <v>220</v>
      </c>
      <c r="N22" s="352"/>
      <c r="O22" s="110"/>
      <c r="P22" s="86"/>
      <c r="Q22" s="146"/>
      <c r="R22" s="146"/>
      <c r="S22" s="146"/>
      <c r="T22" s="146"/>
      <c r="U22" s="146"/>
      <c r="V22" s="146"/>
      <c r="W22" s="146"/>
      <c r="X22" s="146"/>
      <c r="Y22" s="146"/>
    </row>
    <row r="23" spans="1:25" ht="14.25" x14ac:dyDescent="0.3">
      <c r="A23" s="146"/>
      <c r="B23" s="86"/>
      <c r="C23" s="92"/>
      <c r="D23" s="235" t="s">
        <v>297</v>
      </c>
      <c r="E23" s="239">
        <f>+E20</f>
        <v>1</v>
      </c>
      <c r="F23" s="239">
        <f>+F30</f>
        <v>1</v>
      </c>
      <c r="G23" s="92"/>
      <c r="H23" s="180"/>
      <c r="I23" s="180"/>
      <c r="J23" s="92"/>
      <c r="K23" s="92"/>
      <c r="L23" s="92"/>
      <c r="M23" s="353"/>
      <c r="N23" s="354"/>
      <c r="O23" s="110"/>
      <c r="P23" s="86"/>
      <c r="Q23" s="146"/>
      <c r="R23" s="146"/>
      <c r="S23" s="146"/>
      <c r="T23" s="146"/>
      <c r="U23" s="146"/>
      <c r="V23" s="146"/>
      <c r="W23" s="146"/>
      <c r="X23" s="146"/>
      <c r="Y23" s="146"/>
    </row>
    <row r="24" spans="1:25" ht="14.25" x14ac:dyDescent="0.3">
      <c r="A24" s="146"/>
      <c r="B24" s="86"/>
      <c r="C24" s="92"/>
      <c r="D24" s="92"/>
      <c r="E24" s="240"/>
      <c r="F24" s="240"/>
      <c r="G24" s="92"/>
      <c r="H24" s="92"/>
      <c r="I24" s="180"/>
      <c r="J24" s="92"/>
      <c r="K24" s="92"/>
      <c r="L24" s="92"/>
      <c r="M24" s="104"/>
      <c r="N24" s="110"/>
      <c r="O24" s="110"/>
      <c r="P24" s="86"/>
      <c r="Q24" s="146"/>
      <c r="R24" s="146"/>
      <c r="S24" s="146"/>
      <c r="T24" s="146"/>
      <c r="U24" s="146"/>
      <c r="V24" s="146"/>
      <c r="W24" s="146"/>
      <c r="X24" s="146"/>
      <c r="Y24" s="146"/>
    </row>
    <row r="25" spans="1:25" s="80" customFormat="1" ht="14.25" x14ac:dyDescent="0.3">
      <c r="A25" s="146"/>
      <c r="B25" s="86"/>
      <c r="C25" s="92"/>
      <c r="D25" s="92"/>
      <c r="E25" s="240"/>
      <c r="F25" s="240"/>
      <c r="G25" s="92"/>
      <c r="H25" s="92"/>
      <c r="I25" s="180"/>
      <c r="J25" s="92"/>
      <c r="K25" s="92"/>
      <c r="L25" s="92"/>
      <c r="M25" s="104"/>
      <c r="N25" s="110"/>
      <c r="O25" s="110"/>
      <c r="P25" s="86"/>
      <c r="Q25" s="146"/>
      <c r="R25" s="146"/>
      <c r="S25" s="146"/>
      <c r="T25" s="146"/>
      <c r="U25" s="146"/>
      <c r="V25" s="146"/>
      <c r="W25" s="146"/>
      <c r="X25" s="146"/>
      <c r="Y25" s="146"/>
    </row>
    <row r="26" spans="1:25" ht="15" customHeight="1" x14ac:dyDescent="0.3">
      <c r="A26" s="146"/>
      <c r="B26" s="86"/>
      <c r="C26" s="92"/>
      <c r="D26" s="92"/>
      <c r="E26" s="240"/>
      <c r="F26" s="240"/>
      <c r="G26" s="92"/>
      <c r="H26" s="92"/>
      <c r="I26" s="180"/>
      <c r="J26" s="92"/>
      <c r="K26" s="92"/>
      <c r="L26" s="92"/>
      <c r="M26" s="358" t="s">
        <v>228</v>
      </c>
      <c r="N26" s="359"/>
      <c r="O26" s="110"/>
      <c r="P26" s="86"/>
      <c r="Q26" s="146"/>
      <c r="R26" s="146"/>
      <c r="S26" s="146"/>
      <c r="T26" s="146"/>
      <c r="U26" s="146"/>
      <c r="V26" s="146"/>
      <c r="W26" s="146"/>
      <c r="X26" s="146"/>
      <c r="Y26" s="146"/>
    </row>
    <row r="27" spans="1:25" ht="14.25" x14ac:dyDescent="0.3">
      <c r="A27" s="146"/>
      <c r="B27" s="86"/>
      <c r="C27" s="92"/>
      <c r="D27" s="92"/>
      <c r="E27" s="240"/>
      <c r="F27" s="240"/>
      <c r="G27" s="92"/>
      <c r="H27" s="92"/>
      <c r="I27" s="180"/>
      <c r="J27" s="92"/>
      <c r="K27" s="92"/>
      <c r="L27" s="92"/>
      <c r="M27" s="360"/>
      <c r="N27" s="361"/>
      <c r="O27" s="110"/>
      <c r="P27" s="86"/>
      <c r="Q27" s="146"/>
      <c r="R27" s="146"/>
      <c r="S27" s="146"/>
      <c r="T27" s="146"/>
      <c r="U27" s="146"/>
      <c r="V27" s="146"/>
      <c r="W27" s="146"/>
      <c r="X27" s="146"/>
      <c r="Y27" s="146"/>
    </row>
    <row r="28" spans="1:25" ht="14.25" x14ac:dyDescent="0.3">
      <c r="A28" s="146"/>
      <c r="B28" s="86"/>
      <c r="C28" s="92"/>
      <c r="D28" s="92"/>
      <c r="E28" s="240"/>
      <c r="F28" s="240"/>
      <c r="G28" s="92"/>
      <c r="H28" s="92"/>
      <c r="I28" s="180"/>
      <c r="J28" s="92"/>
      <c r="K28" s="92"/>
      <c r="L28" s="92"/>
      <c r="M28" s="362"/>
      <c r="N28" s="363"/>
      <c r="O28" s="110"/>
      <c r="P28" s="86"/>
      <c r="Q28" s="146"/>
      <c r="R28" s="146"/>
      <c r="S28" s="146"/>
      <c r="T28" s="146"/>
      <c r="U28" s="146"/>
      <c r="V28" s="146"/>
      <c r="W28" s="146"/>
      <c r="X28" s="146"/>
      <c r="Y28" s="146"/>
    </row>
    <row r="29" spans="1:25" ht="14.25" customHeight="1" x14ac:dyDescent="0.3">
      <c r="A29" s="146"/>
      <c r="B29" s="86"/>
      <c r="C29" s="92"/>
      <c r="D29" s="234" t="s">
        <v>296</v>
      </c>
      <c r="E29" s="239">
        <v>1</v>
      </c>
      <c r="F29" s="239">
        <f>+F32*E29</f>
        <v>1</v>
      </c>
      <c r="G29" s="92"/>
      <c r="H29" s="230">
        <f>+'Bewerking 2'!I3</f>
        <v>0.10282047133333334</v>
      </c>
      <c r="I29" s="233">
        <f>+H29*M29</f>
        <v>0.21767999166498525</v>
      </c>
      <c r="J29" s="236">
        <f>+F29*I29</f>
        <v>0.21767999166498525</v>
      </c>
      <c r="K29" s="237">
        <f>+F30*I29</f>
        <v>0.21767999166498525</v>
      </c>
      <c r="L29" s="92"/>
      <c r="M29" s="396">
        <f>+Massabalans!H25</f>
        <v>2.1170880549583284</v>
      </c>
      <c r="N29" s="324" t="s">
        <v>246</v>
      </c>
      <c r="O29" s="110"/>
      <c r="P29" s="86"/>
      <c r="Q29" s="146"/>
      <c r="R29" s="146"/>
      <c r="S29" s="146"/>
      <c r="T29" s="146"/>
      <c r="U29" s="146"/>
      <c r="V29" s="146"/>
      <c r="W29" s="146"/>
      <c r="X29" s="146"/>
      <c r="Y29" s="146"/>
    </row>
    <row r="30" spans="1:25" ht="14.25" x14ac:dyDescent="0.3">
      <c r="A30" s="146"/>
      <c r="B30" s="86"/>
      <c r="C30" s="92"/>
      <c r="D30" s="235" t="s">
        <v>297</v>
      </c>
      <c r="E30" s="239">
        <v>1</v>
      </c>
      <c r="F30" s="239">
        <f>+F33*E30</f>
        <v>1</v>
      </c>
      <c r="G30" s="92"/>
      <c r="H30" s="180"/>
      <c r="I30" s="180"/>
      <c r="J30" s="92"/>
      <c r="K30" s="92"/>
      <c r="L30" s="92"/>
      <c r="M30" s="397"/>
      <c r="N30" s="326"/>
      <c r="O30" s="110"/>
      <c r="P30" s="86"/>
      <c r="Q30" s="146"/>
      <c r="R30" s="146"/>
      <c r="S30" s="146"/>
      <c r="T30" s="146"/>
      <c r="U30" s="146"/>
      <c r="V30" s="146"/>
      <c r="W30" s="146"/>
      <c r="X30" s="146"/>
      <c r="Y30" s="146"/>
    </row>
    <row r="31" spans="1:25" ht="14.25" x14ac:dyDescent="0.3">
      <c r="A31" s="146"/>
      <c r="B31" s="86"/>
      <c r="C31" s="92"/>
      <c r="D31" s="92"/>
      <c r="E31" s="240"/>
      <c r="F31" s="240"/>
      <c r="G31" s="92"/>
      <c r="H31" s="180"/>
      <c r="I31" s="180"/>
      <c r="J31" s="92"/>
      <c r="K31" s="92"/>
      <c r="L31" s="92"/>
      <c r="M31" s="104"/>
      <c r="N31" s="107"/>
      <c r="O31" s="110"/>
      <c r="P31" s="86"/>
      <c r="Q31" s="146"/>
      <c r="R31" s="146"/>
      <c r="S31" s="146"/>
      <c r="T31" s="146"/>
      <c r="U31" s="146"/>
      <c r="V31" s="146"/>
      <c r="W31" s="146"/>
      <c r="X31" s="146"/>
      <c r="Y31" s="146"/>
    </row>
    <row r="32" spans="1:25" ht="14.25" customHeight="1" x14ac:dyDescent="0.3">
      <c r="A32" s="146"/>
      <c r="B32" s="86"/>
      <c r="C32" s="92"/>
      <c r="D32" s="234" t="s">
        <v>296</v>
      </c>
      <c r="E32" s="239">
        <f>+E29</f>
        <v>1</v>
      </c>
      <c r="F32" s="239">
        <f>+F37</f>
        <v>1</v>
      </c>
      <c r="G32" s="92"/>
      <c r="H32" s="230">
        <f>+Transport!K18/1000</f>
        <v>2.5307474226336772E-2</v>
      </c>
      <c r="I32" s="233">
        <f>+H32*M29</f>
        <v>5.3578151385743344E-2</v>
      </c>
      <c r="J32" s="236">
        <f>+F32*I32</f>
        <v>5.3578151385743344E-2</v>
      </c>
      <c r="K32" s="237">
        <f>+F33*I32</f>
        <v>5.3578151385743344E-2</v>
      </c>
      <c r="L32" s="92"/>
      <c r="M32" s="351" t="s">
        <v>240</v>
      </c>
      <c r="N32" s="352"/>
      <c r="O32" s="110"/>
      <c r="P32" s="86"/>
      <c r="Q32" s="146"/>
      <c r="R32" s="146"/>
      <c r="S32" s="146"/>
      <c r="T32" s="146"/>
      <c r="U32" s="146"/>
      <c r="V32" s="146"/>
      <c r="W32" s="146"/>
      <c r="X32" s="146"/>
      <c r="Y32" s="146"/>
    </row>
    <row r="33" spans="1:25" ht="14.25" x14ac:dyDescent="0.3">
      <c r="A33" s="146"/>
      <c r="B33" s="86"/>
      <c r="C33" s="92"/>
      <c r="D33" s="235" t="s">
        <v>297</v>
      </c>
      <c r="E33" s="239">
        <f>+E30</f>
        <v>1</v>
      </c>
      <c r="F33" s="239">
        <f>+F38</f>
        <v>1</v>
      </c>
      <c r="G33" s="92"/>
      <c r="H33" s="180"/>
      <c r="I33" s="180"/>
      <c r="J33" s="92"/>
      <c r="K33" s="92"/>
      <c r="L33" s="92"/>
      <c r="M33" s="353"/>
      <c r="N33" s="354"/>
      <c r="O33" s="110"/>
      <c r="P33" s="86"/>
      <c r="Q33" s="146"/>
      <c r="R33" s="146"/>
      <c r="S33" s="146"/>
      <c r="T33" s="146"/>
      <c r="U33" s="146"/>
      <c r="V33" s="146"/>
      <c r="W33" s="146"/>
      <c r="X33" s="146"/>
      <c r="Y33" s="146"/>
    </row>
    <row r="34" spans="1:25" ht="14.25" x14ac:dyDescent="0.3">
      <c r="A34" s="146"/>
      <c r="B34" s="86"/>
      <c r="C34" s="92"/>
      <c r="D34" s="92"/>
      <c r="E34" s="92"/>
      <c r="F34" s="92"/>
      <c r="G34" s="92"/>
      <c r="H34" s="92"/>
      <c r="I34" s="180"/>
      <c r="J34" s="92"/>
      <c r="K34" s="92"/>
      <c r="L34" s="92"/>
      <c r="M34" s="104"/>
      <c r="N34" s="107"/>
      <c r="O34" s="110"/>
      <c r="P34" s="86"/>
      <c r="Q34" s="146"/>
      <c r="R34" s="146"/>
      <c r="S34" s="146"/>
      <c r="T34" s="146"/>
      <c r="U34" s="146"/>
      <c r="V34" s="146"/>
      <c r="W34" s="146"/>
      <c r="X34" s="146"/>
      <c r="Y34" s="146"/>
    </row>
    <row r="35" spans="1:25" ht="14.25" customHeight="1" x14ac:dyDescent="0.3">
      <c r="A35" s="146"/>
      <c r="B35" s="86"/>
      <c r="C35" s="92"/>
      <c r="D35" s="92"/>
      <c r="E35" s="92"/>
      <c r="F35" s="92"/>
      <c r="G35" s="92"/>
      <c r="H35" s="92"/>
      <c r="I35" s="180"/>
      <c r="J35" s="92"/>
      <c r="K35" s="92"/>
      <c r="L35" s="92"/>
      <c r="M35" s="351" t="s">
        <v>231</v>
      </c>
      <c r="N35" s="352"/>
      <c r="O35" s="110"/>
      <c r="P35" s="86"/>
      <c r="Q35" s="146"/>
      <c r="R35" s="146"/>
      <c r="S35" s="146"/>
      <c r="T35" s="146"/>
      <c r="U35" s="146"/>
      <c r="V35" s="146"/>
      <c r="W35" s="146"/>
      <c r="X35" s="146"/>
      <c r="Y35" s="146"/>
    </row>
    <row r="36" spans="1:25" ht="14.25" x14ac:dyDescent="0.3">
      <c r="A36" s="146"/>
      <c r="B36" s="86"/>
      <c r="C36" s="92"/>
      <c r="D36" s="92"/>
      <c r="E36" s="92"/>
      <c r="F36" s="92"/>
      <c r="G36" s="92"/>
      <c r="H36" s="92"/>
      <c r="I36" s="180"/>
      <c r="J36" s="92"/>
      <c r="K36" s="92"/>
      <c r="L36" s="92"/>
      <c r="M36" s="353"/>
      <c r="N36" s="354"/>
      <c r="O36" s="110"/>
      <c r="P36" s="86"/>
      <c r="Q36" s="146"/>
      <c r="R36" s="146"/>
      <c r="S36" s="146"/>
      <c r="T36" s="146"/>
      <c r="U36" s="146"/>
      <c r="V36" s="146"/>
      <c r="W36" s="146"/>
      <c r="X36" s="146"/>
      <c r="Y36" s="146"/>
    </row>
    <row r="37" spans="1:25" ht="14.25" x14ac:dyDescent="0.3">
      <c r="A37" s="146"/>
      <c r="B37" s="86"/>
      <c r="C37" s="92"/>
      <c r="D37" s="234" t="s">
        <v>296</v>
      </c>
      <c r="E37" s="239">
        <f>+E29</f>
        <v>1</v>
      </c>
      <c r="F37" s="181">
        <f>+E44</f>
        <v>1</v>
      </c>
      <c r="G37" s="92"/>
      <c r="H37" s="230">
        <f>+Transport!K23/1000</f>
        <v>0.10015667943143094</v>
      </c>
      <c r="I37" s="233">
        <f>+H37*M37</f>
        <v>0.20992010455208723</v>
      </c>
      <c r="J37" s="236">
        <f>+F37*I37</f>
        <v>0.20992010455208723</v>
      </c>
      <c r="K37" s="237">
        <f>+F38*I37</f>
        <v>0.20992010455208723</v>
      </c>
      <c r="L37" s="92"/>
      <c r="M37" s="396">
        <f>+Massabalans!H33</f>
        <v>2.0959171744087453</v>
      </c>
      <c r="N37" s="314" t="s">
        <v>246</v>
      </c>
      <c r="O37" s="110"/>
      <c r="P37" s="86"/>
      <c r="Q37" s="146"/>
      <c r="R37" s="146"/>
      <c r="S37" s="146"/>
      <c r="T37" s="146"/>
      <c r="U37" s="146"/>
      <c r="V37" s="146"/>
      <c r="W37" s="146"/>
      <c r="X37" s="146"/>
      <c r="Y37" s="146"/>
    </row>
    <row r="38" spans="1:25" ht="14.25" x14ac:dyDescent="0.3">
      <c r="A38" s="146"/>
      <c r="B38" s="86"/>
      <c r="C38" s="92"/>
      <c r="D38" s="235" t="s">
        <v>297</v>
      </c>
      <c r="E38" s="239">
        <f>+E30</f>
        <v>1</v>
      </c>
      <c r="F38" s="181">
        <f>+E45</f>
        <v>1</v>
      </c>
      <c r="G38" s="92"/>
      <c r="H38" s="180"/>
      <c r="I38" s="180"/>
      <c r="J38" s="180"/>
      <c r="K38" s="92"/>
      <c r="L38" s="92"/>
      <c r="M38" s="397"/>
      <c r="N38" s="316"/>
      <c r="O38" s="110"/>
      <c r="P38" s="86"/>
      <c r="Q38" s="146"/>
      <c r="R38" s="146"/>
      <c r="S38" s="146"/>
      <c r="T38" s="146"/>
      <c r="U38" s="146"/>
      <c r="V38" s="146"/>
      <c r="W38" s="146"/>
      <c r="X38" s="146"/>
      <c r="Y38" s="146"/>
    </row>
    <row r="39" spans="1:25" ht="14.25" x14ac:dyDescent="0.3">
      <c r="A39" s="146"/>
      <c r="B39" s="86"/>
      <c r="C39" s="92"/>
      <c r="D39" s="92"/>
      <c r="E39" s="92"/>
      <c r="F39" s="92"/>
      <c r="G39" s="92"/>
      <c r="H39" s="92"/>
      <c r="I39" s="180"/>
      <c r="J39" s="92"/>
      <c r="K39" s="92"/>
      <c r="L39" s="92"/>
      <c r="M39" s="104"/>
      <c r="N39" s="110"/>
      <c r="O39" s="110"/>
      <c r="P39" s="86"/>
      <c r="Q39" s="146"/>
      <c r="R39" s="146"/>
      <c r="S39" s="146"/>
      <c r="T39" s="146"/>
      <c r="U39" s="146"/>
      <c r="V39" s="146"/>
      <c r="W39" s="146"/>
      <c r="X39" s="146"/>
      <c r="Y39" s="146"/>
    </row>
    <row r="40" spans="1:25" s="80" customFormat="1" ht="14.25" x14ac:dyDescent="0.3">
      <c r="A40" s="146"/>
      <c r="B40" s="86"/>
      <c r="C40" s="92"/>
      <c r="D40" s="92"/>
      <c r="E40" s="92"/>
      <c r="F40" s="92"/>
      <c r="G40" s="92"/>
      <c r="H40" s="92"/>
      <c r="I40" s="180"/>
      <c r="J40" s="92"/>
      <c r="K40" s="92"/>
      <c r="L40" s="92"/>
      <c r="M40" s="104"/>
      <c r="N40" s="110"/>
      <c r="O40" s="110"/>
      <c r="P40" s="86"/>
      <c r="Q40" s="146"/>
      <c r="R40" s="146"/>
      <c r="S40" s="146"/>
      <c r="T40" s="146"/>
      <c r="U40" s="146"/>
      <c r="V40" s="146"/>
      <c r="W40" s="146"/>
      <c r="X40" s="146"/>
      <c r="Y40" s="146"/>
    </row>
    <row r="41" spans="1:25" ht="14.25" x14ac:dyDescent="0.3">
      <c r="A41" s="146"/>
      <c r="B41" s="86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337" t="s">
        <v>241</v>
      </c>
      <c r="N41" s="338"/>
      <c r="O41" s="110"/>
      <c r="P41" s="86"/>
      <c r="Q41" s="146"/>
      <c r="R41" s="146"/>
      <c r="S41" s="146"/>
      <c r="T41" s="146"/>
      <c r="U41" s="146"/>
      <c r="V41" s="146"/>
      <c r="W41" s="146"/>
      <c r="X41" s="146"/>
      <c r="Y41" s="146"/>
    </row>
    <row r="42" spans="1:25" ht="14.25" x14ac:dyDescent="0.3">
      <c r="A42" s="146"/>
      <c r="B42" s="86"/>
      <c r="C42" s="92"/>
      <c r="D42" s="92"/>
      <c r="E42" s="92"/>
      <c r="F42" s="92"/>
      <c r="G42" s="92"/>
      <c r="H42" s="92"/>
      <c r="I42" s="180"/>
      <c r="J42" s="92"/>
      <c r="K42" s="92"/>
      <c r="L42" s="92"/>
      <c r="M42" s="339"/>
      <c r="N42" s="340"/>
      <c r="O42" s="110"/>
      <c r="P42" s="8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1:25" ht="14.25" x14ac:dyDescent="0.3">
      <c r="A43" s="146"/>
      <c r="B43" s="86"/>
      <c r="C43" s="92"/>
      <c r="D43" s="92"/>
      <c r="E43" s="92"/>
      <c r="F43" s="92"/>
      <c r="G43" s="92"/>
      <c r="H43" s="92"/>
      <c r="I43" s="180"/>
      <c r="J43" s="92"/>
      <c r="K43" s="92"/>
      <c r="L43" s="92"/>
      <c r="M43" s="341"/>
      <c r="N43" s="342"/>
      <c r="O43" s="110"/>
      <c r="P43" s="86"/>
      <c r="Q43" s="146"/>
      <c r="R43" s="146"/>
      <c r="S43" s="146"/>
      <c r="T43" s="146"/>
      <c r="U43" s="146"/>
      <c r="V43" s="146"/>
      <c r="W43" s="146"/>
      <c r="X43" s="146"/>
      <c r="Y43" s="146"/>
    </row>
    <row r="44" spans="1:25" ht="18" x14ac:dyDescent="0.3">
      <c r="A44" s="146"/>
      <c r="B44" s="86"/>
      <c r="C44" s="92"/>
      <c r="D44" s="234" t="s">
        <v>296</v>
      </c>
      <c r="E44" s="239">
        <v>1</v>
      </c>
      <c r="F44" s="92"/>
      <c r="G44" s="92"/>
      <c r="H44" s="230">
        <f>+Productie!I3</f>
        <v>6.3318636666666678E-2</v>
      </c>
      <c r="I44" s="233">
        <f>+H44</f>
        <v>6.3318636666666678E-2</v>
      </c>
      <c r="J44" s="236">
        <f>+E44*H44</f>
        <v>6.3318636666666678E-2</v>
      </c>
      <c r="K44" s="237">
        <f>+E45*H44</f>
        <v>6.3318636666666678E-2</v>
      </c>
      <c r="L44" s="92"/>
      <c r="M44" s="114">
        <v>1</v>
      </c>
      <c r="N44" s="113" t="s">
        <v>247</v>
      </c>
      <c r="O44" s="110"/>
      <c r="P44" s="86"/>
      <c r="Q44" s="146"/>
      <c r="R44" s="146"/>
      <c r="S44" s="146"/>
      <c r="T44" s="146"/>
      <c r="U44" s="146"/>
      <c r="V44" s="146"/>
      <c r="W44" s="146"/>
      <c r="X44" s="146"/>
      <c r="Y44" s="146"/>
    </row>
    <row r="45" spans="1:25" s="80" customFormat="1" ht="18" x14ac:dyDescent="0.3">
      <c r="A45" s="146"/>
      <c r="B45" s="86"/>
      <c r="C45" s="92"/>
      <c r="D45" s="235" t="s">
        <v>297</v>
      </c>
      <c r="E45" s="239">
        <v>1</v>
      </c>
      <c r="F45" s="92"/>
      <c r="G45" s="92"/>
      <c r="H45" s="180"/>
      <c r="I45" s="180"/>
      <c r="J45" s="92"/>
      <c r="K45" s="92"/>
      <c r="L45" s="92"/>
      <c r="M45" s="190"/>
      <c r="N45" s="57"/>
      <c r="O45" s="110"/>
      <c r="P45" s="86"/>
      <c r="Q45" s="146"/>
      <c r="R45" s="146"/>
      <c r="S45" s="146"/>
      <c r="T45" s="146"/>
      <c r="U45" s="146"/>
      <c r="V45" s="146"/>
      <c r="W45" s="146"/>
      <c r="X45" s="146"/>
      <c r="Y45" s="146"/>
    </row>
    <row r="46" spans="1:25" s="80" customFormat="1" ht="18" x14ac:dyDescent="0.3">
      <c r="A46" s="146"/>
      <c r="B46" s="86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90"/>
      <c r="N46" s="57"/>
      <c r="O46" s="110"/>
      <c r="P46" s="86"/>
      <c r="Q46" s="146"/>
      <c r="R46" s="146"/>
      <c r="S46" s="146"/>
      <c r="T46" s="146"/>
      <c r="U46" s="146"/>
      <c r="V46" s="146"/>
      <c r="W46" s="146"/>
      <c r="X46" s="146"/>
      <c r="Y46" s="146"/>
    </row>
    <row r="47" spans="1:25" s="80" customFormat="1" ht="18.75" thickBot="1" x14ac:dyDescent="0.35">
      <c r="A47" s="146"/>
      <c r="B47" s="86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90"/>
      <c r="N47" s="57"/>
      <c r="O47" s="110"/>
      <c r="P47" s="86"/>
      <c r="Q47" s="146"/>
      <c r="R47" s="146"/>
      <c r="S47" s="146"/>
      <c r="T47" s="146"/>
      <c r="U47" s="146"/>
      <c r="V47" s="146"/>
      <c r="W47" s="146"/>
      <c r="X47" s="146"/>
      <c r="Y47" s="146"/>
    </row>
    <row r="48" spans="1:25" ht="15" thickBot="1" x14ac:dyDescent="0.35">
      <c r="A48" s="146"/>
      <c r="B48" s="86"/>
      <c r="C48" s="178"/>
      <c r="D48" s="258" t="s">
        <v>298</v>
      </c>
      <c r="E48" s="183" t="s">
        <v>247</v>
      </c>
      <c r="F48" s="184"/>
      <c r="G48" s="185"/>
      <c r="H48" s="185"/>
      <c r="I48" s="185"/>
      <c r="J48" s="256">
        <f>+SUM(J12:J44)</f>
        <v>1.318078029309677</v>
      </c>
      <c r="K48" s="257">
        <f>+SUM(K12:K44)</f>
        <v>1.318078029309677</v>
      </c>
      <c r="L48" s="92"/>
      <c r="M48" s="110"/>
      <c r="N48" s="110"/>
      <c r="O48" s="110"/>
      <c r="P48" s="86"/>
      <c r="Q48" s="146"/>
      <c r="R48" s="146"/>
      <c r="S48" s="146"/>
      <c r="T48" s="146"/>
      <c r="U48" s="146"/>
      <c r="V48" s="146"/>
      <c r="W48" s="146"/>
      <c r="X48" s="146"/>
      <c r="Y48" s="146"/>
    </row>
    <row r="49" spans="1:25" x14ac:dyDescent="0.2">
      <c r="A49" s="146"/>
      <c r="B49" s="86"/>
      <c r="C49" s="186"/>
      <c r="D49" s="186"/>
      <c r="E49" s="186"/>
      <c r="F49" s="186"/>
      <c r="G49" s="187"/>
      <c r="H49" s="187"/>
      <c r="I49" s="186"/>
      <c r="J49" s="186"/>
      <c r="K49" s="186"/>
      <c r="L49" s="86"/>
      <c r="M49" s="86"/>
      <c r="N49" s="86"/>
      <c r="O49" s="86"/>
      <c r="P49" s="86"/>
      <c r="Q49" s="146"/>
      <c r="R49" s="146"/>
      <c r="S49" s="146"/>
      <c r="T49" s="146"/>
      <c r="U49" s="146"/>
      <c r="V49" s="146"/>
      <c r="W49" s="146"/>
      <c r="X49" s="146"/>
      <c r="Y49" s="146"/>
    </row>
    <row r="50" spans="1:25" x14ac:dyDescent="0.2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</row>
    <row r="51" spans="1:25" x14ac:dyDescent="0.2">
      <c r="A51" s="146"/>
      <c r="B51" s="146"/>
      <c r="C51" s="146"/>
      <c r="D51" s="146"/>
      <c r="E51" s="146"/>
      <c r="F51" s="146"/>
      <c r="G51" s="146"/>
      <c r="H51" s="146"/>
      <c r="I51" s="146"/>
      <c r="J51" s="146">
        <v>2.15</v>
      </c>
      <c r="K51" s="146">
        <f>+J51</f>
        <v>2.15</v>
      </c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</row>
    <row r="52" spans="1:25" x14ac:dyDescent="0.2">
      <c r="A52" s="146"/>
      <c r="B52" s="146"/>
      <c r="C52" s="146"/>
      <c r="D52" s="146"/>
      <c r="E52" s="146"/>
      <c r="F52" s="146"/>
      <c r="G52" s="146"/>
      <c r="H52" s="146"/>
      <c r="I52" s="146"/>
      <c r="J52" s="231">
        <f>+(J51-J48)/J51</f>
        <v>0.38694045148387113</v>
      </c>
      <c r="K52" s="231">
        <f>+(K51-K48)/K51</f>
        <v>0.38694045148387113</v>
      </c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</row>
    <row r="53" spans="1:25" x14ac:dyDescent="0.2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</row>
    <row r="54" spans="1:25" x14ac:dyDescent="0.2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</row>
    <row r="55" spans="1:25" x14ac:dyDescent="0.2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</row>
    <row r="56" spans="1:25" x14ac:dyDescent="0.2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</row>
    <row r="57" spans="1:25" x14ac:dyDescent="0.2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</row>
    <row r="58" spans="1:25" x14ac:dyDescent="0.2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</row>
    <row r="59" spans="1:25" x14ac:dyDescent="0.2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</row>
    <row r="60" spans="1:25" x14ac:dyDescent="0.2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</row>
    <row r="61" spans="1:25" x14ac:dyDescent="0.2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</row>
    <row r="62" spans="1:25" x14ac:dyDescent="0.2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</row>
    <row r="63" spans="1:25" x14ac:dyDescent="0.2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</row>
    <row r="64" spans="1:25" x14ac:dyDescent="0.2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</row>
    <row r="65" spans="1:25" x14ac:dyDescent="0.2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</row>
    <row r="66" spans="1:25" x14ac:dyDescent="0.2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</row>
    <row r="67" spans="1:25" x14ac:dyDescent="0.2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</row>
    <row r="68" spans="1:25" x14ac:dyDescent="0.2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</row>
    <row r="69" spans="1:25" x14ac:dyDescent="0.2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</row>
    <row r="70" spans="1:25" x14ac:dyDescent="0.2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</row>
    <row r="71" spans="1:25" x14ac:dyDescent="0.2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</row>
    <row r="72" spans="1:25" x14ac:dyDescent="0.2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</row>
    <row r="73" spans="1:25" x14ac:dyDescent="0.2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</row>
    <row r="74" spans="1:25" x14ac:dyDescent="0.2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</row>
    <row r="75" spans="1:25" x14ac:dyDescent="0.2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</row>
    <row r="76" spans="1:25" x14ac:dyDescent="0.2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</row>
    <row r="77" spans="1:25" x14ac:dyDescent="0.2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</row>
    <row r="78" spans="1:25" x14ac:dyDescent="0.2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</row>
    <row r="79" spans="1:25" x14ac:dyDescent="0.2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</row>
  </sheetData>
  <mergeCells count="18">
    <mergeCell ref="E6:F6"/>
    <mergeCell ref="B2:D3"/>
    <mergeCell ref="M37:M38"/>
    <mergeCell ref="M9:N11"/>
    <mergeCell ref="N12:N13"/>
    <mergeCell ref="M16:N18"/>
    <mergeCell ref="N19:N20"/>
    <mergeCell ref="M22:N23"/>
    <mergeCell ref="M26:N28"/>
    <mergeCell ref="N29:N30"/>
    <mergeCell ref="M29:M30"/>
    <mergeCell ref="M32:N33"/>
    <mergeCell ref="M35:N36"/>
    <mergeCell ref="I6:K6"/>
    <mergeCell ref="M12:M13"/>
    <mergeCell ref="M19:M20"/>
    <mergeCell ref="N37:N38"/>
    <mergeCell ref="M41:N4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05" zoomScaleNormal="105" workbookViewId="0">
      <selection activeCell="A4" sqref="A4"/>
    </sheetView>
  </sheetViews>
  <sheetFormatPr defaultColWidth="11.5703125" defaultRowHeight="12.75" x14ac:dyDescent="0.2"/>
  <cols>
    <col min="1" max="1" width="29.42578125" customWidth="1"/>
    <col min="2" max="2" width="14.42578125" customWidth="1"/>
    <col min="3" max="3" width="16.7109375" customWidth="1"/>
    <col min="4" max="4" width="18.42578125" customWidth="1"/>
    <col min="5" max="5" width="14.85546875" customWidth="1"/>
    <col min="6" max="6" width="15.140625" customWidth="1"/>
    <col min="7" max="7" width="14.5703125" customWidth="1"/>
    <col min="8" max="8" width="14.42578125" customWidth="1"/>
    <col min="9" max="10" width="13.7109375" customWidth="1"/>
    <col min="11" max="11" width="13.5703125" customWidth="1"/>
    <col min="12" max="12" width="13.7109375" customWidth="1"/>
    <col min="13" max="13" width="12.42578125" customWidth="1"/>
  </cols>
  <sheetData>
    <row r="1" spans="1:14" x14ac:dyDescent="0.2">
      <c r="A1" t="s">
        <v>48</v>
      </c>
    </row>
    <row r="2" spans="1:14" x14ac:dyDescent="0.2">
      <c r="A2" s="13"/>
      <c r="B2" s="13"/>
      <c r="C2" s="13"/>
      <c r="D2" s="13"/>
      <c r="E2" s="399" t="s">
        <v>49</v>
      </c>
      <c r="F2" s="399"/>
      <c r="G2" s="399"/>
      <c r="H2" s="399"/>
      <c r="J2" s="400" t="s">
        <v>50</v>
      </c>
      <c r="K2" s="400"/>
      <c r="L2" s="400"/>
      <c r="M2" s="400"/>
      <c r="N2" s="14" t="s">
        <v>51</v>
      </c>
    </row>
    <row r="3" spans="1:14" x14ac:dyDescent="0.2">
      <c r="A3" s="15" t="s">
        <v>52</v>
      </c>
      <c r="B3" s="15" t="s">
        <v>16</v>
      </c>
      <c r="C3" s="15" t="s">
        <v>53</v>
      </c>
      <c r="D3" s="15" t="s">
        <v>54</v>
      </c>
      <c r="E3" s="16" t="s">
        <v>18</v>
      </c>
      <c r="F3" s="16" t="s">
        <v>19</v>
      </c>
      <c r="G3" s="16" t="s">
        <v>20</v>
      </c>
      <c r="H3" s="16" t="s">
        <v>55</v>
      </c>
      <c r="J3" s="14" t="s">
        <v>18</v>
      </c>
      <c r="K3" s="14" t="s">
        <v>19</v>
      </c>
      <c r="L3" s="14" t="s">
        <v>20</v>
      </c>
      <c r="M3" s="14" t="s">
        <v>55</v>
      </c>
      <c r="N3" s="14" t="s">
        <v>56</v>
      </c>
    </row>
    <row r="4" spans="1:14" s="80" customFormat="1" x14ac:dyDescent="0.2">
      <c r="A4" s="15"/>
      <c r="B4" s="15"/>
      <c r="C4" s="15"/>
      <c r="D4" s="15"/>
      <c r="E4" s="16"/>
      <c r="F4" s="16"/>
      <c r="G4" s="16"/>
      <c r="H4" s="16"/>
      <c r="J4" s="14"/>
      <c r="K4" s="14"/>
      <c r="L4" s="14"/>
      <c r="M4" s="14"/>
      <c r="N4" s="14"/>
    </row>
    <row r="5" spans="1:14" x14ac:dyDescent="0.2">
      <c r="A5" s="13" t="s">
        <v>23</v>
      </c>
      <c r="B5" s="13" t="s">
        <v>57</v>
      </c>
      <c r="C5" s="13">
        <v>0.83200000000000007</v>
      </c>
      <c r="D5" s="13">
        <v>43.1</v>
      </c>
      <c r="E5" s="17">
        <f t="shared" ref="E5:G8" si="0">J5*$D5*$C5</f>
        <v>3368.872231111111</v>
      </c>
      <c r="F5" s="17">
        <f t="shared" si="0"/>
        <v>0</v>
      </c>
      <c r="G5" s="17">
        <f t="shared" si="0"/>
        <v>0</v>
      </c>
      <c r="H5" s="18"/>
      <c r="J5" s="19">
        <v>93.947222222222209</v>
      </c>
      <c r="K5" s="19"/>
      <c r="L5" s="19"/>
      <c r="M5" s="19"/>
      <c r="N5" s="20">
        <v>1.2</v>
      </c>
    </row>
    <row r="6" spans="1:14" x14ac:dyDescent="0.2">
      <c r="A6" s="13" t="s">
        <v>58</v>
      </c>
      <c r="B6" s="13" t="s">
        <v>57</v>
      </c>
      <c r="C6" s="13">
        <v>0.745</v>
      </c>
      <c r="D6" s="13">
        <v>43.2</v>
      </c>
      <c r="E6" s="17">
        <f t="shared" si="0"/>
        <v>2974.4274000000005</v>
      </c>
      <c r="F6" s="17">
        <f t="shared" si="0"/>
        <v>0</v>
      </c>
      <c r="G6" s="17">
        <f t="shared" si="0"/>
        <v>0</v>
      </c>
      <c r="H6" s="18"/>
      <c r="J6" s="19">
        <v>92.419444444444451</v>
      </c>
      <c r="K6" s="19"/>
      <c r="L6" s="19"/>
      <c r="M6" s="19"/>
      <c r="N6" s="20">
        <v>1.2</v>
      </c>
    </row>
    <row r="7" spans="1:14" x14ac:dyDescent="0.2">
      <c r="A7" s="13" t="s">
        <v>59</v>
      </c>
      <c r="B7" s="13" t="s">
        <v>57</v>
      </c>
      <c r="C7" s="21">
        <v>0.97</v>
      </c>
      <c r="D7" s="13">
        <v>40.5</v>
      </c>
      <c r="E7" s="17">
        <f t="shared" si="0"/>
        <v>3665.2905000000001</v>
      </c>
      <c r="F7" s="17">
        <f t="shared" si="0"/>
        <v>0</v>
      </c>
      <c r="G7" s="17">
        <f t="shared" si="0"/>
        <v>0</v>
      </c>
      <c r="H7" s="18"/>
      <c r="J7" s="19">
        <v>93.3</v>
      </c>
      <c r="K7" s="19"/>
      <c r="L7" s="19"/>
      <c r="M7" s="19"/>
      <c r="N7" s="20">
        <v>1.1599999999999999</v>
      </c>
    </row>
    <row r="8" spans="1:14" x14ac:dyDescent="0.2">
      <c r="A8" s="13" t="s">
        <v>60</v>
      </c>
      <c r="B8" s="13" t="s">
        <v>57</v>
      </c>
      <c r="C8" s="21">
        <v>0.97</v>
      </c>
      <c r="D8" s="13">
        <v>40.5</v>
      </c>
      <c r="E8" s="17">
        <f t="shared" si="0"/>
        <v>3665.2905000000001</v>
      </c>
      <c r="F8" s="17">
        <f t="shared" si="0"/>
        <v>0</v>
      </c>
      <c r="G8" s="17">
        <f t="shared" si="0"/>
        <v>0</v>
      </c>
      <c r="H8" s="18"/>
      <c r="J8" s="19">
        <v>93.3</v>
      </c>
      <c r="K8" s="19"/>
      <c r="L8" s="19"/>
      <c r="M8" s="19"/>
      <c r="N8" s="20">
        <v>1.1599999999999999</v>
      </c>
    </row>
    <row r="9" spans="1:14" x14ac:dyDescent="0.2">
      <c r="A9" s="13" t="s">
        <v>61</v>
      </c>
      <c r="B9" s="13" t="s">
        <v>57</v>
      </c>
      <c r="C9" s="13">
        <v>0.79400000000000004</v>
      </c>
      <c r="D9" s="13">
        <v>26.81</v>
      </c>
      <c r="E9" s="17"/>
      <c r="F9" s="17"/>
      <c r="G9" s="17"/>
      <c r="H9" s="18"/>
      <c r="J9" s="19"/>
      <c r="K9" s="19"/>
      <c r="L9" s="19"/>
      <c r="M9" s="19"/>
      <c r="N9" s="20"/>
    </row>
    <row r="10" spans="1:14" x14ac:dyDescent="0.2">
      <c r="A10" s="13" t="s">
        <v>62</v>
      </c>
      <c r="B10" s="13" t="s">
        <v>57</v>
      </c>
      <c r="C10" s="13">
        <v>0.79300000000000004</v>
      </c>
      <c r="D10" s="13">
        <v>19.95</v>
      </c>
      <c r="E10" s="17">
        <f>J10*$D10*$C10</f>
        <v>1546.2867219041664</v>
      </c>
      <c r="F10" s="17">
        <f>K10*$D10*$C10</f>
        <v>4.8036734958333325</v>
      </c>
      <c r="G10" s="17">
        <f>L10*$D10*$C10</f>
        <v>8.3496291666666656E-3</v>
      </c>
      <c r="H10" s="18"/>
      <c r="J10" s="19">
        <v>97.740361111111099</v>
      </c>
      <c r="K10" s="19">
        <v>0.30363888888888885</v>
      </c>
      <c r="L10" s="19">
        <v>5.2777777777777773E-4</v>
      </c>
      <c r="M10" s="19"/>
      <c r="N10" s="20">
        <v>1.7624</v>
      </c>
    </row>
    <row r="11" spans="1:14" x14ac:dyDescent="0.2">
      <c r="A11" s="13" t="s">
        <v>40</v>
      </c>
      <c r="B11" s="13" t="s">
        <v>63</v>
      </c>
      <c r="C11" s="13"/>
      <c r="D11" s="13">
        <v>49.2</v>
      </c>
      <c r="E11" s="22">
        <f>J11</f>
        <v>66.45427777777779</v>
      </c>
      <c r="F11" s="22">
        <f>K11</f>
        <v>0.20744444444444443</v>
      </c>
      <c r="G11" s="22">
        <f>L11</f>
        <v>3.6111111111111109E-4</v>
      </c>
      <c r="H11" s="18"/>
      <c r="J11" s="19">
        <v>66.45427777777779</v>
      </c>
      <c r="K11" s="19">
        <v>0.20744444444444443</v>
      </c>
      <c r="L11" s="19">
        <v>3.6111111111111109E-4</v>
      </c>
      <c r="M11" s="23"/>
      <c r="N11" s="20">
        <v>1.1990999999999998</v>
      </c>
    </row>
    <row r="12" spans="1:14" x14ac:dyDescent="0.2">
      <c r="A12" s="13" t="s">
        <v>64</v>
      </c>
      <c r="B12" s="13" t="s">
        <v>63</v>
      </c>
      <c r="C12" s="13">
        <v>0.72</v>
      </c>
      <c r="D12" s="13">
        <v>50</v>
      </c>
      <c r="E12" s="22"/>
      <c r="F12" s="22"/>
      <c r="G12" s="22"/>
      <c r="H12" s="18"/>
      <c r="J12" s="19"/>
      <c r="K12" s="19"/>
      <c r="L12" s="19"/>
      <c r="M12" s="23"/>
      <c r="N12" s="20"/>
    </row>
    <row r="13" spans="1:14" x14ac:dyDescent="0.2">
      <c r="A13" s="13" t="s">
        <v>65</v>
      </c>
      <c r="B13" s="13" t="s">
        <v>63</v>
      </c>
      <c r="C13" s="13"/>
      <c r="D13" s="13">
        <v>46</v>
      </c>
      <c r="E13" s="22">
        <f>J13</f>
        <v>72.87444444444445</v>
      </c>
      <c r="F13" s="22">
        <f>K13</f>
        <v>1.563888888888889E-2</v>
      </c>
      <c r="G13" s="22">
        <f>L13</f>
        <v>2.7777777777777779E-5</v>
      </c>
      <c r="H13" s="18"/>
      <c r="J13" s="19">
        <v>72.87444444444445</v>
      </c>
      <c r="K13" s="19">
        <v>1.563888888888889E-2</v>
      </c>
      <c r="L13" s="19">
        <v>2.7777777777777779E-5</v>
      </c>
      <c r="M13" s="23"/>
      <c r="N13" s="20">
        <v>1.1069</v>
      </c>
    </row>
    <row r="14" spans="1:14" x14ac:dyDescent="0.2">
      <c r="A14" s="13" t="s">
        <v>66</v>
      </c>
      <c r="B14" s="13" t="s">
        <v>67</v>
      </c>
      <c r="C14" s="13"/>
      <c r="D14" s="13"/>
      <c r="E14" s="18">
        <f t="shared" ref="E14:G16" si="1">3.6*J14</f>
        <v>642.42150000000004</v>
      </c>
      <c r="F14" s="18">
        <f t="shared" si="1"/>
        <v>2.3007</v>
      </c>
      <c r="G14" s="18">
        <f t="shared" si="1"/>
        <v>2.3199999999999998E-2</v>
      </c>
      <c r="H14" s="18"/>
      <c r="J14" s="19">
        <v>178.45041666666668</v>
      </c>
      <c r="K14" s="19">
        <v>0.63908333333333334</v>
      </c>
      <c r="L14" s="19">
        <v>6.4444444444444436E-3</v>
      </c>
      <c r="M14" s="23"/>
      <c r="N14" s="20">
        <v>2.3453499999999998</v>
      </c>
    </row>
    <row r="15" spans="1:14" x14ac:dyDescent="0.2">
      <c r="A15" s="13" t="s">
        <v>68</v>
      </c>
      <c r="B15" s="13" t="s">
        <v>67</v>
      </c>
      <c r="C15" s="13"/>
      <c r="D15" s="13"/>
      <c r="E15" s="18">
        <f t="shared" si="1"/>
        <v>683.27970000000005</v>
      </c>
      <c r="F15" s="18">
        <f t="shared" si="1"/>
        <v>2.4470999999999998</v>
      </c>
      <c r="G15" s="18">
        <f t="shared" si="1"/>
        <v>2.46E-2</v>
      </c>
      <c r="H15" s="18"/>
      <c r="J15" s="19">
        <v>189.79991666666669</v>
      </c>
      <c r="K15" s="19">
        <v>0.67974999999999997</v>
      </c>
      <c r="L15" s="19">
        <v>6.8333333333333336E-3</v>
      </c>
      <c r="M15" s="23"/>
      <c r="N15" s="20">
        <v>2.4944999999999999</v>
      </c>
    </row>
    <row r="16" spans="1:14" x14ac:dyDescent="0.2">
      <c r="A16" s="13" t="s">
        <v>39</v>
      </c>
      <c r="B16" s="13" t="s">
        <v>67</v>
      </c>
      <c r="C16" s="13"/>
      <c r="D16" s="13"/>
      <c r="E16" s="18">
        <f t="shared" si="1"/>
        <v>187.56</v>
      </c>
      <c r="F16" s="18">
        <f t="shared" si="1"/>
        <v>0.28044000000000002</v>
      </c>
      <c r="G16" s="18">
        <f t="shared" si="1"/>
        <v>6.9480000000000002E-3</v>
      </c>
      <c r="H16" s="18"/>
      <c r="J16" s="23">
        <v>52.1</v>
      </c>
      <c r="K16" s="23">
        <v>7.7899999999999997E-2</v>
      </c>
      <c r="L16" s="23">
        <v>1.9300000000000001E-3</v>
      </c>
      <c r="M16" s="23"/>
      <c r="N16" s="23"/>
    </row>
    <row r="17" spans="1:14" x14ac:dyDescent="0.2">
      <c r="A17" s="13"/>
      <c r="B17" s="13"/>
      <c r="C17" s="13"/>
      <c r="D17" s="13"/>
      <c r="E17" s="18"/>
      <c r="F17" s="18"/>
      <c r="G17" s="18"/>
      <c r="H17" s="18"/>
      <c r="J17" s="23"/>
      <c r="K17" s="23"/>
      <c r="L17" s="23"/>
      <c r="M17" s="23"/>
      <c r="N17" s="23"/>
    </row>
    <row r="18" spans="1:14" x14ac:dyDescent="0.2">
      <c r="A18" s="13"/>
      <c r="B18" s="13"/>
      <c r="C18" s="13"/>
      <c r="D18" s="13"/>
      <c r="E18" s="18"/>
      <c r="F18" s="18"/>
      <c r="G18" s="18"/>
      <c r="H18" s="18"/>
      <c r="J18" s="23"/>
      <c r="K18" s="23"/>
      <c r="L18" s="23"/>
      <c r="M18" s="23"/>
      <c r="N18" s="23"/>
    </row>
    <row r="19" spans="1:14" x14ac:dyDescent="0.2">
      <c r="A19" s="13"/>
      <c r="B19" s="13"/>
      <c r="C19" s="13"/>
      <c r="D19" s="13"/>
      <c r="E19" s="18"/>
      <c r="F19" s="18"/>
      <c r="G19" s="18"/>
      <c r="H19" s="18"/>
      <c r="J19" s="23"/>
      <c r="K19" s="23"/>
      <c r="L19" s="23"/>
      <c r="M19" s="23"/>
      <c r="N19" s="23"/>
    </row>
    <row r="20" spans="1:14" x14ac:dyDescent="0.2">
      <c r="A20" s="13"/>
      <c r="B20" s="13"/>
      <c r="C20" s="13"/>
      <c r="D20" s="13"/>
      <c r="E20" s="18"/>
      <c r="F20" s="18"/>
      <c r="G20" s="18"/>
      <c r="H20" s="18"/>
      <c r="J20" s="23"/>
      <c r="K20" s="23"/>
      <c r="L20" s="23"/>
      <c r="M20" s="23"/>
      <c r="N20" s="23"/>
    </row>
    <row r="21" spans="1:14" x14ac:dyDescent="0.2">
      <c r="A21" s="13"/>
      <c r="B21" s="13"/>
      <c r="C21" s="13"/>
      <c r="D21" s="13"/>
      <c r="E21" s="18"/>
      <c r="F21" s="18"/>
      <c r="G21" s="18"/>
      <c r="H21" s="18"/>
      <c r="J21" s="23"/>
      <c r="K21" s="23"/>
      <c r="L21" s="23"/>
      <c r="M21" s="23"/>
      <c r="N21" s="23"/>
    </row>
    <row r="22" spans="1:14" x14ac:dyDescent="0.2">
      <c r="A22" s="13"/>
      <c r="B22" s="13"/>
      <c r="C22" s="13"/>
      <c r="D22" s="13"/>
      <c r="E22" s="18"/>
      <c r="F22" s="18"/>
      <c r="G22" s="18"/>
      <c r="H22" s="18"/>
      <c r="J22" s="23"/>
      <c r="K22" s="23"/>
      <c r="L22" s="23"/>
      <c r="M22" s="23"/>
      <c r="N22" s="23"/>
    </row>
    <row r="23" spans="1:14" x14ac:dyDescent="0.2">
      <c r="A23" s="13"/>
      <c r="B23" s="13"/>
      <c r="C23" s="13"/>
      <c r="D23" s="13"/>
      <c r="E23" s="18"/>
      <c r="F23" s="18"/>
      <c r="G23" s="18"/>
      <c r="H23" s="18"/>
      <c r="J23" s="23"/>
      <c r="K23" s="23"/>
      <c r="L23" s="23"/>
      <c r="M23" s="23"/>
      <c r="N23" s="23"/>
    </row>
    <row r="24" spans="1:14" x14ac:dyDescent="0.2">
      <c r="A24" s="13"/>
      <c r="B24" s="13"/>
      <c r="C24" s="13"/>
      <c r="D24" s="13"/>
      <c r="E24" s="18"/>
      <c r="F24" s="18"/>
      <c r="G24" s="18"/>
      <c r="H24" s="18"/>
      <c r="J24" s="23"/>
      <c r="K24" s="23"/>
      <c r="L24" s="23"/>
      <c r="M24" s="23"/>
      <c r="N24" s="23"/>
    </row>
    <row r="25" spans="1:14" x14ac:dyDescent="0.2">
      <c r="A25" s="13"/>
      <c r="B25" s="13"/>
      <c r="C25" s="13"/>
      <c r="D25" s="13"/>
      <c r="E25" s="18"/>
      <c r="F25" s="18"/>
      <c r="G25" s="18"/>
      <c r="H25" s="18"/>
      <c r="J25" s="23"/>
      <c r="K25" s="23"/>
      <c r="L25" s="23"/>
      <c r="M25" s="23"/>
      <c r="N25" s="23"/>
    </row>
    <row r="26" spans="1:14" x14ac:dyDescent="0.2">
      <c r="A26" s="13"/>
      <c r="B26" s="13"/>
      <c r="C26" s="13"/>
      <c r="D26" s="13"/>
      <c r="E26" s="18"/>
      <c r="F26" s="18"/>
      <c r="G26" s="18"/>
      <c r="H26" s="18"/>
      <c r="J26" s="23"/>
      <c r="K26" s="23"/>
      <c r="L26" s="23"/>
      <c r="M26" s="23"/>
      <c r="N26" s="23"/>
    </row>
    <row r="27" spans="1:14" x14ac:dyDescent="0.2">
      <c r="A27" s="13"/>
      <c r="B27" s="13"/>
      <c r="C27" s="13"/>
      <c r="D27" s="13"/>
      <c r="E27" s="18"/>
      <c r="F27" s="18"/>
      <c r="G27" s="18"/>
      <c r="H27" s="18"/>
      <c r="J27" s="23"/>
      <c r="K27" s="23"/>
      <c r="L27" s="23"/>
      <c r="M27" s="23"/>
      <c r="N27" s="23"/>
    </row>
    <row r="28" spans="1:14" x14ac:dyDescent="0.2">
      <c r="A28" s="13"/>
      <c r="B28" s="13"/>
      <c r="C28" s="13"/>
      <c r="D28" s="13"/>
      <c r="E28" s="18"/>
      <c r="F28" s="18"/>
      <c r="G28" s="18"/>
      <c r="H28" s="18"/>
      <c r="J28" s="23"/>
      <c r="K28" s="23"/>
      <c r="L28" s="23"/>
      <c r="M28" s="23"/>
      <c r="N28" s="23"/>
    </row>
    <row r="29" spans="1:14" x14ac:dyDescent="0.2">
      <c r="A29" s="13"/>
      <c r="B29" s="13"/>
      <c r="C29" s="13"/>
      <c r="D29" s="13"/>
      <c r="E29" s="18"/>
      <c r="F29" s="18"/>
      <c r="G29" s="18"/>
      <c r="H29" s="18"/>
      <c r="J29" s="23"/>
      <c r="K29" s="23"/>
      <c r="L29" s="23"/>
      <c r="M29" s="23"/>
      <c r="N29" s="23"/>
    </row>
    <row r="30" spans="1:14" x14ac:dyDescent="0.2">
      <c r="A30" s="13"/>
      <c r="B30" s="13"/>
      <c r="C30" s="13"/>
      <c r="D30" s="13"/>
      <c r="E30" s="18"/>
      <c r="F30" s="18"/>
      <c r="G30" s="18"/>
      <c r="H30" s="18"/>
      <c r="J30" s="23"/>
      <c r="K30" s="23"/>
      <c r="L30" s="23"/>
      <c r="M30" s="23"/>
      <c r="N30" s="23"/>
    </row>
    <row r="31" spans="1:14" x14ac:dyDescent="0.2">
      <c r="A31" s="13"/>
      <c r="B31" s="13"/>
      <c r="C31" s="13"/>
      <c r="D31" s="13"/>
      <c r="E31" s="18"/>
      <c r="F31" s="18"/>
      <c r="G31" s="18"/>
      <c r="H31" s="18"/>
      <c r="J31" s="23"/>
      <c r="K31" s="23"/>
      <c r="L31" s="23"/>
      <c r="M31" s="23"/>
      <c r="N31" s="23"/>
    </row>
    <row r="32" spans="1:14" x14ac:dyDescent="0.2">
      <c r="A32" s="13"/>
      <c r="B32" s="13"/>
      <c r="C32" s="13"/>
      <c r="D32" s="13"/>
      <c r="E32" s="18"/>
      <c r="F32" s="18"/>
      <c r="G32" s="18"/>
      <c r="H32" s="18"/>
      <c r="J32" s="23"/>
      <c r="K32" s="23"/>
      <c r="L32" s="23"/>
      <c r="M32" s="23"/>
      <c r="N32" s="23"/>
    </row>
  </sheetData>
  <sheetProtection selectLockedCells="1" selectUnlockedCells="1"/>
  <mergeCells count="2">
    <mergeCell ref="E2:H2"/>
    <mergeCell ref="J2:M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zoomScale="105" zoomScaleNormal="105" workbookViewId="0">
      <selection activeCell="B22" sqref="B22"/>
    </sheetView>
  </sheetViews>
  <sheetFormatPr defaultColWidth="11.5703125" defaultRowHeight="12.75" x14ac:dyDescent="0.2"/>
  <cols>
    <col min="1" max="1" width="30" customWidth="1"/>
    <col min="2" max="2" width="14.42578125" customWidth="1"/>
    <col min="3" max="3" width="14.85546875" customWidth="1"/>
    <col min="4" max="4" width="15.140625" customWidth="1"/>
    <col min="5" max="5" width="14.5703125" customWidth="1"/>
    <col min="6" max="6" width="14.42578125" customWidth="1"/>
    <col min="7" max="7" width="14.85546875" customWidth="1"/>
    <col min="8" max="8" width="15.140625" customWidth="1"/>
    <col min="9" max="9" width="14.5703125" customWidth="1"/>
    <col min="10" max="10" width="14.42578125" customWidth="1"/>
    <col min="11" max="11" width="13.7109375" customWidth="1"/>
    <col min="12" max="12" width="13.5703125" customWidth="1"/>
    <col min="13" max="13" width="13.7109375" customWidth="1"/>
    <col min="14" max="14" width="12.42578125" customWidth="1"/>
    <col min="15" max="15" width="12.85546875" customWidth="1"/>
    <col min="16" max="16" width="13.5703125" customWidth="1"/>
    <col min="17" max="17" width="15.5703125" customWidth="1"/>
    <col min="18" max="18" width="15" customWidth="1"/>
  </cols>
  <sheetData>
    <row r="1" spans="1:18" x14ac:dyDescent="0.2">
      <c r="A1" t="s">
        <v>69</v>
      </c>
    </row>
    <row r="2" spans="1:18" x14ac:dyDescent="0.2">
      <c r="A2" s="13"/>
      <c r="B2" s="13"/>
      <c r="C2" s="400" t="s">
        <v>70</v>
      </c>
      <c r="D2" s="400"/>
      <c r="E2" s="400"/>
      <c r="F2" s="400"/>
      <c r="G2" s="399" t="s">
        <v>71</v>
      </c>
      <c r="H2" s="399"/>
      <c r="I2" s="399"/>
      <c r="J2" s="399"/>
      <c r="K2" s="400" t="s">
        <v>72</v>
      </c>
      <c r="L2" s="400"/>
      <c r="M2" s="400"/>
      <c r="N2" s="400"/>
      <c r="O2" s="401" t="s">
        <v>73</v>
      </c>
      <c r="P2" s="401"/>
      <c r="Q2" s="401"/>
      <c r="R2" s="401"/>
    </row>
    <row r="3" spans="1:18" x14ac:dyDescent="0.2">
      <c r="A3" s="15" t="s">
        <v>74</v>
      </c>
      <c r="B3" s="15" t="s">
        <v>16</v>
      </c>
      <c r="C3" s="14" t="s">
        <v>18</v>
      </c>
      <c r="D3" s="14" t="s">
        <v>19</v>
      </c>
      <c r="E3" s="14" t="s">
        <v>20</v>
      </c>
      <c r="F3" s="14" t="s">
        <v>55</v>
      </c>
      <c r="G3" s="16" t="s">
        <v>18</v>
      </c>
      <c r="H3" s="16" t="s">
        <v>19</v>
      </c>
      <c r="I3" s="16" t="s">
        <v>20</v>
      </c>
      <c r="J3" s="16" t="s">
        <v>55</v>
      </c>
      <c r="K3" s="14" t="s">
        <v>18</v>
      </c>
      <c r="L3" s="14" t="s">
        <v>19</v>
      </c>
      <c r="M3" s="14" t="s">
        <v>20</v>
      </c>
      <c r="N3" s="14" t="s">
        <v>55</v>
      </c>
      <c r="O3" s="24" t="s">
        <v>75</v>
      </c>
      <c r="P3" s="24" t="s">
        <v>76</v>
      </c>
      <c r="Q3" s="24" t="s">
        <v>77</v>
      </c>
      <c r="R3" s="24" t="s">
        <v>78</v>
      </c>
    </row>
    <row r="4" spans="1:18" s="80" customFormat="1" x14ac:dyDescent="0.2">
      <c r="A4" s="15"/>
      <c r="B4" s="15"/>
      <c r="C4" s="14"/>
      <c r="D4" s="14"/>
      <c r="E4" s="14"/>
      <c r="F4" s="14"/>
      <c r="G4" s="16"/>
      <c r="H4" s="16"/>
      <c r="I4" s="16"/>
      <c r="J4" s="16"/>
      <c r="K4" s="14"/>
      <c r="L4" s="14"/>
      <c r="M4" s="14"/>
      <c r="N4" s="14"/>
      <c r="O4" s="24"/>
      <c r="P4" s="24"/>
      <c r="Q4" s="24"/>
      <c r="R4" s="24"/>
    </row>
    <row r="5" spans="1:18" x14ac:dyDescent="0.2">
      <c r="A5" s="13" t="s">
        <v>79</v>
      </c>
      <c r="B5" s="13" t="s">
        <v>80</v>
      </c>
      <c r="C5" s="23">
        <f t="shared" ref="C5:C22" si="0">G5+K5</f>
        <v>3680</v>
      </c>
      <c r="D5" s="23">
        <f t="shared" ref="D5:D22" si="1">H5+L5</f>
        <v>7.49</v>
      </c>
      <c r="E5" s="23">
        <f t="shared" ref="E5:E22" si="2">I5+M5</f>
        <v>23.172428571428568</v>
      </c>
      <c r="F5" s="23"/>
      <c r="G5" s="17">
        <v>3680</v>
      </c>
      <c r="H5" s="17">
        <v>7.49</v>
      </c>
      <c r="I5" s="17">
        <v>2.351</v>
      </c>
      <c r="J5" s="18"/>
      <c r="K5" s="19"/>
      <c r="L5" s="19"/>
      <c r="M5" s="19">
        <f t="shared" ref="M5:M22" si="3">SUMPRODUCT(O5:Q5,O$35:Q$35)*1000</f>
        <v>20.821428571428569</v>
      </c>
      <c r="N5" s="19"/>
      <c r="O5" s="25">
        <v>0.01</v>
      </c>
      <c r="P5" s="25">
        <v>0.1</v>
      </c>
      <c r="Q5" s="25">
        <v>0.3</v>
      </c>
      <c r="R5" s="25">
        <v>0.59</v>
      </c>
    </row>
    <row r="6" spans="1:18" ht="15.75" x14ac:dyDescent="0.3">
      <c r="A6" s="13" t="s">
        <v>81</v>
      </c>
      <c r="B6" s="13" t="s">
        <v>82</v>
      </c>
      <c r="C6" s="23">
        <f t="shared" si="0"/>
        <v>1112.1129000000001</v>
      </c>
      <c r="D6" s="23">
        <f t="shared" si="1"/>
        <v>1.9198999999999999</v>
      </c>
      <c r="E6" s="23">
        <f t="shared" si="2"/>
        <v>5.3600000000000002E-2</v>
      </c>
      <c r="F6" s="23"/>
      <c r="G6" s="17">
        <v>1112.1129000000001</v>
      </c>
      <c r="H6" s="17">
        <v>1.9198999999999999</v>
      </c>
      <c r="I6" s="17">
        <v>5.3600000000000002E-2</v>
      </c>
      <c r="J6" s="18"/>
      <c r="K6" s="19"/>
      <c r="L6" s="19"/>
      <c r="M6" s="19">
        <f t="shared" si="3"/>
        <v>0</v>
      </c>
      <c r="N6" s="19"/>
      <c r="O6" s="26"/>
      <c r="P6" s="26"/>
      <c r="Q6" s="26"/>
      <c r="R6" s="26"/>
    </row>
    <row r="7" spans="1:18" ht="15.75" x14ac:dyDescent="0.3">
      <c r="A7" s="13" t="s">
        <v>83</v>
      </c>
      <c r="B7" s="13" t="s">
        <v>84</v>
      </c>
      <c r="C7" s="23">
        <f t="shared" si="0"/>
        <v>588.70870000000002</v>
      </c>
      <c r="D7" s="23">
        <f t="shared" si="1"/>
        <v>1.7172000000000001</v>
      </c>
      <c r="E7" s="23">
        <f t="shared" si="2"/>
        <v>1.35E-2</v>
      </c>
      <c r="F7" s="23"/>
      <c r="G7" s="17">
        <v>588.70870000000002</v>
      </c>
      <c r="H7" s="17">
        <v>1.7172000000000001</v>
      </c>
      <c r="I7" s="17">
        <v>1.35E-2</v>
      </c>
      <c r="J7" s="18"/>
      <c r="K7" s="19"/>
      <c r="L7" s="19"/>
      <c r="M7" s="19">
        <f t="shared" si="3"/>
        <v>0</v>
      </c>
      <c r="N7" s="19"/>
      <c r="O7" s="26"/>
      <c r="P7" s="26"/>
      <c r="Q7" s="26"/>
      <c r="R7" s="26"/>
    </row>
    <row r="8" spans="1:18" x14ac:dyDescent="0.2">
      <c r="A8" s="13" t="s">
        <v>85</v>
      </c>
      <c r="B8" s="13" t="s">
        <v>86</v>
      </c>
      <c r="C8" s="23">
        <f t="shared" si="0"/>
        <v>82.934799999999996</v>
      </c>
      <c r="D8" s="23">
        <f t="shared" si="1"/>
        <v>0.23300000000000001</v>
      </c>
      <c r="E8" s="23">
        <f t="shared" si="2"/>
        <v>3.0000000000000001E-3</v>
      </c>
      <c r="F8" s="23"/>
      <c r="G8" s="17">
        <v>82.934799999999996</v>
      </c>
      <c r="H8" s="17">
        <v>0.23300000000000001</v>
      </c>
      <c r="I8" s="17">
        <v>3.0000000000000001E-3</v>
      </c>
      <c r="J8" s="18"/>
      <c r="K8" s="19"/>
      <c r="L8" s="19"/>
      <c r="M8" s="19">
        <f t="shared" si="3"/>
        <v>0</v>
      </c>
      <c r="N8" s="19"/>
      <c r="O8" s="26"/>
      <c r="P8" s="26"/>
      <c r="Q8" s="26"/>
      <c r="R8" s="26"/>
    </row>
    <row r="9" spans="1:18" x14ac:dyDescent="0.2">
      <c r="A9" s="13" t="s">
        <v>87</v>
      </c>
      <c r="B9" s="13" t="s">
        <v>88</v>
      </c>
      <c r="C9" s="23">
        <f t="shared" si="0"/>
        <v>46.467160171530423</v>
      </c>
      <c r="D9" s="23">
        <f t="shared" si="1"/>
        <v>0.13054650544724999</v>
      </c>
      <c r="E9" s="23">
        <f t="shared" si="2"/>
        <v>1.6808562933122318E-3</v>
      </c>
      <c r="F9" s="23"/>
      <c r="G9" s="17">
        <v>46.467160171530423</v>
      </c>
      <c r="H9" s="17">
        <v>0.13054650544724999</v>
      </c>
      <c r="I9" s="17">
        <v>1.6808562933122318E-3</v>
      </c>
      <c r="J9" s="18"/>
      <c r="K9" s="19"/>
      <c r="L9" s="19"/>
      <c r="M9" s="19">
        <f t="shared" si="3"/>
        <v>0</v>
      </c>
      <c r="N9" s="19"/>
      <c r="O9" s="26"/>
      <c r="P9" s="26"/>
      <c r="Q9" s="26"/>
      <c r="R9" s="26"/>
    </row>
    <row r="10" spans="1:18" x14ac:dyDescent="0.2">
      <c r="A10" s="13" t="s">
        <v>89</v>
      </c>
      <c r="B10" s="13" t="s">
        <v>80</v>
      </c>
      <c r="C10" s="23">
        <f t="shared" si="0"/>
        <v>2670.8656716417909</v>
      </c>
      <c r="D10" s="23">
        <f t="shared" si="1"/>
        <v>6.937313432835821</v>
      </c>
      <c r="E10" s="23">
        <f t="shared" si="2"/>
        <v>22.9165903464461</v>
      </c>
      <c r="F10" s="23"/>
      <c r="G10" s="17">
        <v>2670.8656716417909</v>
      </c>
      <c r="H10" s="17">
        <v>6.937313432835821</v>
      </c>
      <c r="I10" s="17">
        <v>2.0951617750175293</v>
      </c>
      <c r="J10" s="18"/>
      <c r="K10" s="19"/>
      <c r="L10" s="19"/>
      <c r="M10" s="19">
        <f t="shared" si="3"/>
        <v>20.821428571428569</v>
      </c>
      <c r="N10" s="19"/>
      <c r="O10" s="25">
        <v>0.01</v>
      </c>
      <c r="P10" s="25">
        <v>0.1</v>
      </c>
      <c r="Q10" s="25">
        <v>0.3</v>
      </c>
      <c r="R10" s="25">
        <v>0.59</v>
      </c>
    </row>
    <row r="11" spans="1:18" x14ac:dyDescent="0.2">
      <c r="A11" s="13" t="s">
        <v>90</v>
      </c>
      <c r="B11" s="13" t="s">
        <v>80</v>
      </c>
      <c r="C11" s="23">
        <f t="shared" si="0"/>
        <v>2560.3809523809523</v>
      </c>
      <c r="D11" s="23">
        <f t="shared" si="1"/>
        <v>6.5371428571428556</v>
      </c>
      <c r="E11" s="23">
        <f t="shared" si="2"/>
        <v>20.821428571428569</v>
      </c>
      <c r="F11" s="23"/>
      <c r="G11" s="22">
        <v>2560.3809523809523</v>
      </c>
      <c r="H11" s="22">
        <v>6.5371428571428556</v>
      </c>
      <c r="I11" s="22">
        <v>0</v>
      </c>
      <c r="J11" s="18"/>
      <c r="K11" s="19"/>
      <c r="L11" s="19"/>
      <c r="M11" s="19">
        <f t="shared" si="3"/>
        <v>20.821428571428569</v>
      </c>
      <c r="N11" s="23"/>
      <c r="O11" s="25">
        <v>0.01</v>
      </c>
      <c r="P11" s="25">
        <v>0.1</v>
      </c>
      <c r="Q11" s="25">
        <v>0.3</v>
      </c>
      <c r="R11" s="25">
        <v>0.59</v>
      </c>
    </row>
    <row r="12" spans="1:18" x14ac:dyDescent="0.2">
      <c r="A12" s="13" t="s">
        <v>91</v>
      </c>
      <c r="B12" s="13" t="s">
        <v>80</v>
      </c>
      <c r="C12" s="23">
        <f t="shared" si="0"/>
        <v>2560.8461538461534</v>
      </c>
      <c r="D12" s="23">
        <f t="shared" si="1"/>
        <v>8.85230769230769</v>
      </c>
      <c r="E12" s="23">
        <f t="shared" si="2"/>
        <v>22.094531307618553</v>
      </c>
      <c r="F12" s="23"/>
      <c r="G12" s="22">
        <v>2560.8461538461534</v>
      </c>
      <c r="H12" s="22">
        <v>8.85230769230769</v>
      </c>
      <c r="I12" s="22">
        <v>1.2731027361899843</v>
      </c>
      <c r="J12" s="18"/>
      <c r="K12" s="19"/>
      <c r="L12" s="19"/>
      <c r="M12" s="19">
        <f t="shared" si="3"/>
        <v>20.821428571428569</v>
      </c>
      <c r="N12" s="23"/>
      <c r="O12" s="25">
        <v>0.01</v>
      </c>
      <c r="P12" s="25">
        <v>0.1</v>
      </c>
      <c r="Q12" s="25">
        <v>0.3</v>
      </c>
      <c r="R12" s="25">
        <v>0.59</v>
      </c>
    </row>
    <row r="13" spans="1:18" x14ac:dyDescent="0.2">
      <c r="A13" s="13" t="s">
        <v>92</v>
      </c>
      <c r="B13" s="13" t="s">
        <v>80</v>
      </c>
      <c r="C13" s="23">
        <f t="shared" si="0"/>
        <v>2661.8048780487807</v>
      </c>
      <c r="D13" s="23">
        <f t="shared" si="1"/>
        <v>6.7960975609756105</v>
      </c>
      <c r="E13" s="23">
        <f t="shared" si="2"/>
        <v>20.821428571428569</v>
      </c>
      <c r="F13" s="23"/>
      <c r="G13" s="22">
        <v>2661.8048780487807</v>
      </c>
      <c r="H13" s="22">
        <v>6.7960975609756105</v>
      </c>
      <c r="I13" s="22">
        <v>0</v>
      </c>
      <c r="J13" s="18"/>
      <c r="K13" s="19"/>
      <c r="L13" s="19"/>
      <c r="M13" s="19">
        <f t="shared" si="3"/>
        <v>20.821428571428569</v>
      </c>
      <c r="N13" s="23"/>
      <c r="O13" s="25">
        <v>0.01</v>
      </c>
      <c r="P13" s="25">
        <v>0.1</v>
      </c>
      <c r="Q13" s="25">
        <v>0.3</v>
      </c>
      <c r="R13" s="25">
        <v>0.59</v>
      </c>
    </row>
    <row r="14" spans="1:18" x14ac:dyDescent="0.2">
      <c r="A14" s="13" t="s">
        <v>93</v>
      </c>
      <c r="B14" s="13" t="s">
        <v>80</v>
      </c>
      <c r="C14" s="23">
        <f t="shared" si="0"/>
        <v>2862.8888888888887</v>
      </c>
      <c r="D14" s="23">
        <f t="shared" si="1"/>
        <v>7.340740740740741</v>
      </c>
      <c r="E14" s="23">
        <f t="shared" si="2"/>
        <v>22.915264017613008</v>
      </c>
      <c r="F14" s="23"/>
      <c r="G14" s="18">
        <v>2862.8888888888887</v>
      </c>
      <c r="H14" s="18">
        <v>7.340740740740741</v>
      </c>
      <c r="I14" s="18">
        <v>2.0938354461844395</v>
      </c>
      <c r="J14" s="18"/>
      <c r="K14" s="19"/>
      <c r="L14" s="19"/>
      <c r="M14" s="19">
        <f t="shared" si="3"/>
        <v>20.821428571428569</v>
      </c>
      <c r="N14" s="23"/>
      <c r="O14" s="25">
        <v>0.01</v>
      </c>
      <c r="P14" s="25">
        <v>0.1</v>
      </c>
      <c r="Q14" s="25">
        <v>0.3</v>
      </c>
      <c r="R14" s="25">
        <v>0.59</v>
      </c>
    </row>
    <row r="15" spans="1:18" x14ac:dyDescent="0.2">
      <c r="A15" s="13" t="s">
        <v>94</v>
      </c>
      <c r="B15" s="13" t="s">
        <v>80</v>
      </c>
      <c r="C15" s="23">
        <f t="shared" si="0"/>
        <v>2652.5161290322585</v>
      </c>
      <c r="D15" s="23">
        <f t="shared" si="1"/>
        <v>6.9574193548387093</v>
      </c>
      <c r="E15" s="23">
        <f t="shared" si="2"/>
        <v>25.928594624686852</v>
      </c>
      <c r="F15" s="23"/>
      <c r="G15" s="18">
        <v>2652.5161290322585</v>
      </c>
      <c r="H15" s="18">
        <v>6.9574193548387093</v>
      </c>
      <c r="I15" s="18">
        <v>5.1071660532582808</v>
      </c>
      <c r="J15" s="18"/>
      <c r="K15" s="19"/>
      <c r="L15" s="19"/>
      <c r="M15" s="19">
        <f t="shared" si="3"/>
        <v>20.821428571428569</v>
      </c>
      <c r="N15" s="23"/>
      <c r="O15" s="25">
        <v>0.01</v>
      </c>
      <c r="P15" s="25">
        <v>0.1</v>
      </c>
      <c r="Q15" s="25">
        <v>0.3</v>
      </c>
      <c r="R15" s="25">
        <v>0.59</v>
      </c>
    </row>
    <row r="16" spans="1:18" x14ac:dyDescent="0.2">
      <c r="A16" s="27" t="s">
        <v>95</v>
      </c>
      <c r="B16" s="27" t="s">
        <v>80</v>
      </c>
      <c r="C16" s="23">
        <f t="shared" si="0"/>
        <v>3292.608695652174</v>
      </c>
      <c r="D16" s="23">
        <f t="shared" si="1"/>
        <v>9.2869565217391301</v>
      </c>
      <c r="E16" s="23">
        <f t="shared" si="2"/>
        <v>20.821428571428569</v>
      </c>
      <c r="F16" s="28"/>
      <c r="G16" s="18">
        <v>1702.608695652174</v>
      </c>
      <c r="H16" s="18">
        <v>9.2869565217391301</v>
      </c>
      <c r="I16" s="18">
        <v>0</v>
      </c>
      <c r="J16" s="18"/>
      <c r="K16" s="23">
        <v>1590</v>
      </c>
      <c r="L16" s="23"/>
      <c r="M16" s="19">
        <f t="shared" si="3"/>
        <v>20.821428571428569</v>
      </c>
      <c r="N16" s="23"/>
      <c r="O16" s="25">
        <v>0.01</v>
      </c>
      <c r="P16" s="25">
        <v>0.1</v>
      </c>
      <c r="Q16" s="25">
        <v>0.3</v>
      </c>
      <c r="R16" s="25">
        <v>0.59</v>
      </c>
    </row>
    <row r="17" spans="1:18" x14ac:dyDescent="0.2">
      <c r="A17" s="27" t="s">
        <v>96</v>
      </c>
      <c r="B17" s="27" t="s">
        <v>80</v>
      </c>
      <c r="C17" s="23">
        <f t="shared" si="0"/>
        <v>3771.6000000000004</v>
      </c>
      <c r="D17" s="23">
        <f t="shared" si="1"/>
        <v>7.5413333333333341</v>
      </c>
      <c r="E17" s="23">
        <f t="shared" si="2"/>
        <v>21.905992329817831</v>
      </c>
      <c r="F17" s="28"/>
      <c r="G17" s="18">
        <v>2181.6000000000004</v>
      </c>
      <c r="H17" s="18">
        <v>7.5413333333333341</v>
      </c>
      <c r="I17" s="18">
        <v>1.084563758389262</v>
      </c>
      <c r="J17" s="18"/>
      <c r="K17" s="23">
        <v>1590</v>
      </c>
      <c r="L17" s="23"/>
      <c r="M17" s="19">
        <f t="shared" si="3"/>
        <v>20.821428571428569</v>
      </c>
      <c r="N17" s="23"/>
      <c r="O17" s="25">
        <v>0.01</v>
      </c>
      <c r="P17" s="25">
        <v>0.1</v>
      </c>
      <c r="Q17" s="25">
        <v>0.3</v>
      </c>
      <c r="R17" s="25">
        <v>0.59</v>
      </c>
    </row>
    <row r="18" spans="1:18" x14ac:dyDescent="0.2">
      <c r="A18" s="13" t="s">
        <v>97</v>
      </c>
      <c r="B18" s="13" t="s">
        <v>82</v>
      </c>
      <c r="C18" s="23">
        <f t="shared" si="0"/>
        <v>516.5625</v>
      </c>
      <c r="D18" s="23">
        <f t="shared" si="1"/>
        <v>0.87</v>
      </c>
      <c r="E18" s="23">
        <f t="shared" si="2"/>
        <v>1.8246644295302015E-2</v>
      </c>
      <c r="F18" s="23"/>
      <c r="G18" s="18">
        <v>516.5625</v>
      </c>
      <c r="H18" s="18">
        <v>0.87</v>
      </c>
      <c r="I18" s="18">
        <v>1.8246644295302015E-2</v>
      </c>
      <c r="J18" s="18"/>
      <c r="K18" s="23"/>
      <c r="L18" s="23"/>
      <c r="M18" s="19">
        <f t="shared" si="3"/>
        <v>0</v>
      </c>
      <c r="N18" s="23"/>
      <c r="O18" s="26"/>
      <c r="P18" s="26"/>
      <c r="Q18" s="26"/>
      <c r="R18" s="26"/>
    </row>
    <row r="19" spans="1:18" ht="14.25" x14ac:dyDescent="0.3">
      <c r="A19" s="13" t="s">
        <v>98</v>
      </c>
      <c r="B19" s="13" t="s">
        <v>82</v>
      </c>
      <c r="C19" s="23">
        <f t="shared" si="0"/>
        <v>95</v>
      </c>
      <c r="D19" s="23">
        <f t="shared" si="1"/>
        <v>0</v>
      </c>
      <c r="E19" s="23">
        <f t="shared" si="2"/>
        <v>0</v>
      </c>
      <c r="F19" s="23"/>
      <c r="G19" s="18">
        <v>95</v>
      </c>
      <c r="H19" s="18">
        <v>0</v>
      </c>
      <c r="I19" s="18">
        <v>0</v>
      </c>
      <c r="J19" s="18"/>
      <c r="K19" s="23"/>
      <c r="L19" s="23"/>
      <c r="M19" s="19">
        <f t="shared" si="3"/>
        <v>0</v>
      </c>
      <c r="N19" s="23"/>
      <c r="O19" s="26"/>
      <c r="P19" s="26"/>
      <c r="Q19" s="26"/>
      <c r="R19" s="26"/>
    </row>
    <row r="20" spans="1:18" ht="14.25" x14ac:dyDescent="0.3">
      <c r="A20" s="13" t="s">
        <v>99</v>
      </c>
      <c r="B20" s="13" t="s">
        <v>82</v>
      </c>
      <c r="C20" s="23">
        <f t="shared" si="0"/>
        <v>967.11538461538464</v>
      </c>
      <c r="D20" s="23">
        <f t="shared" si="1"/>
        <v>2.4692307692307689</v>
      </c>
      <c r="E20" s="23">
        <f t="shared" si="2"/>
        <v>0</v>
      </c>
      <c r="F20" s="23"/>
      <c r="G20" s="18">
        <v>967.11538461538464</v>
      </c>
      <c r="H20" s="18">
        <v>2.4692307692307689</v>
      </c>
      <c r="I20" s="18">
        <v>0</v>
      </c>
      <c r="J20" s="18"/>
      <c r="K20" s="23"/>
      <c r="L20" s="23"/>
      <c r="M20" s="19">
        <f t="shared" si="3"/>
        <v>0</v>
      </c>
      <c r="N20" s="23"/>
      <c r="O20" s="26"/>
      <c r="P20" s="26"/>
      <c r="Q20" s="26"/>
      <c r="R20" s="26"/>
    </row>
    <row r="21" spans="1:18" x14ac:dyDescent="0.2">
      <c r="A21" s="13" t="s">
        <v>100</v>
      </c>
      <c r="B21" s="13" t="s">
        <v>82</v>
      </c>
      <c r="C21" s="23">
        <f t="shared" si="0"/>
        <v>1459.0434782608695</v>
      </c>
      <c r="D21" s="23">
        <f t="shared" si="1"/>
        <v>3.72521739130435</v>
      </c>
      <c r="E21" s="23">
        <f t="shared" si="2"/>
        <v>0</v>
      </c>
      <c r="F21" s="23"/>
      <c r="G21" s="18">
        <v>1459.0434782608695</v>
      </c>
      <c r="H21" s="18">
        <v>3.72521739130435</v>
      </c>
      <c r="I21" s="18">
        <v>0</v>
      </c>
      <c r="J21" s="18"/>
      <c r="K21" s="23"/>
      <c r="L21" s="23"/>
      <c r="M21" s="19">
        <f t="shared" si="3"/>
        <v>0</v>
      </c>
      <c r="N21" s="23"/>
      <c r="O21" s="26"/>
      <c r="P21" s="26"/>
      <c r="Q21" s="26"/>
      <c r="R21" s="26"/>
    </row>
    <row r="22" spans="1:18" x14ac:dyDescent="0.2">
      <c r="A22" s="13" t="s">
        <v>101</v>
      </c>
      <c r="B22" s="13" t="s">
        <v>84</v>
      </c>
      <c r="C22" s="23">
        <f t="shared" si="0"/>
        <v>409.2</v>
      </c>
      <c r="D22" s="23">
        <f t="shared" si="1"/>
        <v>0.16533333333333333</v>
      </c>
      <c r="E22" s="23">
        <f t="shared" si="2"/>
        <v>0</v>
      </c>
      <c r="F22" s="23"/>
      <c r="G22" s="18">
        <v>409.2</v>
      </c>
      <c r="H22" s="18">
        <v>0.16533333333333333</v>
      </c>
      <c r="I22" s="18">
        <v>0</v>
      </c>
      <c r="J22" s="18"/>
      <c r="K22" s="23"/>
      <c r="L22" s="23"/>
      <c r="M22" s="19">
        <f t="shared" si="3"/>
        <v>0</v>
      </c>
      <c r="N22" s="23"/>
      <c r="O22" s="26"/>
      <c r="P22" s="26"/>
      <c r="Q22" s="26"/>
      <c r="R22" s="26"/>
    </row>
    <row r="23" spans="1:18" x14ac:dyDescent="0.2">
      <c r="A23" s="13"/>
      <c r="B23" s="13"/>
      <c r="C23" s="23"/>
      <c r="D23" s="23"/>
      <c r="E23" s="23"/>
      <c r="F23" s="23"/>
      <c r="G23" s="18"/>
      <c r="H23" s="18"/>
      <c r="I23" s="18"/>
      <c r="J23" s="18"/>
      <c r="K23" s="23"/>
      <c r="L23" s="23"/>
      <c r="M23" s="23"/>
      <c r="N23" s="23"/>
      <c r="O23" s="26"/>
      <c r="P23" s="26"/>
      <c r="Q23" s="26"/>
      <c r="R23" s="26"/>
    </row>
    <row r="24" spans="1:18" x14ac:dyDescent="0.2">
      <c r="A24" s="13"/>
      <c r="B24" s="13"/>
      <c r="C24" s="23"/>
      <c r="D24" s="23"/>
      <c r="E24" s="23"/>
      <c r="F24" s="23"/>
      <c r="G24" s="18"/>
      <c r="H24" s="18"/>
      <c r="I24" s="18"/>
      <c r="J24" s="18"/>
      <c r="K24" s="23"/>
      <c r="L24" s="23"/>
      <c r="M24" s="23"/>
      <c r="N24" s="23"/>
      <c r="O24" s="26"/>
      <c r="P24" s="26"/>
      <c r="Q24" s="26"/>
      <c r="R24" s="26"/>
    </row>
    <row r="25" spans="1:18" x14ac:dyDescent="0.2">
      <c r="A25" s="13"/>
      <c r="B25" s="13"/>
      <c r="C25" s="23"/>
      <c r="D25" s="23"/>
      <c r="E25" s="23"/>
      <c r="F25" s="23"/>
      <c r="G25" s="18"/>
      <c r="H25" s="18"/>
      <c r="I25" s="18"/>
      <c r="J25" s="18"/>
      <c r="K25" s="23"/>
      <c r="L25" s="23"/>
      <c r="M25" s="23"/>
      <c r="N25" s="23"/>
      <c r="O25" s="26"/>
      <c r="P25" s="26"/>
      <c r="Q25" s="26"/>
      <c r="R25" s="26"/>
    </row>
    <row r="26" spans="1:18" x14ac:dyDescent="0.2">
      <c r="A26" s="13"/>
      <c r="B26" s="13"/>
      <c r="C26" s="23"/>
      <c r="D26" s="23"/>
      <c r="E26" s="23"/>
      <c r="F26" s="23"/>
      <c r="G26" s="18"/>
      <c r="H26" s="18"/>
      <c r="I26" s="18"/>
      <c r="J26" s="18"/>
      <c r="K26" s="23"/>
      <c r="L26" s="23"/>
      <c r="M26" s="23"/>
      <c r="N26" s="23"/>
      <c r="O26" s="26"/>
      <c r="P26" s="26"/>
      <c r="Q26" s="26"/>
      <c r="R26" s="26"/>
    </row>
    <row r="27" spans="1:18" x14ac:dyDescent="0.2">
      <c r="A27" s="13"/>
      <c r="B27" s="13"/>
      <c r="C27" s="23"/>
      <c r="D27" s="23"/>
      <c r="E27" s="23"/>
      <c r="F27" s="23"/>
      <c r="G27" s="18"/>
      <c r="H27" s="18"/>
      <c r="I27" s="18"/>
      <c r="J27" s="18"/>
      <c r="K27" s="23"/>
      <c r="L27" s="23"/>
      <c r="M27" s="23"/>
      <c r="N27" s="23"/>
      <c r="O27" s="26"/>
      <c r="P27" s="26"/>
      <c r="Q27" s="26"/>
      <c r="R27" s="26"/>
    </row>
    <row r="28" spans="1:18" x14ac:dyDescent="0.2">
      <c r="A28" s="13"/>
      <c r="B28" s="13"/>
      <c r="C28" s="23"/>
      <c r="D28" s="23"/>
      <c r="E28" s="23"/>
      <c r="F28" s="23"/>
      <c r="G28" s="18"/>
      <c r="H28" s="18"/>
      <c r="I28" s="18"/>
      <c r="J28" s="18"/>
      <c r="K28" s="23"/>
      <c r="L28" s="23"/>
      <c r="M28" s="23"/>
      <c r="N28" s="23"/>
      <c r="O28" s="26"/>
      <c r="P28" s="26"/>
      <c r="Q28" s="26"/>
      <c r="R28" s="26"/>
    </row>
    <row r="29" spans="1:18" x14ac:dyDescent="0.2">
      <c r="A29" s="13"/>
      <c r="B29" s="13"/>
      <c r="C29" s="23"/>
      <c r="D29" s="23"/>
      <c r="E29" s="23"/>
      <c r="F29" s="23"/>
      <c r="G29" s="18"/>
      <c r="H29" s="18"/>
      <c r="I29" s="18"/>
      <c r="J29" s="18"/>
      <c r="K29" s="23"/>
      <c r="L29" s="23"/>
      <c r="M29" s="23"/>
      <c r="N29" s="23"/>
      <c r="O29" s="26"/>
      <c r="P29" s="26"/>
      <c r="Q29" s="26"/>
      <c r="R29" s="26"/>
    </row>
    <row r="30" spans="1:18" x14ac:dyDescent="0.2">
      <c r="A30" s="13"/>
      <c r="B30" s="13"/>
      <c r="C30" s="23"/>
      <c r="D30" s="23"/>
      <c r="E30" s="23"/>
      <c r="F30" s="23"/>
      <c r="G30" s="18"/>
      <c r="H30" s="18"/>
      <c r="I30" s="18"/>
      <c r="J30" s="18"/>
      <c r="K30" s="23"/>
      <c r="L30" s="23"/>
      <c r="M30" s="23"/>
      <c r="N30" s="23"/>
      <c r="O30" s="26"/>
      <c r="P30" s="26"/>
      <c r="Q30" s="26"/>
      <c r="R30" s="26"/>
    </row>
    <row r="31" spans="1:18" x14ac:dyDescent="0.2">
      <c r="A31" s="13"/>
      <c r="B31" s="13"/>
      <c r="C31" s="23"/>
      <c r="D31" s="23"/>
      <c r="E31" s="23"/>
      <c r="F31" s="23"/>
      <c r="G31" s="18"/>
      <c r="H31" s="18"/>
      <c r="I31" s="18"/>
      <c r="J31" s="18"/>
      <c r="K31" s="23"/>
      <c r="L31" s="23"/>
      <c r="M31" s="23"/>
      <c r="N31" s="23"/>
      <c r="O31" s="26"/>
      <c r="P31" s="26"/>
      <c r="Q31" s="26"/>
      <c r="R31" s="26"/>
    </row>
    <row r="32" spans="1:18" x14ac:dyDescent="0.2">
      <c r="A32" s="13"/>
      <c r="B32" s="13"/>
      <c r="C32" s="23"/>
      <c r="D32" s="23"/>
      <c r="E32" s="23"/>
      <c r="F32" s="23"/>
      <c r="G32" s="18"/>
      <c r="H32" s="18"/>
      <c r="I32" s="18"/>
      <c r="J32" s="18"/>
      <c r="K32" s="23"/>
      <c r="L32" s="23"/>
      <c r="M32" s="23"/>
      <c r="N32" s="23"/>
      <c r="O32" s="26"/>
      <c r="P32" s="26"/>
      <c r="Q32" s="26"/>
      <c r="R32" s="26"/>
    </row>
    <row r="35" spans="1:18" x14ac:dyDescent="0.2">
      <c r="A35" s="29" t="s">
        <v>102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>
        <f>44/28</f>
        <v>1.5714285714285714</v>
      </c>
      <c r="P35" s="30">
        <f>44/28*0.01</f>
        <v>1.5714285714285715E-2</v>
      </c>
      <c r="Q35" s="30">
        <f>44/28*0.0075</f>
        <v>1.1785714285714285E-2</v>
      </c>
      <c r="R35" s="30"/>
    </row>
  </sheetData>
  <sheetProtection selectLockedCells="1" selectUnlockedCells="1"/>
  <mergeCells count="4">
    <mergeCell ref="C2:F2"/>
    <mergeCell ref="G2:J2"/>
    <mergeCell ref="K2:N2"/>
    <mergeCell ref="O2:R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zoomScale="105" zoomScaleNormal="105" workbookViewId="0">
      <selection activeCell="A4" sqref="A4:XFD4"/>
    </sheetView>
  </sheetViews>
  <sheetFormatPr defaultColWidth="11.5703125" defaultRowHeight="12.75" x14ac:dyDescent="0.2"/>
  <cols>
    <col min="1" max="1" width="30" customWidth="1"/>
    <col min="2" max="2" width="14.42578125" customWidth="1"/>
    <col min="3" max="3" width="14.85546875" customWidth="1"/>
    <col min="4" max="4" width="15.140625" customWidth="1"/>
    <col min="5" max="5" width="14.5703125" customWidth="1"/>
    <col min="6" max="6" width="14.42578125" customWidth="1"/>
    <col min="7" max="7" width="14.85546875" customWidth="1"/>
    <col min="8" max="8" width="15.140625" customWidth="1"/>
    <col min="9" max="9" width="14.5703125" customWidth="1"/>
    <col min="10" max="10" width="14.42578125" customWidth="1"/>
    <col min="11" max="11" width="13.7109375" customWidth="1"/>
    <col min="12" max="12" width="13.5703125" customWidth="1"/>
    <col min="13" max="13" width="13.7109375" customWidth="1"/>
    <col min="14" max="14" width="12.42578125" customWidth="1"/>
    <col min="18" max="18" width="13.7109375" customWidth="1"/>
  </cols>
  <sheetData>
    <row r="1" spans="1:18" x14ac:dyDescent="0.2">
      <c r="A1" t="s">
        <v>103</v>
      </c>
    </row>
    <row r="2" spans="1:18" x14ac:dyDescent="0.2">
      <c r="A2" s="13"/>
      <c r="B2" s="13"/>
      <c r="C2" s="400" t="s">
        <v>70</v>
      </c>
      <c r="D2" s="400"/>
      <c r="E2" s="400"/>
      <c r="F2" s="400"/>
      <c r="G2" s="399" t="s">
        <v>71</v>
      </c>
      <c r="H2" s="399"/>
      <c r="I2" s="399"/>
      <c r="J2" s="399"/>
      <c r="K2" s="400" t="s">
        <v>72</v>
      </c>
      <c r="L2" s="400"/>
      <c r="M2" s="400"/>
      <c r="N2" s="400"/>
      <c r="O2" s="401" t="s">
        <v>104</v>
      </c>
      <c r="P2" s="401"/>
      <c r="Q2" s="401"/>
      <c r="R2" s="401"/>
    </row>
    <row r="3" spans="1:18" x14ac:dyDescent="0.2">
      <c r="A3" s="15" t="s">
        <v>74</v>
      </c>
      <c r="B3" s="15" t="s">
        <v>16</v>
      </c>
      <c r="C3" s="14" t="s">
        <v>18</v>
      </c>
      <c r="D3" s="14" t="s">
        <v>19</v>
      </c>
      <c r="E3" s="14" t="s">
        <v>20</v>
      </c>
      <c r="F3" s="14" t="s">
        <v>55</v>
      </c>
      <c r="G3" s="16" t="s">
        <v>18</v>
      </c>
      <c r="H3" s="16" t="s">
        <v>19</v>
      </c>
      <c r="I3" s="16" t="s">
        <v>20</v>
      </c>
      <c r="J3" s="16" t="s">
        <v>55</v>
      </c>
      <c r="K3" s="14" t="s">
        <v>18</v>
      </c>
      <c r="L3" s="14" t="s">
        <v>19</v>
      </c>
      <c r="M3" s="14" t="s">
        <v>20</v>
      </c>
      <c r="N3" s="14" t="s">
        <v>55</v>
      </c>
      <c r="O3" s="24" t="s">
        <v>75</v>
      </c>
      <c r="P3" s="24" t="s">
        <v>76</v>
      </c>
      <c r="Q3" s="24" t="s">
        <v>77</v>
      </c>
      <c r="R3" s="24" t="s">
        <v>78</v>
      </c>
    </row>
    <row r="4" spans="1:18" s="80" customFormat="1" x14ac:dyDescent="0.2">
      <c r="A4" s="15"/>
      <c r="B4" s="15"/>
      <c r="C4" s="14"/>
      <c r="D4" s="14"/>
      <c r="E4" s="14"/>
      <c r="F4" s="14"/>
      <c r="G4" s="16"/>
      <c r="H4" s="16"/>
      <c r="I4" s="16"/>
      <c r="J4" s="16"/>
      <c r="K4" s="14"/>
      <c r="L4" s="14"/>
      <c r="M4" s="14"/>
      <c r="N4" s="14"/>
      <c r="O4" s="24"/>
      <c r="P4" s="24"/>
      <c r="Q4" s="24"/>
      <c r="R4" s="24"/>
    </row>
    <row r="5" spans="1:18" x14ac:dyDescent="0.2">
      <c r="A5" s="13" t="s">
        <v>79</v>
      </c>
      <c r="B5" s="13" t="s">
        <v>80</v>
      </c>
      <c r="C5" s="23">
        <f t="shared" ref="C5:C22" si="0">G5+K5</f>
        <v>3680</v>
      </c>
      <c r="D5" s="23">
        <f t="shared" ref="D5:D22" si="1">H5+L5</f>
        <v>7.49</v>
      </c>
      <c r="E5" s="23">
        <f t="shared" ref="E5:E22" si="2">I5+M5</f>
        <v>19.636714285714284</v>
      </c>
      <c r="F5" s="23"/>
      <c r="G5" s="17">
        <v>3680</v>
      </c>
      <c r="H5" s="17">
        <v>7.49</v>
      </c>
      <c r="I5" s="17">
        <v>2.351</v>
      </c>
      <c r="J5" s="18"/>
      <c r="K5" s="19"/>
      <c r="L5" s="19"/>
      <c r="M5" s="19">
        <f t="shared" ref="M5:M22" si="3">SUMPRODUCT(O5:Q5,O$35:Q$35)*1000</f>
        <v>17.285714285714285</v>
      </c>
      <c r="N5" s="19"/>
      <c r="O5" s="25">
        <v>0.01</v>
      </c>
      <c r="P5" s="25">
        <v>0.1</v>
      </c>
      <c r="Q5" s="25">
        <v>0</v>
      </c>
      <c r="R5" s="25">
        <v>0.89</v>
      </c>
    </row>
    <row r="6" spans="1:18" ht="15.75" x14ac:dyDescent="0.3">
      <c r="A6" s="13" t="s">
        <v>81</v>
      </c>
      <c r="B6" s="13" t="s">
        <v>82</v>
      </c>
      <c r="C6" s="23">
        <f t="shared" si="0"/>
        <v>1112.1129000000001</v>
      </c>
      <c r="D6" s="23">
        <f t="shared" si="1"/>
        <v>1.9198999999999999</v>
      </c>
      <c r="E6" s="23">
        <f t="shared" si="2"/>
        <v>5.3600000000000002E-2</v>
      </c>
      <c r="F6" s="23"/>
      <c r="G6" s="17">
        <v>1112.1129000000001</v>
      </c>
      <c r="H6" s="17">
        <v>1.9198999999999999</v>
      </c>
      <c r="I6" s="17">
        <v>5.3600000000000002E-2</v>
      </c>
      <c r="J6" s="18"/>
      <c r="K6" s="19"/>
      <c r="L6" s="19"/>
      <c r="M6" s="19">
        <f t="shared" si="3"/>
        <v>0</v>
      </c>
      <c r="N6" s="19"/>
      <c r="O6" s="26"/>
      <c r="P6" s="26"/>
      <c r="Q6" s="26"/>
      <c r="R6" s="26"/>
    </row>
    <row r="7" spans="1:18" ht="15.75" x14ac:dyDescent="0.3">
      <c r="A7" s="13" t="s">
        <v>83</v>
      </c>
      <c r="B7" s="13" t="s">
        <v>84</v>
      </c>
      <c r="C7" s="23">
        <f t="shared" si="0"/>
        <v>588.70870000000002</v>
      </c>
      <c r="D7" s="23">
        <f t="shared" si="1"/>
        <v>1.7172000000000001</v>
      </c>
      <c r="E7" s="23">
        <f t="shared" si="2"/>
        <v>1.35E-2</v>
      </c>
      <c r="F7" s="23"/>
      <c r="G7" s="17">
        <v>588.70870000000002</v>
      </c>
      <c r="H7" s="17">
        <v>1.7172000000000001</v>
      </c>
      <c r="I7" s="17">
        <v>1.35E-2</v>
      </c>
      <c r="J7" s="18"/>
      <c r="K7" s="19"/>
      <c r="L7" s="19"/>
      <c r="M7" s="19">
        <f t="shared" si="3"/>
        <v>0</v>
      </c>
      <c r="N7" s="19"/>
      <c r="O7" s="26"/>
      <c r="P7" s="26"/>
      <c r="Q7" s="26"/>
      <c r="R7" s="26"/>
    </row>
    <row r="8" spans="1:18" x14ac:dyDescent="0.2">
      <c r="A8" s="13" t="s">
        <v>85</v>
      </c>
      <c r="B8" s="13" t="s">
        <v>86</v>
      </c>
      <c r="C8" s="23">
        <f t="shared" si="0"/>
        <v>82.934799999999996</v>
      </c>
      <c r="D8" s="23">
        <f t="shared" si="1"/>
        <v>0.23300000000000001</v>
      </c>
      <c r="E8" s="23">
        <f t="shared" si="2"/>
        <v>3.0000000000000001E-3</v>
      </c>
      <c r="F8" s="23"/>
      <c r="G8" s="17">
        <v>82.934799999999996</v>
      </c>
      <c r="H8" s="17">
        <v>0.23300000000000001</v>
      </c>
      <c r="I8" s="17">
        <v>3.0000000000000001E-3</v>
      </c>
      <c r="J8" s="18"/>
      <c r="K8" s="19"/>
      <c r="L8" s="19"/>
      <c r="M8" s="19">
        <f t="shared" si="3"/>
        <v>0</v>
      </c>
      <c r="N8" s="19"/>
      <c r="O8" s="26"/>
      <c r="P8" s="26"/>
      <c r="Q8" s="26"/>
      <c r="R8" s="26"/>
    </row>
    <row r="9" spans="1:18" x14ac:dyDescent="0.2">
      <c r="A9" s="13" t="s">
        <v>87</v>
      </c>
      <c r="B9" s="13" t="s">
        <v>88</v>
      </c>
      <c r="C9" s="23">
        <f t="shared" si="0"/>
        <v>46.467160171530423</v>
      </c>
      <c r="D9" s="23">
        <f t="shared" si="1"/>
        <v>0.13054650544724999</v>
      </c>
      <c r="E9" s="23">
        <f t="shared" si="2"/>
        <v>1.6808562933122318E-3</v>
      </c>
      <c r="F9" s="23"/>
      <c r="G9" s="17">
        <v>46.467160171530423</v>
      </c>
      <c r="H9" s="17">
        <v>0.13054650544724999</v>
      </c>
      <c r="I9" s="17">
        <v>1.6808562933122318E-3</v>
      </c>
      <c r="J9" s="18"/>
      <c r="K9" s="19"/>
      <c r="L9" s="19"/>
      <c r="M9" s="19">
        <f t="shared" si="3"/>
        <v>0</v>
      </c>
      <c r="N9" s="19"/>
      <c r="O9" s="26"/>
      <c r="P9" s="26"/>
      <c r="Q9" s="26"/>
      <c r="R9" s="26"/>
    </row>
    <row r="10" spans="1:18" x14ac:dyDescent="0.2">
      <c r="A10" s="13" t="s">
        <v>89</v>
      </c>
      <c r="B10" s="13" t="s">
        <v>80</v>
      </c>
      <c r="C10" s="23">
        <f t="shared" si="0"/>
        <v>2670.8656716417909</v>
      </c>
      <c r="D10" s="23">
        <f t="shared" si="1"/>
        <v>6.937313432835821</v>
      </c>
      <c r="E10" s="23">
        <f t="shared" si="2"/>
        <v>19.380876060731815</v>
      </c>
      <c r="F10" s="23"/>
      <c r="G10" s="17">
        <v>2670.8656716417909</v>
      </c>
      <c r="H10" s="17">
        <v>6.937313432835821</v>
      </c>
      <c r="I10" s="17">
        <v>2.0951617750175293</v>
      </c>
      <c r="J10" s="18"/>
      <c r="K10" s="19"/>
      <c r="L10" s="19"/>
      <c r="M10" s="19">
        <f t="shared" si="3"/>
        <v>17.285714285714285</v>
      </c>
      <c r="N10" s="19"/>
      <c r="O10" s="25">
        <v>0.01</v>
      </c>
      <c r="P10" s="25">
        <v>0.1</v>
      </c>
      <c r="Q10" s="25">
        <v>0</v>
      </c>
      <c r="R10" s="25">
        <v>0.89</v>
      </c>
    </row>
    <row r="11" spans="1:18" x14ac:dyDescent="0.2">
      <c r="A11" s="13" t="s">
        <v>90</v>
      </c>
      <c r="B11" s="13" t="s">
        <v>80</v>
      </c>
      <c r="C11" s="23">
        <f t="shared" si="0"/>
        <v>2560.3809523809523</v>
      </c>
      <c r="D11" s="23">
        <f t="shared" si="1"/>
        <v>6.5371428571428556</v>
      </c>
      <c r="E11" s="23">
        <f t="shared" si="2"/>
        <v>17.285714285714285</v>
      </c>
      <c r="F11" s="23"/>
      <c r="G11" s="22">
        <v>2560.3809523809523</v>
      </c>
      <c r="H11" s="22">
        <v>6.5371428571428556</v>
      </c>
      <c r="I11" s="22">
        <v>0</v>
      </c>
      <c r="J11" s="18"/>
      <c r="K11" s="19"/>
      <c r="L11" s="19"/>
      <c r="M11" s="19">
        <f t="shared" si="3"/>
        <v>17.285714285714285</v>
      </c>
      <c r="N11" s="23"/>
      <c r="O11" s="25">
        <v>0.01</v>
      </c>
      <c r="P11" s="25">
        <v>0.1</v>
      </c>
      <c r="Q11" s="25">
        <v>0</v>
      </c>
      <c r="R11" s="25">
        <v>0.89</v>
      </c>
    </row>
    <row r="12" spans="1:18" x14ac:dyDescent="0.2">
      <c r="A12" s="13" t="s">
        <v>91</v>
      </c>
      <c r="B12" s="13" t="s">
        <v>80</v>
      </c>
      <c r="C12" s="23">
        <f t="shared" si="0"/>
        <v>2560.8461538461534</v>
      </c>
      <c r="D12" s="23">
        <f t="shared" si="1"/>
        <v>8.85230769230769</v>
      </c>
      <c r="E12" s="23">
        <f t="shared" si="2"/>
        <v>18.558817021904268</v>
      </c>
      <c r="F12" s="23"/>
      <c r="G12" s="22">
        <v>2560.8461538461534</v>
      </c>
      <c r="H12" s="22">
        <v>8.85230769230769</v>
      </c>
      <c r="I12" s="22">
        <v>1.2731027361899843</v>
      </c>
      <c r="J12" s="18"/>
      <c r="K12" s="19"/>
      <c r="L12" s="19"/>
      <c r="M12" s="19">
        <f t="shared" si="3"/>
        <v>17.285714285714285</v>
      </c>
      <c r="N12" s="23"/>
      <c r="O12" s="25">
        <v>0.01</v>
      </c>
      <c r="P12" s="25">
        <v>0.1</v>
      </c>
      <c r="Q12" s="25">
        <v>0</v>
      </c>
      <c r="R12" s="25">
        <v>0.89</v>
      </c>
    </row>
    <row r="13" spans="1:18" x14ac:dyDescent="0.2">
      <c r="A13" s="13" t="s">
        <v>92</v>
      </c>
      <c r="B13" s="13" t="s">
        <v>80</v>
      </c>
      <c r="C13" s="23">
        <f t="shared" si="0"/>
        <v>2661.8048780487807</v>
      </c>
      <c r="D13" s="23">
        <f t="shared" si="1"/>
        <v>6.7960975609756105</v>
      </c>
      <c r="E13" s="23">
        <f t="shared" si="2"/>
        <v>17.285714285714285</v>
      </c>
      <c r="F13" s="23"/>
      <c r="G13" s="22">
        <v>2661.8048780487807</v>
      </c>
      <c r="H13" s="22">
        <v>6.7960975609756105</v>
      </c>
      <c r="I13" s="22">
        <v>0</v>
      </c>
      <c r="J13" s="18"/>
      <c r="K13" s="19"/>
      <c r="L13" s="19"/>
      <c r="M13" s="19">
        <f t="shared" si="3"/>
        <v>17.285714285714285</v>
      </c>
      <c r="N13" s="23"/>
      <c r="O13" s="25">
        <v>0.01</v>
      </c>
      <c r="P13" s="25">
        <v>0.1</v>
      </c>
      <c r="Q13" s="25">
        <v>0</v>
      </c>
      <c r="R13" s="25">
        <v>0.89</v>
      </c>
    </row>
    <row r="14" spans="1:18" x14ac:dyDescent="0.2">
      <c r="A14" s="13" t="s">
        <v>93</v>
      </c>
      <c r="B14" s="13" t="s">
        <v>80</v>
      </c>
      <c r="C14" s="23">
        <f t="shared" si="0"/>
        <v>2862.8888888888887</v>
      </c>
      <c r="D14" s="23">
        <f t="shared" si="1"/>
        <v>7.340740740740741</v>
      </c>
      <c r="E14" s="23">
        <f t="shared" si="2"/>
        <v>19.379549731898724</v>
      </c>
      <c r="F14" s="23"/>
      <c r="G14" s="18">
        <v>2862.8888888888887</v>
      </c>
      <c r="H14" s="18">
        <v>7.340740740740741</v>
      </c>
      <c r="I14" s="18">
        <v>2.0938354461844395</v>
      </c>
      <c r="J14" s="18"/>
      <c r="K14" s="19"/>
      <c r="L14" s="19"/>
      <c r="M14" s="19">
        <f t="shared" si="3"/>
        <v>17.285714285714285</v>
      </c>
      <c r="N14" s="23"/>
      <c r="O14" s="25">
        <v>0.01</v>
      </c>
      <c r="P14" s="25">
        <v>0.1</v>
      </c>
      <c r="Q14" s="25">
        <v>0</v>
      </c>
      <c r="R14" s="25">
        <v>0.89</v>
      </c>
    </row>
    <row r="15" spans="1:18" x14ac:dyDescent="0.2">
      <c r="A15" s="13" t="s">
        <v>94</v>
      </c>
      <c r="B15" s="13" t="s">
        <v>80</v>
      </c>
      <c r="C15" s="23">
        <f t="shared" si="0"/>
        <v>2652.5161290322585</v>
      </c>
      <c r="D15" s="23">
        <f t="shared" si="1"/>
        <v>6.9574193548387093</v>
      </c>
      <c r="E15" s="23">
        <f t="shared" si="2"/>
        <v>22.392880338972567</v>
      </c>
      <c r="F15" s="23"/>
      <c r="G15" s="18">
        <v>2652.5161290322585</v>
      </c>
      <c r="H15" s="18">
        <v>6.9574193548387093</v>
      </c>
      <c r="I15" s="18">
        <v>5.1071660532582808</v>
      </c>
      <c r="J15" s="18"/>
      <c r="K15" s="19"/>
      <c r="L15" s="19"/>
      <c r="M15" s="19">
        <f t="shared" si="3"/>
        <v>17.285714285714285</v>
      </c>
      <c r="N15" s="23"/>
      <c r="O15" s="25">
        <v>0.01</v>
      </c>
      <c r="P15" s="25">
        <v>0.1</v>
      </c>
      <c r="Q15" s="25">
        <v>0</v>
      </c>
      <c r="R15" s="25">
        <v>0.89</v>
      </c>
    </row>
    <row r="16" spans="1:18" x14ac:dyDescent="0.2">
      <c r="A16" s="27" t="s">
        <v>95</v>
      </c>
      <c r="B16" s="27" t="s">
        <v>80</v>
      </c>
      <c r="C16" s="23">
        <f t="shared" si="0"/>
        <v>3292.608695652174</v>
      </c>
      <c r="D16" s="23">
        <f t="shared" si="1"/>
        <v>9.2869565217391301</v>
      </c>
      <c r="E16" s="23">
        <f t="shared" si="2"/>
        <v>17.285714285714285</v>
      </c>
      <c r="F16" s="28"/>
      <c r="G16" s="18">
        <v>1702.608695652174</v>
      </c>
      <c r="H16" s="18">
        <v>9.2869565217391301</v>
      </c>
      <c r="I16" s="18">
        <v>0</v>
      </c>
      <c r="J16" s="18"/>
      <c r="K16" s="23">
        <v>1590</v>
      </c>
      <c r="L16" s="23"/>
      <c r="M16" s="19">
        <f t="shared" si="3"/>
        <v>17.285714285714285</v>
      </c>
      <c r="N16" s="23"/>
      <c r="O16" s="25">
        <v>0.01</v>
      </c>
      <c r="P16" s="25">
        <v>0.1</v>
      </c>
      <c r="Q16" s="25">
        <v>0</v>
      </c>
      <c r="R16" s="25">
        <v>0.89</v>
      </c>
    </row>
    <row r="17" spans="1:18" x14ac:dyDescent="0.2">
      <c r="A17" s="27" t="s">
        <v>96</v>
      </c>
      <c r="B17" s="27" t="s">
        <v>80</v>
      </c>
      <c r="C17" s="23">
        <f t="shared" si="0"/>
        <v>3771.6000000000004</v>
      </c>
      <c r="D17" s="23">
        <f t="shared" si="1"/>
        <v>7.5413333333333341</v>
      </c>
      <c r="E17" s="23">
        <f t="shared" si="2"/>
        <v>18.370278044103546</v>
      </c>
      <c r="F17" s="28"/>
      <c r="G17" s="18">
        <v>2181.6000000000004</v>
      </c>
      <c r="H17" s="18">
        <v>7.5413333333333341</v>
      </c>
      <c r="I17" s="18">
        <v>1.084563758389262</v>
      </c>
      <c r="J17" s="18"/>
      <c r="K17" s="23">
        <v>1590</v>
      </c>
      <c r="L17" s="23"/>
      <c r="M17" s="19">
        <f t="shared" si="3"/>
        <v>17.285714285714285</v>
      </c>
      <c r="N17" s="23"/>
      <c r="O17" s="25">
        <v>0.01</v>
      </c>
      <c r="P17" s="25">
        <v>0.1</v>
      </c>
      <c r="Q17" s="25">
        <v>0</v>
      </c>
      <c r="R17" s="25">
        <v>0.89</v>
      </c>
    </row>
    <row r="18" spans="1:18" x14ac:dyDescent="0.2">
      <c r="A18" s="13" t="s">
        <v>97</v>
      </c>
      <c r="B18" s="13" t="s">
        <v>82</v>
      </c>
      <c r="C18" s="23">
        <f t="shared" si="0"/>
        <v>516.5625</v>
      </c>
      <c r="D18" s="23">
        <f t="shared" si="1"/>
        <v>0.87</v>
      </c>
      <c r="E18" s="23">
        <f t="shared" si="2"/>
        <v>1.8246644295302015E-2</v>
      </c>
      <c r="F18" s="23"/>
      <c r="G18" s="18">
        <v>516.5625</v>
      </c>
      <c r="H18" s="18">
        <v>0.87</v>
      </c>
      <c r="I18" s="18">
        <v>1.8246644295302015E-2</v>
      </c>
      <c r="J18" s="18"/>
      <c r="K18" s="23"/>
      <c r="L18" s="23"/>
      <c r="M18" s="19">
        <f t="shared" si="3"/>
        <v>0</v>
      </c>
      <c r="N18" s="23"/>
      <c r="O18" s="26"/>
      <c r="P18" s="26"/>
      <c r="Q18" s="26"/>
      <c r="R18" s="26"/>
    </row>
    <row r="19" spans="1:18" ht="14.25" x14ac:dyDescent="0.3">
      <c r="A19" s="13" t="s">
        <v>98</v>
      </c>
      <c r="B19" s="13" t="s">
        <v>82</v>
      </c>
      <c r="C19" s="23">
        <f t="shared" si="0"/>
        <v>95</v>
      </c>
      <c r="D19" s="23">
        <f t="shared" si="1"/>
        <v>0</v>
      </c>
      <c r="E19" s="23">
        <f t="shared" si="2"/>
        <v>0</v>
      </c>
      <c r="F19" s="23"/>
      <c r="G19" s="18">
        <v>95</v>
      </c>
      <c r="H19" s="18">
        <v>0</v>
      </c>
      <c r="I19" s="18">
        <v>0</v>
      </c>
      <c r="J19" s="18"/>
      <c r="K19" s="23"/>
      <c r="L19" s="23"/>
      <c r="M19" s="19">
        <f t="shared" si="3"/>
        <v>0</v>
      </c>
      <c r="N19" s="23"/>
      <c r="O19" s="26"/>
      <c r="P19" s="26"/>
      <c r="Q19" s="26"/>
      <c r="R19" s="26"/>
    </row>
    <row r="20" spans="1:18" ht="14.25" x14ac:dyDescent="0.3">
      <c r="A20" s="13" t="s">
        <v>99</v>
      </c>
      <c r="B20" s="13" t="s">
        <v>82</v>
      </c>
      <c r="C20" s="23">
        <f t="shared" si="0"/>
        <v>967.11538461538464</v>
      </c>
      <c r="D20" s="23">
        <f t="shared" si="1"/>
        <v>2.4692307692307689</v>
      </c>
      <c r="E20" s="23">
        <f t="shared" si="2"/>
        <v>0</v>
      </c>
      <c r="F20" s="23"/>
      <c r="G20" s="18">
        <v>967.11538461538464</v>
      </c>
      <c r="H20" s="18">
        <v>2.4692307692307689</v>
      </c>
      <c r="I20" s="18">
        <v>0</v>
      </c>
      <c r="J20" s="18"/>
      <c r="K20" s="23"/>
      <c r="L20" s="23"/>
      <c r="M20" s="19">
        <f t="shared" si="3"/>
        <v>0</v>
      </c>
      <c r="N20" s="23"/>
      <c r="O20" s="26"/>
      <c r="P20" s="26"/>
      <c r="Q20" s="26"/>
      <c r="R20" s="26"/>
    </row>
    <row r="21" spans="1:18" x14ac:dyDescent="0.2">
      <c r="A21" s="13" t="s">
        <v>100</v>
      </c>
      <c r="B21" s="13" t="s">
        <v>82</v>
      </c>
      <c r="C21" s="23">
        <f t="shared" si="0"/>
        <v>1459.0434782608695</v>
      </c>
      <c r="D21" s="23">
        <f t="shared" si="1"/>
        <v>3.72521739130435</v>
      </c>
      <c r="E21" s="23">
        <f t="shared" si="2"/>
        <v>0</v>
      </c>
      <c r="F21" s="23"/>
      <c r="G21" s="18">
        <v>1459.0434782608695</v>
      </c>
      <c r="H21" s="18">
        <v>3.72521739130435</v>
      </c>
      <c r="I21" s="18">
        <v>0</v>
      </c>
      <c r="J21" s="18"/>
      <c r="K21" s="23"/>
      <c r="L21" s="23"/>
      <c r="M21" s="19">
        <f t="shared" si="3"/>
        <v>0</v>
      </c>
      <c r="N21" s="23"/>
      <c r="O21" s="26"/>
      <c r="P21" s="26"/>
      <c r="Q21" s="26"/>
      <c r="R21" s="26"/>
    </row>
    <row r="22" spans="1:18" x14ac:dyDescent="0.2">
      <c r="A22" s="13" t="s">
        <v>101</v>
      </c>
      <c r="B22" s="13" t="s">
        <v>84</v>
      </c>
      <c r="C22" s="23">
        <f t="shared" si="0"/>
        <v>409.2</v>
      </c>
      <c r="D22" s="23">
        <f t="shared" si="1"/>
        <v>0.16533333333333333</v>
      </c>
      <c r="E22" s="23">
        <f t="shared" si="2"/>
        <v>0</v>
      </c>
      <c r="F22" s="23"/>
      <c r="G22" s="18">
        <v>409.2</v>
      </c>
      <c r="H22" s="18">
        <v>0.16533333333333333</v>
      </c>
      <c r="I22" s="18">
        <v>0</v>
      </c>
      <c r="J22" s="18"/>
      <c r="K22" s="23"/>
      <c r="L22" s="23"/>
      <c r="M22" s="19">
        <f t="shared" si="3"/>
        <v>0</v>
      </c>
      <c r="N22" s="23"/>
      <c r="O22" s="26"/>
      <c r="P22" s="26"/>
      <c r="Q22" s="26"/>
      <c r="R22" s="26"/>
    </row>
    <row r="23" spans="1:18" x14ac:dyDescent="0.2">
      <c r="A23" s="13"/>
      <c r="B23" s="13"/>
      <c r="C23" s="23"/>
      <c r="D23" s="23"/>
      <c r="E23" s="23"/>
      <c r="F23" s="23"/>
      <c r="G23" s="18"/>
      <c r="H23" s="18"/>
      <c r="I23" s="18"/>
      <c r="J23" s="18"/>
      <c r="K23" s="23"/>
      <c r="L23" s="23"/>
      <c r="M23" s="23"/>
      <c r="N23" s="23"/>
      <c r="O23" s="26"/>
      <c r="P23" s="26"/>
      <c r="Q23" s="26"/>
      <c r="R23" s="26"/>
    </row>
    <row r="24" spans="1:18" x14ac:dyDescent="0.2">
      <c r="A24" s="13"/>
      <c r="B24" s="13"/>
      <c r="C24" s="23"/>
      <c r="D24" s="23"/>
      <c r="E24" s="23"/>
      <c r="F24" s="23"/>
      <c r="G24" s="18"/>
      <c r="H24" s="18"/>
      <c r="I24" s="18"/>
      <c r="J24" s="18"/>
      <c r="K24" s="23"/>
      <c r="L24" s="23"/>
      <c r="M24" s="23"/>
      <c r="N24" s="23"/>
      <c r="O24" s="26"/>
      <c r="P24" s="26"/>
      <c r="Q24" s="26"/>
      <c r="R24" s="26"/>
    </row>
    <row r="25" spans="1:18" x14ac:dyDescent="0.2">
      <c r="A25" s="13"/>
      <c r="B25" s="13"/>
      <c r="C25" s="23"/>
      <c r="D25" s="23"/>
      <c r="E25" s="23"/>
      <c r="F25" s="23"/>
      <c r="G25" s="18"/>
      <c r="H25" s="18"/>
      <c r="I25" s="18"/>
      <c r="J25" s="18"/>
      <c r="K25" s="23"/>
      <c r="L25" s="23"/>
      <c r="M25" s="23"/>
      <c r="N25" s="23"/>
      <c r="O25" s="26"/>
      <c r="P25" s="26"/>
      <c r="Q25" s="26"/>
      <c r="R25" s="26"/>
    </row>
    <row r="26" spans="1:18" x14ac:dyDescent="0.2">
      <c r="A26" s="13"/>
      <c r="B26" s="13"/>
      <c r="C26" s="23"/>
      <c r="D26" s="23"/>
      <c r="E26" s="23"/>
      <c r="F26" s="23"/>
      <c r="G26" s="18"/>
      <c r="H26" s="18"/>
      <c r="I26" s="18"/>
      <c r="J26" s="18"/>
      <c r="K26" s="23"/>
      <c r="L26" s="23"/>
      <c r="M26" s="23"/>
      <c r="N26" s="23"/>
      <c r="O26" s="26"/>
      <c r="P26" s="26"/>
      <c r="Q26" s="26"/>
      <c r="R26" s="26"/>
    </row>
    <row r="27" spans="1:18" x14ac:dyDescent="0.2">
      <c r="A27" s="13"/>
      <c r="B27" s="13"/>
      <c r="C27" s="23"/>
      <c r="D27" s="23"/>
      <c r="E27" s="23"/>
      <c r="F27" s="23"/>
      <c r="G27" s="18"/>
      <c r="H27" s="18"/>
      <c r="I27" s="18"/>
      <c r="J27" s="18"/>
      <c r="K27" s="23"/>
      <c r="L27" s="23"/>
      <c r="M27" s="23"/>
      <c r="N27" s="23"/>
      <c r="O27" s="26"/>
      <c r="P27" s="26"/>
      <c r="Q27" s="26"/>
      <c r="R27" s="26"/>
    </row>
    <row r="28" spans="1:18" x14ac:dyDescent="0.2">
      <c r="A28" s="13"/>
      <c r="B28" s="13"/>
      <c r="C28" s="23"/>
      <c r="D28" s="23"/>
      <c r="E28" s="23"/>
      <c r="F28" s="23"/>
      <c r="G28" s="18"/>
      <c r="H28" s="18"/>
      <c r="I28" s="18"/>
      <c r="J28" s="18"/>
      <c r="K28" s="23"/>
      <c r="L28" s="23"/>
      <c r="M28" s="23"/>
      <c r="N28" s="23"/>
      <c r="O28" s="26"/>
      <c r="P28" s="26"/>
      <c r="Q28" s="26"/>
      <c r="R28" s="26"/>
    </row>
    <row r="29" spans="1:18" x14ac:dyDescent="0.2">
      <c r="A29" s="13"/>
      <c r="B29" s="13"/>
      <c r="C29" s="23"/>
      <c r="D29" s="23"/>
      <c r="E29" s="23"/>
      <c r="F29" s="23"/>
      <c r="G29" s="18"/>
      <c r="H29" s="18"/>
      <c r="I29" s="18"/>
      <c r="J29" s="18"/>
      <c r="K29" s="23"/>
      <c r="L29" s="23"/>
      <c r="M29" s="23"/>
      <c r="N29" s="23"/>
      <c r="O29" s="26"/>
      <c r="P29" s="26"/>
      <c r="Q29" s="26"/>
      <c r="R29" s="26"/>
    </row>
    <row r="30" spans="1:18" x14ac:dyDescent="0.2">
      <c r="A30" s="13"/>
      <c r="B30" s="13"/>
      <c r="C30" s="23"/>
      <c r="D30" s="23"/>
      <c r="E30" s="23"/>
      <c r="F30" s="23"/>
      <c r="G30" s="18"/>
      <c r="H30" s="18"/>
      <c r="I30" s="18"/>
      <c r="J30" s="18"/>
      <c r="K30" s="23"/>
      <c r="L30" s="23"/>
      <c r="M30" s="23"/>
      <c r="N30" s="23"/>
      <c r="O30" s="26"/>
      <c r="P30" s="26"/>
      <c r="Q30" s="26"/>
      <c r="R30" s="26"/>
    </row>
    <row r="31" spans="1:18" x14ac:dyDescent="0.2">
      <c r="A31" s="13"/>
      <c r="B31" s="13"/>
      <c r="C31" s="23"/>
      <c r="D31" s="23"/>
      <c r="E31" s="23"/>
      <c r="F31" s="23"/>
      <c r="G31" s="18"/>
      <c r="H31" s="18"/>
      <c r="I31" s="18"/>
      <c r="J31" s="18"/>
      <c r="K31" s="23"/>
      <c r="L31" s="23"/>
      <c r="M31" s="23"/>
      <c r="N31" s="23"/>
      <c r="O31" s="26"/>
      <c r="P31" s="26"/>
      <c r="Q31" s="26"/>
      <c r="R31" s="26"/>
    </row>
    <row r="32" spans="1:18" x14ac:dyDescent="0.2">
      <c r="A32" s="13"/>
      <c r="B32" s="13"/>
      <c r="C32" s="23"/>
      <c r="D32" s="23"/>
      <c r="E32" s="23"/>
      <c r="F32" s="23"/>
      <c r="G32" s="18"/>
      <c r="H32" s="18"/>
      <c r="I32" s="18"/>
      <c r="J32" s="18"/>
      <c r="K32" s="23"/>
      <c r="L32" s="23"/>
      <c r="M32" s="23"/>
      <c r="N32" s="23"/>
      <c r="O32" s="26"/>
      <c r="P32" s="26"/>
      <c r="Q32" s="26"/>
      <c r="R32" s="26"/>
    </row>
    <row r="35" spans="1:18" x14ac:dyDescent="0.2">
      <c r="A35" s="29" t="s">
        <v>102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>
        <f>44/28</f>
        <v>1.5714285714285714</v>
      </c>
      <c r="P35" s="30">
        <f>44/28*0.01</f>
        <v>1.5714285714285715E-2</v>
      </c>
      <c r="Q35" s="30">
        <f>44/28*0.0075</f>
        <v>1.1785714285714285E-2</v>
      </c>
      <c r="R35" s="29"/>
    </row>
  </sheetData>
  <sheetProtection selectLockedCells="1" selectUnlockedCells="1"/>
  <mergeCells count="4">
    <mergeCell ref="C2:F2"/>
    <mergeCell ref="G2:J2"/>
    <mergeCell ref="K2:N2"/>
    <mergeCell ref="O2:R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6" zoomScale="105" zoomScaleNormal="105" workbookViewId="0">
      <selection activeCell="A4" sqref="A4:XFD4"/>
    </sheetView>
  </sheetViews>
  <sheetFormatPr defaultColWidth="11.5703125" defaultRowHeight="12.75" x14ac:dyDescent="0.2"/>
  <cols>
    <col min="1" max="1" width="30" customWidth="1"/>
    <col min="2" max="2" width="14.42578125" customWidth="1"/>
    <col min="3" max="3" width="14.85546875" customWidth="1"/>
    <col min="4" max="4" width="15.140625" customWidth="1"/>
    <col min="5" max="5" width="14.5703125" customWidth="1"/>
    <col min="6" max="6" width="14.42578125" customWidth="1"/>
  </cols>
  <sheetData>
    <row r="1" spans="1:6" x14ac:dyDescent="0.2">
      <c r="A1" t="s">
        <v>105</v>
      </c>
    </row>
    <row r="2" spans="1:6" x14ac:dyDescent="0.2">
      <c r="A2" s="13"/>
      <c r="B2" s="13"/>
      <c r="C2" s="399" t="s">
        <v>71</v>
      </c>
      <c r="D2" s="399"/>
      <c r="E2" s="399"/>
      <c r="F2" s="399"/>
    </row>
    <row r="3" spans="1:6" x14ac:dyDescent="0.2">
      <c r="A3" s="15" t="s">
        <v>74</v>
      </c>
      <c r="B3" s="15" t="s">
        <v>16</v>
      </c>
      <c r="C3" s="16" t="s">
        <v>18</v>
      </c>
      <c r="D3" s="16" t="s">
        <v>19</v>
      </c>
      <c r="E3" s="16" t="s">
        <v>20</v>
      </c>
      <c r="F3" s="16" t="s">
        <v>55</v>
      </c>
    </row>
    <row r="4" spans="1:6" s="80" customFormat="1" x14ac:dyDescent="0.2">
      <c r="A4" s="15"/>
      <c r="B4" s="15"/>
      <c r="C4" s="16"/>
      <c r="D4" s="16"/>
      <c r="E4" s="16"/>
      <c r="F4" s="16"/>
    </row>
    <row r="5" spans="1:6" x14ac:dyDescent="0.2">
      <c r="A5" s="13" t="s">
        <v>106</v>
      </c>
      <c r="B5" s="13" t="s">
        <v>107</v>
      </c>
      <c r="C5" s="17">
        <v>1570.2</v>
      </c>
      <c r="D5" s="17">
        <v>0</v>
      </c>
      <c r="E5" s="17">
        <v>0</v>
      </c>
      <c r="F5" s="18"/>
    </row>
    <row r="6" spans="1:6" x14ac:dyDescent="0.2">
      <c r="A6" s="13" t="s">
        <v>108</v>
      </c>
      <c r="B6" s="13" t="s">
        <v>107</v>
      </c>
      <c r="C6" s="17">
        <v>2366.5841999999998</v>
      </c>
      <c r="D6" s="17">
        <v>7.3475000000000001</v>
      </c>
      <c r="E6" s="17">
        <v>1.49E-2</v>
      </c>
      <c r="F6" s="18"/>
    </row>
    <row r="7" spans="1:6" x14ac:dyDescent="0.2">
      <c r="A7" s="13" t="s">
        <v>109</v>
      </c>
      <c r="B7" s="13" t="s">
        <v>107</v>
      </c>
      <c r="C7" s="17">
        <v>1000</v>
      </c>
      <c r="D7" s="17">
        <v>0</v>
      </c>
      <c r="E7" s="17">
        <v>0</v>
      </c>
      <c r="F7" s="18"/>
    </row>
    <row r="8" spans="1:6" x14ac:dyDescent="0.2">
      <c r="A8" s="13" t="s">
        <v>110</v>
      </c>
      <c r="B8" s="13" t="s">
        <v>107</v>
      </c>
      <c r="C8" s="17">
        <v>10000</v>
      </c>
      <c r="D8" s="17">
        <v>0</v>
      </c>
      <c r="E8" s="17">
        <v>0</v>
      </c>
      <c r="F8" s="18"/>
    </row>
    <row r="9" spans="1:6" x14ac:dyDescent="0.2">
      <c r="A9" s="13" t="s">
        <v>111</v>
      </c>
      <c r="B9" s="13" t="s">
        <v>107</v>
      </c>
      <c r="C9" s="17">
        <v>963.1</v>
      </c>
      <c r="D9" s="17">
        <v>0</v>
      </c>
      <c r="E9" s="17">
        <v>0</v>
      </c>
      <c r="F9" s="18"/>
    </row>
    <row r="10" spans="1:6" x14ac:dyDescent="0.2">
      <c r="A10" s="13" t="s">
        <v>112</v>
      </c>
      <c r="B10" s="13" t="s">
        <v>107</v>
      </c>
      <c r="C10" s="17">
        <v>7500</v>
      </c>
      <c r="D10" s="17">
        <v>0</v>
      </c>
      <c r="E10" s="17">
        <v>0</v>
      </c>
      <c r="F10" s="18"/>
    </row>
    <row r="11" spans="1:6" x14ac:dyDescent="0.2">
      <c r="A11" s="13" t="s">
        <v>113</v>
      </c>
      <c r="B11" s="13" t="s">
        <v>107</v>
      </c>
      <c r="C11" s="22">
        <v>723</v>
      </c>
      <c r="D11" s="22">
        <v>0</v>
      </c>
      <c r="E11" s="22">
        <v>0</v>
      </c>
      <c r="F11" s="18"/>
    </row>
    <row r="12" spans="1:6" x14ac:dyDescent="0.2">
      <c r="A12" s="13" t="s">
        <v>114</v>
      </c>
      <c r="B12" s="13" t="s">
        <v>107</v>
      </c>
      <c r="C12" s="22"/>
      <c r="D12" s="22"/>
      <c r="E12" s="22"/>
      <c r="F12" s="18"/>
    </row>
    <row r="13" spans="1:6" x14ac:dyDescent="0.2">
      <c r="A13" s="13" t="s">
        <v>115</v>
      </c>
      <c r="B13" s="13" t="s">
        <v>107</v>
      </c>
      <c r="C13" s="22">
        <v>197</v>
      </c>
      <c r="D13" s="22">
        <v>3.73E-2</v>
      </c>
      <c r="E13" s="22">
        <v>6.3E-3</v>
      </c>
      <c r="F13" s="18"/>
    </row>
    <row r="14" spans="1:6" x14ac:dyDescent="0.2">
      <c r="A14" s="13" t="s">
        <v>116</v>
      </c>
      <c r="B14" s="13" t="s">
        <v>107</v>
      </c>
      <c r="C14" s="18">
        <v>1252.9209000000001</v>
      </c>
      <c r="D14" s="18">
        <v>4.4340999999999999</v>
      </c>
      <c r="E14" s="18">
        <v>3.95E-2</v>
      </c>
      <c r="F14" s="18"/>
    </row>
    <row r="15" spans="1:6" x14ac:dyDescent="0.2">
      <c r="A15" s="13" t="s">
        <v>117</v>
      </c>
      <c r="B15" s="13" t="s">
        <v>107</v>
      </c>
      <c r="C15" s="18"/>
      <c r="D15" s="18"/>
      <c r="E15" s="18"/>
      <c r="F15" s="18"/>
    </row>
    <row r="16" spans="1:6" x14ac:dyDescent="0.2">
      <c r="A16" s="27" t="s">
        <v>118</v>
      </c>
      <c r="B16" s="13" t="s">
        <v>107</v>
      </c>
      <c r="C16" s="18">
        <v>1501</v>
      </c>
      <c r="D16" s="18">
        <v>0</v>
      </c>
      <c r="E16" s="18">
        <v>0</v>
      </c>
      <c r="F16" s="18"/>
    </row>
    <row r="17" spans="1:6" x14ac:dyDescent="0.2">
      <c r="A17" s="27" t="s">
        <v>119</v>
      </c>
      <c r="B17" s="13" t="s">
        <v>107</v>
      </c>
      <c r="C17" s="18">
        <v>12.4933</v>
      </c>
      <c r="D17" s="18">
        <v>8.8999999999999999E-3</v>
      </c>
      <c r="E17" s="18">
        <v>4.0000000000000002E-4</v>
      </c>
      <c r="F17" s="18"/>
    </row>
    <row r="18" spans="1:6" x14ac:dyDescent="0.2">
      <c r="A18" s="13" t="s">
        <v>120</v>
      </c>
      <c r="B18" s="13" t="s">
        <v>107</v>
      </c>
      <c r="C18" s="18">
        <v>947</v>
      </c>
      <c r="D18" s="18">
        <v>0</v>
      </c>
      <c r="E18" s="18">
        <v>0</v>
      </c>
      <c r="F18" s="18"/>
    </row>
    <row r="19" spans="1:6" x14ac:dyDescent="0.2">
      <c r="A19" s="13" t="s">
        <v>121</v>
      </c>
      <c r="B19" s="13" t="s">
        <v>107</v>
      </c>
      <c r="C19" s="18">
        <v>71.373000000000005</v>
      </c>
      <c r="D19" s="18">
        <v>0.25559999999999999</v>
      </c>
      <c r="E19" s="18">
        <v>2.5999999999999999E-3</v>
      </c>
      <c r="F19" s="18"/>
    </row>
    <row r="20" spans="1:6" ht="14.25" x14ac:dyDescent="0.3">
      <c r="A20" s="13" t="s">
        <v>122</v>
      </c>
      <c r="B20" s="13" t="s">
        <v>107</v>
      </c>
      <c r="C20" s="18">
        <v>2826.1563999999998</v>
      </c>
      <c r="D20" s="18">
        <v>11.467499999999999</v>
      </c>
      <c r="E20" s="18">
        <v>0.10680000000000001</v>
      </c>
      <c r="F20" s="18"/>
    </row>
    <row r="21" spans="1:6" x14ac:dyDescent="0.2">
      <c r="A21" s="13" t="s">
        <v>123</v>
      </c>
      <c r="B21" s="13" t="s">
        <v>107</v>
      </c>
      <c r="C21" s="18">
        <v>568.79560000000004</v>
      </c>
      <c r="D21" s="18">
        <v>2.0224000000000002</v>
      </c>
      <c r="E21" s="18">
        <v>2.3199999999999998E-2</v>
      </c>
      <c r="F21" s="18"/>
    </row>
    <row r="22" spans="1:6" x14ac:dyDescent="0.2">
      <c r="A22" s="13" t="s">
        <v>124</v>
      </c>
      <c r="B22" s="13" t="s">
        <v>107</v>
      </c>
      <c r="C22" s="18">
        <v>1073.7185999999999</v>
      </c>
      <c r="D22" s="18">
        <v>0.96389999999999998</v>
      </c>
      <c r="E22" s="18">
        <v>7.3000000000000001E-3</v>
      </c>
      <c r="F22" s="18"/>
    </row>
    <row r="23" spans="1:6" ht="14.25" x14ac:dyDescent="0.3">
      <c r="A23" s="13" t="s">
        <v>125</v>
      </c>
      <c r="B23" s="13" t="s">
        <v>107</v>
      </c>
      <c r="C23" s="18">
        <v>1148.9676999999999</v>
      </c>
      <c r="D23" s="18">
        <v>4.6679000000000004</v>
      </c>
      <c r="E23" s="18">
        <v>6.4000000000000003E-3</v>
      </c>
      <c r="F23" s="18"/>
    </row>
    <row r="24" spans="1:6" x14ac:dyDescent="0.2">
      <c r="A24" s="13" t="s">
        <v>126</v>
      </c>
      <c r="B24" s="13" t="s">
        <v>107</v>
      </c>
      <c r="C24" s="18">
        <v>692.96109999999999</v>
      </c>
      <c r="D24" s="18">
        <v>2.5242</v>
      </c>
      <c r="E24" s="18">
        <v>2.8400000000000002E-2</v>
      </c>
      <c r="F24" s="18"/>
    </row>
    <row r="25" spans="1:6" x14ac:dyDescent="0.2">
      <c r="A25" s="13" t="s">
        <v>127</v>
      </c>
      <c r="B25" s="13" t="s">
        <v>107</v>
      </c>
      <c r="C25" s="18">
        <v>2924.6116999999999</v>
      </c>
      <c r="D25" s="18">
        <v>12.8499</v>
      </c>
      <c r="E25" s="18">
        <v>0.1038</v>
      </c>
      <c r="F25" s="18"/>
    </row>
    <row r="26" spans="1:6" x14ac:dyDescent="0.2">
      <c r="A26" s="13" t="s">
        <v>128</v>
      </c>
      <c r="B26" s="13" t="s">
        <v>107</v>
      </c>
      <c r="C26" s="18">
        <v>1145</v>
      </c>
      <c r="D26" s="18">
        <v>0</v>
      </c>
      <c r="E26" s="18">
        <v>0</v>
      </c>
      <c r="F26" s="18"/>
    </row>
    <row r="27" spans="1:6" ht="14.25" x14ac:dyDescent="0.3">
      <c r="A27" s="13" t="s">
        <v>129</v>
      </c>
      <c r="B27" s="13" t="s">
        <v>107</v>
      </c>
      <c r="C27" s="18">
        <v>246.59010000000001</v>
      </c>
      <c r="D27" s="18">
        <v>0.82520000000000004</v>
      </c>
      <c r="E27" s="18">
        <v>5.4999999999999997E-3</v>
      </c>
      <c r="F27" s="18"/>
    </row>
    <row r="28" spans="1:6" x14ac:dyDescent="0.2">
      <c r="A28" s="13" t="s">
        <v>130</v>
      </c>
      <c r="B28" s="13" t="s">
        <v>107</v>
      </c>
      <c r="C28" s="18">
        <v>4000</v>
      </c>
      <c r="D28" s="18">
        <v>0</v>
      </c>
      <c r="E28" s="18">
        <v>0</v>
      </c>
      <c r="F28" s="18"/>
    </row>
    <row r="29" spans="1:6" x14ac:dyDescent="0.2">
      <c r="A29" s="13" t="s">
        <v>121</v>
      </c>
      <c r="B29" s="13" t="s">
        <v>107</v>
      </c>
      <c r="C29" s="18">
        <v>434</v>
      </c>
      <c r="D29" s="18">
        <v>0</v>
      </c>
      <c r="E29" s="18">
        <v>0</v>
      </c>
      <c r="F29" s="18"/>
    </row>
    <row r="30" spans="1:6" x14ac:dyDescent="0.2">
      <c r="A30" s="13" t="s">
        <v>123</v>
      </c>
      <c r="B30" s="13" t="s">
        <v>107</v>
      </c>
      <c r="C30" s="18">
        <v>1824</v>
      </c>
      <c r="D30" s="18">
        <v>3.76</v>
      </c>
      <c r="E30" s="18">
        <v>5.3400000000000003E-2</v>
      </c>
      <c r="F30" s="18"/>
    </row>
    <row r="31" spans="1:6" x14ac:dyDescent="0.2">
      <c r="A31" s="13" t="s">
        <v>131</v>
      </c>
      <c r="B31" s="13" t="s">
        <v>107</v>
      </c>
      <c r="C31" s="18">
        <v>4885.3999999999996</v>
      </c>
      <c r="D31" s="18">
        <v>0</v>
      </c>
      <c r="E31" s="18">
        <v>0</v>
      </c>
      <c r="F31" s="18"/>
    </row>
    <row r="32" spans="1:6" x14ac:dyDescent="0.2">
      <c r="A32" s="13" t="s">
        <v>132</v>
      </c>
      <c r="B32" s="13" t="s">
        <v>107</v>
      </c>
      <c r="C32" s="18">
        <v>12480.146500000001</v>
      </c>
      <c r="D32" s="18">
        <v>36.128700000000002</v>
      </c>
      <c r="E32" s="18">
        <v>1.7212000000000001</v>
      </c>
      <c r="F32" s="18"/>
    </row>
    <row r="33" spans="1:6" x14ac:dyDescent="0.2">
      <c r="A33" s="13" t="s">
        <v>133</v>
      </c>
      <c r="B33" s="13" t="s">
        <v>107</v>
      </c>
      <c r="C33" s="18">
        <v>163.3321</v>
      </c>
      <c r="D33" s="18">
        <v>0.28999999999999998</v>
      </c>
      <c r="E33" s="18">
        <v>0.40050000000000002</v>
      </c>
      <c r="F33" s="18"/>
    </row>
    <row r="34" spans="1:6" x14ac:dyDescent="0.2">
      <c r="A34" s="13" t="s">
        <v>134</v>
      </c>
      <c r="B34" s="13" t="s">
        <v>107</v>
      </c>
      <c r="C34" s="18">
        <v>2431.3310999999999</v>
      </c>
      <c r="D34" s="18">
        <v>5.3159999999999998</v>
      </c>
      <c r="E34" s="18">
        <v>4.2163000000000004</v>
      </c>
      <c r="F34" s="18"/>
    </row>
    <row r="35" spans="1:6" x14ac:dyDescent="0.2">
      <c r="A35" s="13"/>
      <c r="B35" s="13"/>
      <c r="C35" s="18"/>
      <c r="D35" s="18"/>
      <c r="E35" s="18"/>
      <c r="F35" s="18"/>
    </row>
    <row r="36" spans="1:6" x14ac:dyDescent="0.2">
      <c r="A36" s="13"/>
      <c r="B36" s="13"/>
      <c r="C36" s="18"/>
      <c r="D36" s="18"/>
      <c r="E36" s="18"/>
      <c r="F36" s="18"/>
    </row>
    <row r="37" spans="1:6" x14ac:dyDescent="0.2">
      <c r="A37" s="13"/>
      <c r="B37" s="13"/>
      <c r="C37" s="18"/>
      <c r="D37" s="18"/>
      <c r="E37" s="18"/>
      <c r="F37" s="18"/>
    </row>
    <row r="38" spans="1:6" x14ac:dyDescent="0.2">
      <c r="A38" s="13"/>
      <c r="B38" s="13"/>
      <c r="C38" s="18"/>
      <c r="D38" s="18"/>
      <c r="E38" s="18"/>
      <c r="F38" s="18"/>
    </row>
    <row r="39" spans="1:6" x14ac:dyDescent="0.2">
      <c r="A39" s="13"/>
      <c r="B39" s="13"/>
      <c r="C39" s="18"/>
      <c r="D39" s="18"/>
      <c r="E39" s="18"/>
      <c r="F39" s="18"/>
    </row>
    <row r="40" spans="1:6" x14ac:dyDescent="0.2">
      <c r="A40" s="13"/>
      <c r="B40" s="13"/>
      <c r="C40" s="18"/>
      <c r="D40" s="18"/>
      <c r="E40" s="18"/>
      <c r="F40" s="18"/>
    </row>
    <row r="41" spans="1:6" x14ac:dyDescent="0.2">
      <c r="A41" s="13"/>
      <c r="B41" s="13"/>
      <c r="C41" s="18"/>
      <c r="D41" s="18"/>
      <c r="E41" s="18"/>
      <c r="F41" s="18"/>
    </row>
    <row r="42" spans="1:6" x14ac:dyDescent="0.2">
      <c r="A42" s="13"/>
      <c r="B42" s="13"/>
      <c r="C42" s="18"/>
      <c r="D42" s="18"/>
      <c r="E42" s="18"/>
      <c r="F42" s="18"/>
    </row>
    <row r="43" spans="1:6" x14ac:dyDescent="0.2">
      <c r="A43" s="13"/>
      <c r="B43" s="13"/>
      <c r="C43" s="18"/>
      <c r="D43" s="18"/>
      <c r="E43" s="18"/>
      <c r="F43" s="18"/>
    </row>
    <row r="44" spans="1:6" x14ac:dyDescent="0.2">
      <c r="A44" s="13"/>
      <c r="B44" s="13"/>
      <c r="C44" s="18"/>
      <c r="D44" s="18"/>
      <c r="E44" s="18"/>
      <c r="F44" s="18"/>
    </row>
    <row r="45" spans="1:6" x14ac:dyDescent="0.2">
      <c r="A45" s="13"/>
      <c r="B45" s="13"/>
      <c r="C45" s="18"/>
      <c r="D45" s="18"/>
      <c r="E45" s="18"/>
      <c r="F45" s="18"/>
    </row>
    <row r="46" spans="1:6" x14ac:dyDescent="0.2">
      <c r="A46" s="13"/>
      <c r="B46" s="13"/>
      <c r="C46" s="18"/>
      <c r="D46" s="18"/>
      <c r="E46" s="18"/>
      <c r="F46" s="18"/>
    </row>
    <row r="47" spans="1:6" x14ac:dyDescent="0.2">
      <c r="A47" s="13"/>
      <c r="B47" s="13"/>
      <c r="C47" s="18"/>
      <c r="D47" s="18"/>
      <c r="E47" s="18"/>
      <c r="F47" s="18"/>
    </row>
    <row r="48" spans="1:6" x14ac:dyDescent="0.2">
      <c r="A48" s="13"/>
      <c r="B48" s="13"/>
      <c r="C48" s="18"/>
      <c r="D48" s="18"/>
      <c r="E48" s="18"/>
      <c r="F48" s="18"/>
    </row>
  </sheetData>
  <sheetProtection selectLockedCells="1" selectUnlockedCells="1"/>
  <mergeCells count="1">
    <mergeCell ref="C2:F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5" zoomScale="105" zoomScaleNormal="105" workbookViewId="0">
      <selection activeCell="C19" sqref="C19:E38"/>
    </sheetView>
  </sheetViews>
  <sheetFormatPr defaultColWidth="11.5703125" defaultRowHeight="12.75" x14ac:dyDescent="0.2"/>
  <cols>
    <col min="1" max="1" width="48.7109375" customWidth="1"/>
    <col min="2" max="2" width="14.42578125" customWidth="1"/>
    <col min="3" max="3" width="14.85546875" customWidth="1"/>
    <col min="4" max="4" width="15.140625" customWidth="1"/>
    <col min="5" max="5" width="14.5703125" customWidth="1"/>
    <col min="6" max="6" width="14.42578125" customWidth="1"/>
    <col min="7" max="7" width="13.7109375" customWidth="1"/>
  </cols>
  <sheetData>
    <row r="1" spans="1:8" x14ac:dyDescent="0.2">
      <c r="A1" t="s">
        <v>135</v>
      </c>
    </row>
    <row r="2" spans="1:8" x14ac:dyDescent="0.2">
      <c r="A2" s="13"/>
      <c r="B2" s="13"/>
      <c r="C2" s="399" t="s">
        <v>136</v>
      </c>
      <c r="D2" s="399"/>
      <c r="E2" s="399"/>
      <c r="F2" s="399"/>
    </row>
    <row r="3" spans="1:8" x14ac:dyDescent="0.2">
      <c r="A3" s="124" t="s">
        <v>137</v>
      </c>
      <c r="B3" s="124" t="s">
        <v>16</v>
      </c>
      <c r="C3" s="125" t="s">
        <v>18</v>
      </c>
      <c r="D3" s="125" t="s">
        <v>19</v>
      </c>
      <c r="E3" s="125" t="s">
        <v>20</v>
      </c>
      <c r="F3" s="125" t="s">
        <v>55</v>
      </c>
    </row>
    <row r="4" spans="1:8" s="80" customFormat="1" ht="13.5" thickBot="1" x14ac:dyDescent="0.25">
      <c r="A4" s="204"/>
      <c r="B4" s="205"/>
      <c r="C4" s="206"/>
      <c r="D4" s="206"/>
      <c r="E4" s="206"/>
      <c r="F4" s="207"/>
    </row>
    <row r="5" spans="1:8" x14ac:dyDescent="0.2">
      <c r="A5" s="129" t="s">
        <v>138</v>
      </c>
      <c r="B5" s="130" t="s">
        <v>139</v>
      </c>
      <c r="C5" s="140">
        <v>76.199138894074053</v>
      </c>
      <c r="D5" s="140">
        <v>3.382E-3</v>
      </c>
      <c r="E5" s="140">
        <v>1.5009999999999999E-3</v>
      </c>
      <c r="F5" s="132"/>
      <c r="H5" s="5"/>
    </row>
    <row r="6" spans="1:8" x14ac:dyDescent="0.2">
      <c r="A6" s="133" t="s">
        <v>46</v>
      </c>
      <c r="B6" s="13" t="s">
        <v>139</v>
      </c>
      <c r="C6" s="17">
        <v>79.129875005384605</v>
      </c>
      <c r="D6" s="17">
        <v>3.5120769230769233E-3</v>
      </c>
      <c r="E6" s="17">
        <v>1.5587307692307693E-3</v>
      </c>
      <c r="F6" s="134"/>
    </row>
    <row r="7" spans="1:8" x14ac:dyDescent="0.2">
      <c r="A7" s="133" t="s">
        <v>47</v>
      </c>
      <c r="B7" s="13" t="s">
        <v>139</v>
      </c>
      <c r="C7" s="17">
        <v>82.295070005599996</v>
      </c>
      <c r="D7" s="17">
        <v>3.6525600000000004E-3</v>
      </c>
      <c r="E7" s="17">
        <v>1.62108E-3</v>
      </c>
      <c r="F7" s="134"/>
    </row>
    <row r="8" spans="1:8" x14ac:dyDescent="0.2">
      <c r="A8" s="133" t="s">
        <v>140</v>
      </c>
      <c r="B8" s="13" t="s">
        <v>139</v>
      </c>
      <c r="C8" s="17">
        <v>82.060611116695142</v>
      </c>
      <c r="D8" s="17">
        <v>3.6421538461538462E-3</v>
      </c>
      <c r="E8" s="17">
        <v>1.6164615384615384E-3</v>
      </c>
      <c r="F8" s="134"/>
    </row>
    <row r="9" spans="1:8" x14ac:dyDescent="0.2">
      <c r="A9" s="133" t="s">
        <v>141</v>
      </c>
      <c r="B9" s="13" t="s">
        <v>139</v>
      </c>
      <c r="C9" s="17">
        <v>82.295070005599996</v>
      </c>
      <c r="D9" s="17">
        <v>3.6525600000000004E-3</v>
      </c>
      <c r="E9" s="17">
        <v>1.62108E-3</v>
      </c>
      <c r="F9" s="134"/>
    </row>
    <row r="10" spans="1:8" x14ac:dyDescent="0.2">
      <c r="A10" s="133" t="s">
        <v>142</v>
      </c>
      <c r="B10" s="13" t="s">
        <v>139</v>
      </c>
      <c r="C10" s="17">
        <v>79.129875005384605</v>
      </c>
      <c r="D10" s="17">
        <v>3.5120769230769233E-3</v>
      </c>
      <c r="E10" s="17">
        <v>1.5587307692307693E-3</v>
      </c>
      <c r="F10" s="134"/>
    </row>
    <row r="11" spans="1:8" x14ac:dyDescent="0.2">
      <c r="A11" s="133" t="s">
        <v>143</v>
      </c>
      <c r="B11" s="13" t="s">
        <v>139</v>
      </c>
      <c r="C11" s="22">
        <v>129.08778625954199</v>
      </c>
      <c r="D11" s="22">
        <v>6.0187903699354076E-4</v>
      </c>
      <c r="E11" s="22">
        <v>3.9195537287140337E-3</v>
      </c>
      <c r="F11" s="134"/>
    </row>
    <row r="12" spans="1:8" x14ac:dyDescent="0.2">
      <c r="A12" s="133" t="s">
        <v>144</v>
      </c>
      <c r="B12" s="13" t="s">
        <v>139</v>
      </c>
      <c r="C12" s="22">
        <v>169.10499999999999</v>
      </c>
      <c r="D12" s="22">
        <v>1.6000000000000001E-3</v>
      </c>
      <c r="E12" s="22">
        <v>1.1999999999999999E-3</v>
      </c>
      <c r="F12" s="134"/>
    </row>
    <row r="13" spans="1:8" x14ac:dyDescent="0.2">
      <c r="A13" s="133" t="s">
        <v>145</v>
      </c>
      <c r="B13" s="13" t="s">
        <v>139</v>
      </c>
      <c r="C13" s="22">
        <v>210.2365343143307</v>
      </c>
      <c r="D13" s="22">
        <v>1.99E-3</v>
      </c>
      <c r="E13" s="22">
        <v>1.5E-3</v>
      </c>
      <c r="F13" s="134"/>
    </row>
    <row r="14" spans="1:8" x14ac:dyDescent="0.2">
      <c r="A14" s="133" t="s">
        <v>146</v>
      </c>
      <c r="B14" s="13" t="s">
        <v>139</v>
      </c>
      <c r="C14" s="18">
        <v>338.21</v>
      </c>
      <c r="D14" s="18">
        <v>0</v>
      </c>
      <c r="E14" s="18">
        <v>0</v>
      </c>
      <c r="F14" s="134"/>
    </row>
    <row r="15" spans="1:8" x14ac:dyDescent="0.2">
      <c r="A15" s="133" t="s">
        <v>147</v>
      </c>
      <c r="B15" s="13" t="s">
        <v>139</v>
      </c>
      <c r="C15" s="18">
        <v>202.92599999999999</v>
      </c>
      <c r="D15" s="18">
        <v>0</v>
      </c>
      <c r="E15" s="18">
        <v>0</v>
      </c>
      <c r="F15" s="134"/>
    </row>
    <row r="16" spans="1:8" x14ac:dyDescent="0.2">
      <c r="A16" s="133" t="s">
        <v>148</v>
      </c>
      <c r="B16" s="13" t="s">
        <v>139</v>
      </c>
      <c r="C16" s="18">
        <v>245.06696599999998</v>
      </c>
      <c r="D16" s="18">
        <v>0</v>
      </c>
      <c r="E16" s="18">
        <v>0</v>
      </c>
      <c r="F16" s="134"/>
    </row>
    <row r="17" spans="1:6" ht="13.5" thickBot="1" x14ac:dyDescent="0.25">
      <c r="A17" s="141" t="s">
        <v>149</v>
      </c>
      <c r="B17" s="137" t="s">
        <v>139</v>
      </c>
      <c r="C17" s="138">
        <v>87.934599999999989</v>
      </c>
      <c r="D17" s="138">
        <v>0</v>
      </c>
      <c r="E17" s="138">
        <v>0</v>
      </c>
      <c r="F17" s="139"/>
    </row>
    <row r="18" spans="1:6" s="80" customFormat="1" ht="13.5" thickBot="1" x14ac:dyDescent="0.25">
      <c r="A18" s="200"/>
      <c r="B18" s="201"/>
      <c r="C18" s="202"/>
      <c r="D18" s="202"/>
      <c r="E18" s="202"/>
      <c r="F18" s="203"/>
    </row>
    <row r="19" spans="1:6" x14ac:dyDescent="0.2">
      <c r="A19" s="129" t="s">
        <v>150</v>
      </c>
      <c r="B19" s="130" t="s">
        <v>139</v>
      </c>
      <c r="C19" s="131">
        <v>9.4163958000000001</v>
      </c>
      <c r="D19" s="131">
        <v>0</v>
      </c>
      <c r="E19" s="131">
        <v>0</v>
      </c>
      <c r="F19" s="132"/>
    </row>
    <row r="20" spans="1:6" x14ac:dyDescent="0.2">
      <c r="A20" s="133" t="s">
        <v>151</v>
      </c>
      <c r="B20" s="13" t="s">
        <v>139</v>
      </c>
      <c r="C20" s="18">
        <v>30.438899999999997</v>
      </c>
      <c r="D20" s="18">
        <v>9.2999999999999999E-2</v>
      </c>
      <c r="E20" s="18">
        <v>4.0000000000000002E-4</v>
      </c>
      <c r="F20" s="134"/>
    </row>
    <row r="21" spans="1:6" x14ac:dyDescent="0.2">
      <c r="A21" s="133" t="s">
        <v>152</v>
      </c>
      <c r="B21" s="13" t="s">
        <v>139</v>
      </c>
      <c r="C21" s="18">
        <v>47.349400000000003</v>
      </c>
      <c r="D21" s="18">
        <v>0.03</v>
      </c>
      <c r="E21" s="18">
        <v>0</v>
      </c>
      <c r="F21" s="134"/>
    </row>
    <row r="22" spans="1:6" x14ac:dyDescent="0.2">
      <c r="A22" s="133" t="s">
        <v>153</v>
      </c>
      <c r="B22" s="13" t="s">
        <v>139</v>
      </c>
      <c r="C22" s="18">
        <v>8.9692023712499971</v>
      </c>
      <c r="D22" s="18">
        <v>0</v>
      </c>
      <c r="E22" s="18">
        <v>0</v>
      </c>
      <c r="F22" s="134"/>
    </row>
    <row r="23" spans="1:6" x14ac:dyDescent="0.2">
      <c r="A23" s="133" t="s">
        <v>154</v>
      </c>
      <c r="B23" s="13" t="s">
        <v>139</v>
      </c>
      <c r="C23" s="18">
        <v>8.907411644999998</v>
      </c>
      <c r="D23" s="18">
        <v>0</v>
      </c>
      <c r="E23" s="18">
        <v>0</v>
      </c>
      <c r="F23" s="134"/>
    </row>
    <row r="24" spans="1:6" x14ac:dyDescent="0.2">
      <c r="A24" s="133" t="s">
        <v>155</v>
      </c>
      <c r="B24" s="13" t="s">
        <v>139</v>
      </c>
      <c r="C24" s="18">
        <v>15.975376469999999</v>
      </c>
      <c r="D24" s="18">
        <v>0</v>
      </c>
      <c r="E24" s="18">
        <v>0</v>
      </c>
      <c r="F24" s="134"/>
    </row>
    <row r="25" spans="1:6" x14ac:dyDescent="0.2">
      <c r="A25" s="133" t="s">
        <v>156</v>
      </c>
      <c r="B25" s="13" t="s">
        <v>139</v>
      </c>
      <c r="C25" s="18">
        <v>10.743457679999999</v>
      </c>
      <c r="D25" s="18">
        <v>0</v>
      </c>
      <c r="E25" s="18">
        <v>0</v>
      </c>
      <c r="F25" s="134"/>
    </row>
    <row r="26" spans="1:6" ht="14.25" x14ac:dyDescent="0.3">
      <c r="A26" s="133" t="s">
        <v>157</v>
      </c>
      <c r="B26" s="13" t="s">
        <v>139</v>
      </c>
      <c r="C26" s="18">
        <v>22.471025056477774</v>
      </c>
      <c r="D26" s="18">
        <v>0</v>
      </c>
      <c r="E26" s="18">
        <v>0</v>
      </c>
      <c r="F26" s="134"/>
    </row>
    <row r="27" spans="1:6" ht="14.25" x14ac:dyDescent="0.3">
      <c r="A27" s="133" t="s">
        <v>158</v>
      </c>
      <c r="B27" s="13" t="s">
        <v>139</v>
      </c>
      <c r="C27" s="18">
        <v>14.210890459551477</v>
      </c>
      <c r="D27" s="18">
        <v>0</v>
      </c>
      <c r="E27" s="18">
        <v>0</v>
      </c>
      <c r="F27" s="134"/>
    </row>
    <row r="28" spans="1:6" ht="14.25" x14ac:dyDescent="0.3">
      <c r="A28" s="133" t="s">
        <v>159</v>
      </c>
      <c r="B28" s="13" t="s">
        <v>139</v>
      </c>
      <c r="C28" s="18">
        <v>9.4617395999999996</v>
      </c>
      <c r="D28" s="18">
        <v>0</v>
      </c>
      <c r="E28" s="18">
        <v>0</v>
      </c>
      <c r="F28" s="134"/>
    </row>
    <row r="29" spans="1:6" ht="14.25" x14ac:dyDescent="0.3">
      <c r="A29" s="133" t="s">
        <v>160</v>
      </c>
      <c r="B29" s="13" t="s">
        <v>139</v>
      </c>
      <c r="C29" s="18">
        <v>6.1190415185637077</v>
      </c>
      <c r="D29" s="18">
        <v>0</v>
      </c>
      <c r="E29" s="18">
        <v>0</v>
      </c>
      <c r="F29" s="134"/>
    </row>
    <row r="30" spans="1:6" ht="14.25" x14ac:dyDescent="0.3">
      <c r="A30" s="133" t="s">
        <v>161</v>
      </c>
      <c r="B30" s="13" t="s">
        <v>139</v>
      </c>
      <c r="C30" s="18">
        <v>37.119265340466754</v>
      </c>
      <c r="D30" s="18">
        <v>0</v>
      </c>
      <c r="E30" s="18">
        <v>0</v>
      </c>
      <c r="F30" s="134"/>
    </row>
    <row r="31" spans="1:6" ht="14.25" x14ac:dyDescent="0.3">
      <c r="A31" s="133" t="s">
        <v>162</v>
      </c>
      <c r="B31" s="13" t="s">
        <v>139</v>
      </c>
      <c r="C31" s="18">
        <v>23.198880109272597</v>
      </c>
      <c r="D31" s="18">
        <v>0</v>
      </c>
      <c r="E31" s="18">
        <v>0</v>
      </c>
      <c r="F31" s="134"/>
    </row>
    <row r="32" spans="1:6" ht="14.25" x14ac:dyDescent="0.3">
      <c r="A32" s="133" t="s">
        <v>163</v>
      </c>
      <c r="B32" s="13" t="s">
        <v>139</v>
      </c>
      <c r="C32" s="18">
        <v>17.3973240180208</v>
      </c>
      <c r="D32" s="18">
        <v>0</v>
      </c>
      <c r="E32" s="18">
        <v>0</v>
      </c>
      <c r="F32" s="134"/>
    </row>
    <row r="33" spans="1:6" ht="14.25" x14ac:dyDescent="0.3">
      <c r="A33" s="133" t="s">
        <v>164</v>
      </c>
      <c r="B33" s="13" t="s">
        <v>139</v>
      </c>
      <c r="C33" s="18">
        <v>11.074863706928747</v>
      </c>
      <c r="D33" s="18">
        <v>0</v>
      </c>
      <c r="E33" s="18">
        <v>0</v>
      </c>
      <c r="F33" s="134"/>
    </row>
    <row r="34" spans="1:6" x14ac:dyDescent="0.2">
      <c r="A34" s="135" t="s">
        <v>165</v>
      </c>
      <c r="B34" s="13" t="s">
        <v>139</v>
      </c>
      <c r="C34" s="18">
        <v>11.713814999999999</v>
      </c>
      <c r="D34" s="18">
        <v>0</v>
      </c>
      <c r="E34" s="18">
        <v>0</v>
      </c>
      <c r="F34" s="134"/>
    </row>
    <row r="35" spans="1:6" ht="13.5" thickBot="1" x14ac:dyDescent="0.25">
      <c r="A35" s="136" t="s">
        <v>166</v>
      </c>
      <c r="B35" s="137" t="s">
        <v>139</v>
      </c>
      <c r="C35" s="138">
        <v>6.6907295999999992</v>
      </c>
      <c r="D35" s="138">
        <v>0</v>
      </c>
      <c r="E35" s="138">
        <v>0</v>
      </c>
      <c r="F35" s="139"/>
    </row>
    <row r="36" spans="1:6" x14ac:dyDescent="0.2">
      <c r="A36" s="128" t="s">
        <v>167</v>
      </c>
      <c r="B36" s="126" t="s">
        <v>139</v>
      </c>
      <c r="C36" s="127"/>
      <c r="D36" s="127"/>
      <c r="E36" s="127"/>
      <c r="F36" s="127"/>
    </row>
    <row r="37" spans="1:6" x14ac:dyDescent="0.2">
      <c r="A37" s="27" t="s">
        <v>168</v>
      </c>
      <c r="B37" s="13" t="s">
        <v>139</v>
      </c>
      <c r="C37" s="18">
        <v>23.486805555555552</v>
      </c>
      <c r="D37" s="18">
        <v>5.0000000000000001E-3</v>
      </c>
      <c r="E37" s="18">
        <v>1E-3</v>
      </c>
      <c r="F37" s="18"/>
    </row>
    <row r="38" spans="1:6" x14ac:dyDescent="0.2">
      <c r="A38" s="27" t="s">
        <v>169</v>
      </c>
      <c r="B38" s="13" t="s">
        <v>139</v>
      </c>
      <c r="C38" s="18"/>
      <c r="D38" s="18"/>
      <c r="E38" s="18"/>
      <c r="F38" s="18"/>
    </row>
  </sheetData>
  <sheetProtection selectLockedCells="1" selectUnlockedCells="1"/>
  <mergeCells count="1">
    <mergeCell ref="C2:F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zoomScale="105" zoomScaleNormal="105" workbookViewId="0">
      <selection activeCell="H21" sqref="H21"/>
    </sheetView>
  </sheetViews>
  <sheetFormatPr defaultColWidth="11.5703125" defaultRowHeight="12.75" x14ac:dyDescent="0.2"/>
  <cols>
    <col min="1" max="1" width="21.5703125" style="31" customWidth="1"/>
    <col min="2" max="3" width="21" customWidth="1"/>
  </cols>
  <sheetData>
    <row r="1" spans="1:2" x14ac:dyDescent="0.2">
      <c r="B1" t="s">
        <v>170</v>
      </c>
    </row>
    <row r="2" spans="1:2" x14ac:dyDescent="0.2">
      <c r="A2" s="31" t="s">
        <v>171</v>
      </c>
      <c r="B2" t="s">
        <v>172</v>
      </c>
    </row>
    <row r="4" spans="1:2" x14ac:dyDescent="0.2">
      <c r="A4" s="31" t="s">
        <v>173</v>
      </c>
      <c r="B4">
        <f>B9</f>
        <v>1</v>
      </c>
    </row>
    <row r="5" spans="1:2" x14ac:dyDescent="0.2">
      <c r="A5" s="31" t="s">
        <v>174</v>
      </c>
      <c r="B5">
        <v>0</v>
      </c>
    </row>
    <row r="6" spans="1:2" x14ac:dyDescent="0.2">
      <c r="A6" s="31" t="s">
        <v>17</v>
      </c>
      <c r="B6">
        <f>B9</f>
        <v>1</v>
      </c>
    </row>
    <row r="7" spans="1:2" x14ac:dyDescent="0.2">
      <c r="A7" s="31" t="s">
        <v>175</v>
      </c>
      <c r="B7">
        <f>B10</f>
        <v>28</v>
      </c>
    </row>
    <row r="8" spans="1:2" x14ac:dyDescent="0.2">
      <c r="A8" s="31" t="s">
        <v>176</v>
      </c>
      <c r="B8">
        <f>B10-2.75</f>
        <v>25.25</v>
      </c>
    </row>
    <row r="9" spans="1:2" x14ac:dyDescent="0.2">
      <c r="A9" s="31" t="s">
        <v>18</v>
      </c>
      <c r="B9">
        <f>B15</f>
        <v>1</v>
      </c>
    </row>
    <row r="10" spans="1:2" x14ac:dyDescent="0.2">
      <c r="A10" s="31" t="s">
        <v>19</v>
      </c>
      <c r="B10">
        <v>28</v>
      </c>
    </row>
    <row r="11" spans="1:2" x14ac:dyDescent="0.2">
      <c r="A11" s="31" t="s">
        <v>20</v>
      </c>
      <c r="B11">
        <f>B23</f>
        <v>298</v>
      </c>
    </row>
    <row r="12" spans="1:2" x14ac:dyDescent="0.2">
      <c r="A12" s="31" t="s">
        <v>177</v>
      </c>
      <c r="B12" s="12">
        <f>B10-2.75</f>
        <v>25.25</v>
      </c>
    </row>
    <row r="13" spans="1:2" x14ac:dyDescent="0.2">
      <c r="A13" s="31" t="s">
        <v>178</v>
      </c>
      <c r="B13" s="12">
        <f>B10</f>
        <v>28</v>
      </c>
    </row>
    <row r="14" spans="1:2" x14ac:dyDescent="0.2">
      <c r="A14" s="31" t="s">
        <v>179</v>
      </c>
      <c r="B14">
        <v>146</v>
      </c>
    </row>
    <row r="15" spans="1:2" x14ac:dyDescent="0.2">
      <c r="A15" s="31" t="s">
        <v>180</v>
      </c>
      <c r="B15">
        <v>1</v>
      </c>
    </row>
    <row r="16" spans="1:2" x14ac:dyDescent="0.2">
      <c r="A16" s="31" t="s">
        <v>181</v>
      </c>
      <c r="B16">
        <v>4750</v>
      </c>
    </row>
    <row r="17" spans="1:2" x14ac:dyDescent="0.2">
      <c r="A17" s="31" t="s">
        <v>182</v>
      </c>
      <c r="B17">
        <v>6130</v>
      </c>
    </row>
    <row r="18" spans="1:2" x14ac:dyDescent="0.2">
      <c r="A18" s="31" t="s">
        <v>183</v>
      </c>
      <c r="B18">
        <v>10000</v>
      </c>
    </row>
    <row r="19" spans="1:2" x14ac:dyDescent="0.2">
      <c r="A19" s="31" t="s">
        <v>184</v>
      </c>
      <c r="B19">
        <v>7370</v>
      </c>
    </row>
    <row r="20" spans="1:2" x14ac:dyDescent="0.2">
      <c r="A20" s="31" t="s">
        <v>185</v>
      </c>
      <c r="B20">
        <v>10900</v>
      </c>
    </row>
    <row r="21" spans="1:2" x14ac:dyDescent="0.2">
      <c r="A21" s="31" t="s">
        <v>186</v>
      </c>
      <c r="B21">
        <v>14400</v>
      </c>
    </row>
    <row r="22" spans="1:2" x14ac:dyDescent="0.2">
      <c r="A22" s="31" t="s">
        <v>187</v>
      </c>
      <c r="B22">
        <v>8.6999999999999993</v>
      </c>
    </row>
    <row r="23" spans="1:2" x14ac:dyDescent="0.2">
      <c r="A23" s="31" t="s">
        <v>188</v>
      </c>
      <c r="B23">
        <v>298</v>
      </c>
    </row>
    <row r="24" spans="1:2" x14ac:dyDescent="0.2">
      <c r="A24" s="31" t="s">
        <v>189</v>
      </c>
      <c r="B24">
        <v>1890</v>
      </c>
    </row>
    <row r="25" spans="1:2" x14ac:dyDescent="0.2">
      <c r="A25" s="31" t="s">
        <v>190</v>
      </c>
      <c r="B25">
        <v>7140</v>
      </c>
    </row>
    <row r="26" spans="1:2" x14ac:dyDescent="0.2">
      <c r="A26" s="31" t="s">
        <v>191</v>
      </c>
      <c r="B26">
        <v>1640</v>
      </c>
    </row>
    <row r="27" spans="1:2" x14ac:dyDescent="0.2">
      <c r="A27" s="31" t="s">
        <v>192</v>
      </c>
      <c r="B27">
        <v>77</v>
      </c>
    </row>
    <row r="28" spans="1:2" x14ac:dyDescent="0.2">
      <c r="A28" s="31" t="s">
        <v>193</v>
      </c>
      <c r="B28">
        <v>609</v>
      </c>
    </row>
    <row r="29" spans="1:2" x14ac:dyDescent="0.2">
      <c r="A29" s="31" t="s">
        <v>194</v>
      </c>
      <c r="B29">
        <v>725</v>
      </c>
    </row>
    <row r="30" spans="1:2" x14ac:dyDescent="0.2">
      <c r="A30" s="31" t="s">
        <v>195</v>
      </c>
      <c r="B30">
        <v>2310</v>
      </c>
    </row>
    <row r="31" spans="1:2" x14ac:dyDescent="0.2">
      <c r="A31" s="31" t="s">
        <v>196</v>
      </c>
      <c r="B31">
        <v>1810</v>
      </c>
    </row>
    <row r="32" spans="1:2" x14ac:dyDescent="0.2">
      <c r="A32" s="31" t="s">
        <v>197</v>
      </c>
      <c r="B32">
        <v>122</v>
      </c>
    </row>
    <row r="33" spans="1:2" x14ac:dyDescent="0.2">
      <c r="A33" s="31" t="s">
        <v>198</v>
      </c>
      <c r="B33">
        <v>595</v>
      </c>
    </row>
    <row r="34" spans="1:2" x14ac:dyDescent="0.2">
      <c r="A34" s="31" t="s">
        <v>199</v>
      </c>
      <c r="B34">
        <v>3500</v>
      </c>
    </row>
    <row r="35" spans="1:2" x14ac:dyDescent="0.2">
      <c r="A35" s="31" t="s">
        <v>200</v>
      </c>
      <c r="B35">
        <v>1430</v>
      </c>
    </row>
    <row r="36" spans="1:2" x14ac:dyDescent="0.2">
      <c r="A36" s="31" t="s">
        <v>201</v>
      </c>
      <c r="B36">
        <v>4470</v>
      </c>
    </row>
    <row r="37" spans="1:2" x14ac:dyDescent="0.2">
      <c r="A37" s="31" t="s">
        <v>202</v>
      </c>
      <c r="B37">
        <v>124</v>
      </c>
    </row>
    <row r="38" spans="1:2" x14ac:dyDescent="0.2">
      <c r="A38" s="31" t="s">
        <v>203</v>
      </c>
      <c r="B38">
        <v>3220</v>
      </c>
    </row>
    <row r="39" spans="1:2" x14ac:dyDescent="0.2">
      <c r="A39" s="31" t="s">
        <v>204</v>
      </c>
      <c r="B39">
        <v>14800</v>
      </c>
    </row>
    <row r="40" spans="1:2" x14ac:dyDescent="0.2">
      <c r="A40" s="31" t="s">
        <v>205</v>
      </c>
      <c r="B40">
        <v>9810</v>
      </c>
    </row>
    <row r="41" spans="1:2" x14ac:dyDescent="0.2">
      <c r="A41" s="31" t="s">
        <v>206</v>
      </c>
      <c r="B41">
        <v>675</v>
      </c>
    </row>
    <row r="42" spans="1:2" x14ac:dyDescent="0.2">
      <c r="A42" s="31" t="s">
        <v>207</v>
      </c>
      <c r="B42">
        <v>1640</v>
      </c>
    </row>
    <row r="43" spans="1:2" x14ac:dyDescent="0.2">
      <c r="A43" s="31" t="s">
        <v>64</v>
      </c>
      <c r="B43">
        <v>25</v>
      </c>
    </row>
    <row r="44" spans="1:2" x14ac:dyDescent="0.2">
      <c r="A44" s="31" t="s">
        <v>208</v>
      </c>
      <c r="B44">
        <v>13</v>
      </c>
    </row>
    <row r="45" spans="1:2" x14ac:dyDescent="0.2">
      <c r="A45" s="31" t="s">
        <v>209</v>
      </c>
      <c r="B45">
        <v>5</v>
      </c>
    </row>
    <row r="46" spans="1:2" x14ac:dyDescent="0.2">
      <c r="A46" s="31" t="s">
        <v>210</v>
      </c>
      <c r="B46">
        <v>8860</v>
      </c>
    </row>
    <row r="47" spans="1:2" x14ac:dyDescent="0.2">
      <c r="A47" s="31" t="s">
        <v>211</v>
      </c>
      <c r="B47">
        <v>10300</v>
      </c>
    </row>
    <row r="48" spans="1:2" x14ac:dyDescent="0.2">
      <c r="A48" s="31" t="s">
        <v>212</v>
      </c>
      <c r="B48">
        <v>12200</v>
      </c>
    </row>
    <row r="49" spans="1:2" x14ac:dyDescent="0.2">
      <c r="A49" s="31" t="s">
        <v>213</v>
      </c>
      <c r="B49">
        <v>9300</v>
      </c>
    </row>
    <row r="50" spans="1:2" x14ac:dyDescent="0.2">
      <c r="A50" s="31" t="s">
        <v>214</v>
      </c>
      <c r="B50">
        <v>7390</v>
      </c>
    </row>
    <row r="51" spans="1:2" x14ac:dyDescent="0.2">
      <c r="A51" s="31" t="s">
        <v>215</v>
      </c>
      <c r="B51">
        <v>8830</v>
      </c>
    </row>
    <row r="52" spans="1:2" x14ac:dyDescent="0.2">
      <c r="A52" s="31" t="s">
        <v>216</v>
      </c>
      <c r="B52">
        <v>22800</v>
      </c>
    </row>
    <row r="53" spans="1:2" x14ac:dyDescent="0.2">
      <c r="A53" s="31" t="s">
        <v>217</v>
      </c>
      <c r="B53">
        <v>1400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AD58"/>
  <sheetViews>
    <sheetView zoomScale="85" zoomScaleNormal="85" workbookViewId="0">
      <selection activeCell="X15" sqref="X15"/>
    </sheetView>
  </sheetViews>
  <sheetFormatPr defaultColWidth="11.5703125" defaultRowHeight="12.75" x14ac:dyDescent="0.2"/>
  <cols>
    <col min="1" max="1" width="7" customWidth="1"/>
    <col min="2" max="2" width="16.28515625" bestFit="1" customWidth="1"/>
    <col min="3" max="3" width="7" customWidth="1"/>
    <col min="4" max="4" width="11" bestFit="1" customWidth="1"/>
    <col min="5" max="7" width="7" customWidth="1"/>
    <col min="8" max="14" width="7" style="80" customWidth="1"/>
    <col min="15" max="15" width="1.7109375" customWidth="1"/>
    <col min="16" max="16" width="11.85546875" bestFit="1" customWidth="1"/>
    <col min="17" max="17" width="6.85546875" bestFit="1" customWidth="1"/>
    <col min="18" max="18" width="12.5703125" customWidth="1"/>
    <col min="19" max="19" width="1.7109375" customWidth="1"/>
    <col min="20" max="20" width="7.28515625" customWidth="1"/>
    <col min="21" max="21" width="12.5703125" customWidth="1"/>
  </cols>
  <sheetData>
    <row r="1" spans="1:30" s="80" customFormat="1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</row>
    <row r="2" spans="1:30" s="243" customFormat="1" ht="15" customHeight="1" x14ac:dyDescent="0.3">
      <c r="A2" s="254"/>
      <c r="B2" s="327" t="s">
        <v>355</v>
      </c>
      <c r="C2" s="327"/>
      <c r="D2" s="327"/>
      <c r="E2" s="327"/>
      <c r="F2" s="327"/>
      <c r="G2" s="32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8"/>
      <c r="T2" s="288"/>
      <c r="U2" s="289"/>
      <c r="V2" s="289"/>
      <c r="W2" s="289"/>
      <c r="X2" s="289"/>
      <c r="Y2" s="254"/>
      <c r="Z2" s="254"/>
      <c r="AA2" s="254"/>
      <c r="AB2" s="254"/>
      <c r="AC2" s="254"/>
      <c r="AD2" s="254"/>
    </row>
    <row r="3" spans="1:30" s="243" customFormat="1" ht="15" customHeight="1" x14ac:dyDescent="0.3">
      <c r="A3" s="254"/>
      <c r="B3" s="327"/>
      <c r="C3" s="327"/>
      <c r="D3" s="327"/>
      <c r="E3" s="327"/>
      <c r="F3" s="327"/>
      <c r="G3" s="32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8"/>
      <c r="T3" s="288"/>
      <c r="U3" s="289"/>
      <c r="V3" s="289"/>
      <c r="W3" s="289"/>
      <c r="X3" s="289"/>
      <c r="Y3" s="254"/>
      <c r="Z3" s="254"/>
      <c r="AA3" s="254"/>
      <c r="AB3" s="254"/>
      <c r="AC3" s="254"/>
      <c r="AD3" s="254"/>
    </row>
    <row r="4" spans="1:30" s="243" customFormat="1" ht="15" customHeight="1" x14ac:dyDescent="0.3">
      <c r="A4" s="254"/>
      <c r="B4" s="327"/>
      <c r="C4" s="327"/>
      <c r="D4" s="327"/>
      <c r="E4" s="327"/>
      <c r="F4" s="327"/>
      <c r="G4" s="32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8"/>
      <c r="T4" s="288"/>
      <c r="U4" s="289"/>
      <c r="V4" s="289"/>
      <c r="W4" s="289"/>
      <c r="X4" s="289"/>
      <c r="Y4" s="254"/>
      <c r="Z4" s="254"/>
      <c r="AA4" s="254"/>
      <c r="AB4" s="254"/>
      <c r="AC4" s="254"/>
      <c r="AD4" s="254"/>
    </row>
    <row r="5" spans="1:30" s="243" customFormat="1" ht="15" customHeight="1" x14ac:dyDescent="0.3">
      <c r="A5" s="254"/>
      <c r="B5" s="328" t="s">
        <v>356</v>
      </c>
      <c r="C5" s="328"/>
      <c r="D5" s="328"/>
      <c r="E5" s="328"/>
      <c r="F5" s="328"/>
      <c r="G5" s="328"/>
      <c r="H5" s="328"/>
      <c r="I5" s="328"/>
      <c r="J5" s="285"/>
      <c r="K5" s="287"/>
      <c r="L5" s="287"/>
      <c r="M5" s="287"/>
      <c r="N5" s="287"/>
      <c r="O5" s="287"/>
      <c r="P5" s="287"/>
      <c r="Q5" s="287"/>
      <c r="R5" s="287"/>
      <c r="S5" s="288"/>
      <c r="T5" s="288"/>
      <c r="U5" s="289"/>
      <c r="V5" s="289"/>
      <c r="W5" s="289"/>
      <c r="X5" s="289"/>
      <c r="Y5" s="254"/>
      <c r="Z5" s="254"/>
      <c r="AA5" s="254"/>
      <c r="AB5" s="254"/>
      <c r="AC5" s="254"/>
      <c r="AD5" s="254"/>
    </row>
    <row r="6" spans="1:30" s="243" customFormat="1" ht="15" customHeight="1" x14ac:dyDescent="0.3">
      <c r="A6" s="254"/>
      <c r="B6" s="328"/>
      <c r="C6" s="328"/>
      <c r="D6" s="328"/>
      <c r="E6" s="328"/>
      <c r="F6" s="328"/>
      <c r="G6" s="328"/>
      <c r="H6" s="328"/>
      <c r="I6" s="328"/>
      <c r="J6" s="285"/>
      <c r="K6" s="290"/>
      <c r="L6" s="290"/>
      <c r="M6" s="290"/>
      <c r="N6" s="290"/>
      <c r="O6" s="290"/>
      <c r="P6" s="290"/>
      <c r="Q6" s="290"/>
      <c r="R6" s="290"/>
      <c r="S6" s="288"/>
      <c r="T6" s="288"/>
      <c r="U6" s="289"/>
      <c r="V6" s="289"/>
      <c r="W6" s="289"/>
      <c r="X6" s="289"/>
      <c r="Y6" s="254"/>
      <c r="Z6" s="254"/>
      <c r="AA6" s="254"/>
      <c r="AB6" s="254"/>
      <c r="AC6" s="254"/>
      <c r="AD6" s="254"/>
    </row>
    <row r="7" spans="1:30" s="243" customFormat="1" ht="15" customHeight="1" x14ac:dyDescent="0.3">
      <c r="A7" s="254"/>
      <c r="B7" s="328"/>
      <c r="C7" s="328"/>
      <c r="D7" s="328"/>
      <c r="E7" s="328"/>
      <c r="F7" s="328"/>
      <c r="G7" s="328"/>
      <c r="H7" s="328"/>
      <c r="I7" s="328"/>
      <c r="J7" s="285"/>
      <c r="K7" s="290"/>
      <c r="L7" s="290"/>
      <c r="M7" s="290"/>
      <c r="N7" s="290"/>
      <c r="O7" s="290"/>
      <c r="P7" s="290"/>
      <c r="Q7" s="290"/>
      <c r="R7" s="290"/>
      <c r="S7" s="288"/>
      <c r="T7" s="288"/>
      <c r="U7" s="289"/>
      <c r="V7" s="289"/>
      <c r="W7" s="289"/>
      <c r="X7" s="289"/>
      <c r="Y7" s="254"/>
      <c r="Z7" s="254"/>
      <c r="AA7" s="254"/>
      <c r="AB7" s="254"/>
      <c r="AC7" s="254"/>
      <c r="AD7" s="254"/>
    </row>
    <row r="8" spans="1:30" s="243" customFormat="1" ht="15" customHeight="1" x14ac:dyDescent="0.3">
      <c r="A8" s="254"/>
      <c r="B8" s="328"/>
      <c r="C8" s="328"/>
      <c r="D8" s="328"/>
      <c r="E8" s="328"/>
      <c r="F8" s="328"/>
      <c r="G8" s="328"/>
      <c r="H8" s="328"/>
      <c r="I8" s="328"/>
      <c r="J8" s="285"/>
      <c r="K8" s="290"/>
      <c r="L8" s="290"/>
      <c r="M8" s="290"/>
      <c r="N8" s="290"/>
      <c r="O8" s="290"/>
      <c r="P8" s="290"/>
      <c r="Q8" s="290"/>
      <c r="R8" s="290"/>
      <c r="S8" s="288"/>
      <c r="T8" s="288"/>
      <c r="U8" s="289"/>
      <c r="V8" s="289"/>
      <c r="W8" s="289"/>
      <c r="X8" s="289"/>
      <c r="Y8" s="254"/>
      <c r="Z8" s="254"/>
      <c r="AA8" s="254"/>
      <c r="AB8" s="254"/>
      <c r="AC8" s="254"/>
      <c r="AD8" s="254"/>
    </row>
    <row r="9" spans="1:30" s="80" customFormat="1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</row>
    <row r="10" spans="1:30" s="80" customFormat="1" ht="13.5" thickBot="1" x14ac:dyDescent="0.25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</row>
    <row r="11" spans="1:30" ht="18" x14ac:dyDescent="0.35">
      <c r="A11" s="146"/>
      <c r="B11" s="263" t="s">
        <v>337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5"/>
      <c r="M11" s="146"/>
      <c r="N11" s="146"/>
      <c r="O11" s="60" t="s">
        <v>222</v>
      </c>
      <c r="P11" s="261"/>
      <c r="Q11" s="261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</row>
    <row r="12" spans="1:30" ht="15" x14ac:dyDescent="0.3">
      <c r="A12" s="146"/>
      <c r="B12" s="266"/>
      <c r="C12" s="267"/>
      <c r="D12" s="267"/>
      <c r="E12" s="267"/>
      <c r="F12" s="267"/>
      <c r="G12" s="267"/>
      <c r="H12" s="267"/>
      <c r="I12" s="267"/>
      <c r="J12" s="267"/>
      <c r="K12" s="267"/>
      <c r="L12" s="268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</row>
    <row r="13" spans="1:30" ht="14.25" x14ac:dyDescent="0.3">
      <c r="A13" s="146"/>
      <c r="B13" s="329" t="s">
        <v>346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1"/>
      <c r="M13" s="146"/>
      <c r="N13" s="146"/>
      <c r="O13" s="59"/>
      <c r="P13" s="58"/>
      <c r="Q13" s="58"/>
      <c r="R13" s="58"/>
      <c r="S13" s="68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</row>
    <row r="14" spans="1:30" ht="14.25" x14ac:dyDescent="0.3">
      <c r="A14" s="146"/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31"/>
      <c r="M14" s="146"/>
      <c r="N14" s="146"/>
      <c r="O14" s="55"/>
      <c r="P14" s="320" t="s">
        <v>23</v>
      </c>
      <c r="Q14" s="54"/>
      <c r="R14" s="322" t="s">
        <v>226</v>
      </c>
      <c r="S14" s="69"/>
      <c r="T14" s="146"/>
      <c r="U14" s="75" t="s">
        <v>4</v>
      </c>
      <c r="V14" s="146"/>
      <c r="W14" s="146"/>
      <c r="X14" s="146"/>
      <c r="Y14" s="146"/>
      <c r="Z14" s="146"/>
      <c r="AA14" s="146"/>
      <c r="AB14" s="146"/>
      <c r="AC14" s="146"/>
      <c r="AD14" s="146"/>
    </row>
    <row r="15" spans="1:30" ht="15" x14ac:dyDescent="0.3">
      <c r="A15" s="146"/>
      <c r="B15" s="269"/>
      <c r="C15" s="270"/>
      <c r="D15" s="270"/>
      <c r="E15" s="270"/>
      <c r="F15" s="270"/>
      <c r="G15" s="267"/>
      <c r="H15" s="267"/>
      <c r="I15" s="267"/>
      <c r="J15" s="267"/>
      <c r="K15" s="267"/>
      <c r="L15" s="268"/>
      <c r="M15" s="146"/>
      <c r="N15" s="146"/>
      <c r="O15" s="55"/>
      <c r="P15" s="321"/>
      <c r="Q15" s="54"/>
      <c r="R15" s="323"/>
      <c r="S15" s="69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</row>
    <row r="16" spans="1:30" ht="15" x14ac:dyDescent="0.3">
      <c r="A16" s="146"/>
      <c r="B16" s="266" t="s">
        <v>338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8"/>
      <c r="M16" s="146"/>
      <c r="N16" s="146"/>
      <c r="O16" s="55"/>
      <c r="P16" s="54"/>
      <c r="Q16" s="54"/>
      <c r="R16" s="54"/>
      <c r="S16" s="69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</row>
    <row r="17" spans="1:30" ht="15" x14ac:dyDescent="0.3">
      <c r="A17" s="146"/>
      <c r="B17" s="266"/>
      <c r="C17" s="267"/>
      <c r="D17" s="267"/>
      <c r="E17" s="267"/>
      <c r="F17" s="267"/>
      <c r="G17" s="267"/>
      <c r="H17" s="267"/>
      <c r="I17" s="267"/>
      <c r="J17" s="267"/>
      <c r="K17" s="267"/>
      <c r="L17" s="268"/>
      <c r="M17" s="146"/>
      <c r="N17" s="146"/>
      <c r="O17" s="55"/>
      <c r="P17" s="64" t="s">
        <v>23</v>
      </c>
      <c r="Q17" s="54"/>
      <c r="R17" s="65" t="s">
        <v>6</v>
      </c>
      <c r="S17" s="69"/>
      <c r="T17" s="146"/>
      <c r="U17" s="75" t="s">
        <v>5</v>
      </c>
      <c r="V17" s="146"/>
      <c r="W17" s="146"/>
      <c r="X17" s="146"/>
      <c r="Y17" s="146"/>
      <c r="Z17" s="146"/>
      <c r="AA17" s="146"/>
      <c r="AB17" s="146"/>
      <c r="AC17" s="146"/>
      <c r="AD17" s="146"/>
    </row>
    <row r="18" spans="1:30" ht="15" x14ac:dyDescent="0.3">
      <c r="A18" s="146"/>
      <c r="B18" s="271" t="s">
        <v>339</v>
      </c>
      <c r="C18" s="267"/>
      <c r="D18" s="267"/>
      <c r="E18" s="267"/>
      <c r="F18" s="267"/>
      <c r="G18" s="267"/>
      <c r="H18" s="267"/>
      <c r="I18" s="267"/>
      <c r="J18" s="267"/>
      <c r="K18" s="267"/>
      <c r="L18" s="268"/>
      <c r="M18" s="146"/>
      <c r="N18" s="146"/>
      <c r="O18" s="55"/>
      <c r="P18" s="54"/>
      <c r="Q18" s="54"/>
      <c r="R18" s="54"/>
      <c r="S18" s="69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</row>
    <row r="19" spans="1:30" ht="15" x14ac:dyDescent="0.3">
      <c r="A19" s="146"/>
      <c r="B19" s="266"/>
      <c r="C19" s="267"/>
      <c r="D19" s="267"/>
      <c r="E19" s="267"/>
      <c r="F19" s="267"/>
      <c r="G19" s="267"/>
      <c r="H19" s="267"/>
      <c r="I19" s="267"/>
      <c r="J19" s="267"/>
      <c r="K19" s="267"/>
      <c r="L19" s="268"/>
      <c r="M19" s="146"/>
      <c r="N19" s="146"/>
      <c r="O19" s="55"/>
      <c r="P19" s="320" t="s">
        <v>23</v>
      </c>
      <c r="Q19" s="54"/>
      <c r="R19" s="314" t="s">
        <v>284</v>
      </c>
      <c r="S19" s="69"/>
      <c r="T19" s="146"/>
      <c r="U19" s="77" t="s">
        <v>219</v>
      </c>
      <c r="V19" s="146"/>
      <c r="W19" s="146"/>
      <c r="X19" s="146"/>
      <c r="Y19" s="146"/>
      <c r="Z19" s="146"/>
      <c r="AA19" s="146"/>
      <c r="AB19" s="146"/>
      <c r="AC19" s="146"/>
      <c r="AD19" s="146"/>
    </row>
    <row r="20" spans="1:30" ht="15" x14ac:dyDescent="0.3">
      <c r="A20" s="146"/>
      <c r="B20" s="272" t="s">
        <v>340</v>
      </c>
      <c r="C20" s="273"/>
      <c r="D20" s="273"/>
      <c r="E20" s="273"/>
      <c r="F20" s="273"/>
      <c r="G20" s="267"/>
      <c r="H20" s="267"/>
      <c r="I20" s="267"/>
      <c r="J20" s="267"/>
      <c r="K20" s="267"/>
      <c r="L20" s="268"/>
      <c r="M20" s="146"/>
      <c r="N20" s="146"/>
      <c r="O20" s="55"/>
      <c r="P20" s="321"/>
      <c r="Q20" s="73" t="s">
        <v>235</v>
      </c>
      <c r="R20" s="316"/>
      <c r="S20" s="69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</row>
    <row r="21" spans="1:30" ht="15" customHeight="1" x14ac:dyDescent="0.3">
      <c r="A21" s="146"/>
      <c r="B21" s="266"/>
      <c r="C21" s="333" t="s">
        <v>347</v>
      </c>
      <c r="D21" s="333"/>
      <c r="E21" s="333"/>
      <c r="F21" s="333"/>
      <c r="G21" s="333"/>
      <c r="H21" s="333"/>
      <c r="I21" s="333"/>
      <c r="J21" s="333"/>
      <c r="K21" s="333"/>
      <c r="L21" s="268"/>
      <c r="M21" s="146"/>
      <c r="N21" s="146"/>
      <c r="O21" s="55"/>
      <c r="P21" s="70"/>
      <c r="Q21" s="70"/>
      <c r="R21" s="54"/>
      <c r="S21" s="69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</row>
    <row r="22" spans="1:30" ht="15" x14ac:dyDescent="0.3">
      <c r="A22" s="146"/>
      <c r="B22" s="266"/>
      <c r="C22" s="332" t="s">
        <v>341</v>
      </c>
      <c r="D22" s="332"/>
      <c r="E22" s="332"/>
      <c r="F22" s="332"/>
      <c r="G22" s="332"/>
      <c r="H22" s="332"/>
      <c r="I22" s="332"/>
      <c r="J22" s="332"/>
      <c r="K22" s="332"/>
      <c r="L22" s="268"/>
      <c r="M22" s="146"/>
      <c r="N22" s="146"/>
      <c r="O22" s="55"/>
      <c r="P22" s="66" t="s">
        <v>227</v>
      </c>
      <c r="Q22" s="54"/>
      <c r="R22" s="324" t="s">
        <v>228</v>
      </c>
      <c r="S22" s="69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</row>
    <row r="23" spans="1:30" ht="15" x14ac:dyDescent="0.3">
      <c r="A23" s="146"/>
      <c r="B23" s="274"/>
      <c r="C23" s="332"/>
      <c r="D23" s="332"/>
      <c r="E23" s="332"/>
      <c r="F23" s="332"/>
      <c r="G23" s="332"/>
      <c r="H23" s="332"/>
      <c r="I23" s="332"/>
      <c r="J23" s="332"/>
      <c r="K23" s="332"/>
      <c r="L23" s="268"/>
      <c r="M23" s="146"/>
      <c r="N23" s="146"/>
      <c r="O23" s="55"/>
      <c r="P23" s="57"/>
      <c r="Q23" s="54"/>
      <c r="R23" s="325"/>
      <c r="S23" s="69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</row>
    <row r="24" spans="1:30" ht="15" x14ac:dyDescent="0.3">
      <c r="A24" s="146"/>
      <c r="B24" s="266"/>
      <c r="C24" s="178"/>
      <c r="D24" s="178"/>
      <c r="E24" s="178"/>
      <c r="F24" s="178"/>
      <c r="G24" s="178"/>
      <c r="H24" s="178"/>
      <c r="I24" s="178"/>
      <c r="J24" s="178"/>
      <c r="K24" s="178"/>
      <c r="L24" s="268"/>
      <c r="M24" s="146"/>
      <c r="N24" s="146"/>
      <c r="O24" s="55"/>
      <c r="P24" s="66" t="s">
        <v>229</v>
      </c>
      <c r="Q24" s="54"/>
      <c r="R24" s="325"/>
      <c r="S24" s="69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</row>
    <row r="25" spans="1:30" ht="14.25" x14ac:dyDescent="0.3">
      <c r="A25" s="146"/>
      <c r="B25" s="275" t="s">
        <v>350</v>
      </c>
      <c r="C25" s="178"/>
      <c r="D25" s="178"/>
      <c r="E25" s="178"/>
      <c r="F25" s="178"/>
      <c r="G25" s="178"/>
      <c r="H25" s="178"/>
      <c r="I25" s="178"/>
      <c r="J25" s="178"/>
      <c r="K25" s="178"/>
      <c r="L25" s="276"/>
      <c r="M25" s="146"/>
      <c r="N25" s="146"/>
      <c r="O25" s="55"/>
      <c r="P25" s="57"/>
      <c r="Q25" s="54"/>
      <c r="R25" s="325"/>
      <c r="S25" s="69"/>
      <c r="T25" s="146"/>
      <c r="U25" s="75" t="s">
        <v>8</v>
      </c>
      <c r="V25" s="146"/>
      <c r="W25" s="146"/>
      <c r="X25" s="146"/>
      <c r="Y25" s="146"/>
      <c r="Z25" s="146"/>
      <c r="AA25" s="146"/>
      <c r="AB25" s="146"/>
      <c r="AC25" s="146"/>
      <c r="AD25" s="146"/>
    </row>
    <row r="26" spans="1:30" ht="14.25" x14ac:dyDescent="0.3">
      <c r="A26" s="146"/>
      <c r="B26" s="277" t="s">
        <v>351</v>
      </c>
      <c r="C26" s="178"/>
      <c r="D26" s="178"/>
      <c r="E26" s="178"/>
      <c r="F26" s="178"/>
      <c r="G26" s="178"/>
      <c r="H26" s="178"/>
      <c r="I26" s="178"/>
      <c r="J26" s="178"/>
      <c r="K26" s="178"/>
      <c r="L26" s="276"/>
      <c r="M26" s="146"/>
      <c r="N26" s="146"/>
      <c r="O26" s="55"/>
      <c r="P26" s="57"/>
      <c r="Q26" s="54"/>
      <c r="R26" s="325"/>
      <c r="S26" s="69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</row>
    <row r="27" spans="1:30" ht="14.25" x14ac:dyDescent="0.3">
      <c r="A27" s="146"/>
      <c r="B27" s="277" t="s">
        <v>352</v>
      </c>
      <c r="C27" s="178"/>
      <c r="D27" s="178"/>
      <c r="E27" s="178"/>
      <c r="F27" s="178"/>
      <c r="G27" s="178"/>
      <c r="H27" s="178"/>
      <c r="I27" s="178"/>
      <c r="J27" s="178"/>
      <c r="K27" s="178"/>
      <c r="L27" s="276"/>
      <c r="M27" s="146"/>
      <c r="N27" s="146"/>
      <c r="O27" s="55"/>
      <c r="P27" s="57"/>
      <c r="Q27" s="54"/>
      <c r="R27" s="325"/>
      <c r="S27" s="69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</row>
    <row r="28" spans="1:30" ht="14.25" x14ac:dyDescent="0.3">
      <c r="A28" s="146"/>
      <c r="B28" s="277" t="s">
        <v>353</v>
      </c>
      <c r="C28" s="178"/>
      <c r="D28" s="178"/>
      <c r="E28" s="178"/>
      <c r="F28" s="178"/>
      <c r="G28" s="178"/>
      <c r="H28" s="178"/>
      <c r="I28" s="178"/>
      <c r="J28" s="178"/>
      <c r="K28" s="178"/>
      <c r="L28" s="276"/>
      <c r="M28" s="146"/>
      <c r="N28" s="146"/>
      <c r="O28" s="55"/>
      <c r="P28" s="66" t="s">
        <v>230</v>
      </c>
      <c r="Q28" s="54"/>
      <c r="R28" s="326"/>
      <c r="S28" s="69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</row>
    <row r="29" spans="1:30" ht="14.25" x14ac:dyDescent="0.3">
      <c r="A29" s="146"/>
      <c r="B29" s="278"/>
      <c r="C29" s="178"/>
      <c r="D29" s="178"/>
      <c r="E29" s="178"/>
      <c r="F29" s="178"/>
      <c r="G29" s="178"/>
      <c r="H29" s="178"/>
      <c r="I29" s="178"/>
      <c r="J29" s="178"/>
      <c r="K29" s="178"/>
      <c r="L29" s="276"/>
      <c r="M29" s="146"/>
      <c r="N29" s="146"/>
      <c r="O29" s="55"/>
      <c r="P29" s="54"/>
      <c r="Q29" s="54"/>
      <c r="R29" s="54"/>
      <c r="S29" s="69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</row>
    <row r="30" spans="1:30" ht="15" x14ac:dyDescent="0.3">
      <c r="A30" s="146"/>
      <c r="B30" s="279" t="s">
        <v>348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8"/>
      <c r="M30" s="146"/>
      <c r="N30" s="146"/>
      <c r="O30" s="55"/>
      <c r="P30" s="54"/>
      <c r="Q30" s="54"/>
      <c r="R30" s="314" t="s">
        <v>240</v>
      </c>
      <c r="S30" s="69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</row>
    <row r="31" spans="1:30" ht="15" x14ac:dyDescent="0.3">
      <c r="A31" s="146"/>
      <c r="B31" s="274" t="s">
        <v>349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8"/>
      <c r="M31" s="146"/>
      <c r="N31" s="146"/>
      <c r="O31" s="55"/>
      <c r="P31" s="64" t="s">
        <v>23</v>
      </c>
      <c r="Q31" s="54"/>
      <c r="R31" s="315"/>
      <c r="S31" s="69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</row>
    <row r="32" spans="1:30" ht="15" x14ac:dyDescent="0.3">
      <c r="A32" s="146"/>
      <c r="B32" s="266"/>
      <c r="C32" s="267"/>
      <c r="D32" s="267"/>
      <c r="E32" s="267"/>
      <c r="F32" s="267"/>
      <c r="G32" s="267"/>
      <c r="H32" s="267"/>
      <c r="I32" s="267"/>
      <c r="J32" s="267"/>
      <c r="K32" s="267"/>
      <c r="L32" s="268"/>
      <c r="M32" s="146"/>
      <c r="N32" s="146"/>
      <c r="O32" s="55"/>
      <c r="P32" s="54"/>
      <c r="Q32" s="72" t="s">
        <v>236</v>
      </c>
      <c r="R32" s="316"/>
      <c r="S32" s="69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</row>
    <row r="33" spans="1:30" ht="15" x14ac:dyDescent="0.3">
      <c r="A33" s="146"/>
      <c r="B33" s="272" t="s">
        <v>342</v>
      </c>
      <c r="C33" s="267"/>
      <c r="D33" s="267"/>
      <c r="E33" s="267"/>
      <c r="F33" s="267"/>
      <c r="G33" s="267"/>
      <c r="H33" s="267"/>
      <c r="I33" s="267"/>
      <c r="J33" s="267"/>
      <c r="K33" s="267"/>
      <c r="L33" s="268"/>
      <c r="M33" s="146"/>
      <c r="N33" s="146"/>
      <c r="O33" s="55"/>
      <c r="P33" s="54"/>
      <c r="Q33" s="54"/>
      <c r="R33" s="54"/>
      <c r="S33" s="69"/>
      <c r="T33" s="146"/>
      <c r="U33" s="56" t="s">
        <v>219</v>
      </c>
      <c r="V33" s="146"/>
      <c r="W33" s="146"/>
      <c r="X33" s="146"/>
      <c r="Y33" s="146"/>
      <c r="Z33" s="146"/>
      <c r="AA33" s="146"/>
      <c r="AB33" s="146"/>
      <c r="AC33" s="146"/>
      <c r="AD33" s="146"/>
    </row>
    <row r="34" spans="1:30" ht="15" x14ac:dyDescent="0.3">
      <c r="A34" s="146"/>
      <c r="B34" s="274" t="s">
        <v>343</v>
      </c>
      <c r="C34" s="267"/>
      <c r="D34" s="267"/>
      <c r="E34" s="267"/>
      <c r="F34" s="267"/>
      <c r="G34" s="267"/>
      <c r="H34" s="267"/>
      <c r="I34" s="267"/>
      <c r="J34" s="267"/>
      <c r="K34" s="267"/>
      <c r="L34" s="268"/>
      <c r="M34" s="146"/>
      <c r="N34" s="146"/>
      <c r="O34" s="55"/>
      <c r="P34" s="54"/>
      <c r="Q34" s="54"/>
      <c r="R34" s="314" t="s">
        <v>231</v>
      </c>
      <c r="S34" s="69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</row>
    <row r="35" spans="1:30" ht="15" x14ac:dyDescent="0.3">
      <c r="A35" s="146"/>
      <c r="B35" s="266"/>
      <c r="C35" s="280" t="s">
        <v>344</v>
      </c>
      <c r="D35" s="267"/>
      <c r="E35" s="267"/>
      <c r="F35" s="267"/>
      <c r="G35" s="267"/>
      <c r="H35" s="267"/>
      <c r="I35" s="267"/>
      <c r="J35" s="267"/>
      <c r="K35" s="267"/>
      <c r="L35" s="268"/>
      <c r="M35" s="146"/>
      <c r="N35" s="146"/>
      <c r="O35" s="55"/>
      <c r="P35" s="64" t="s">
        <v>232</v>
      </c>
      <c r="Q35" s="61"/>
      <c r="R35" s="315"/>
      <c r="S35" s="69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</row>
    <row r="36" spans="1:30" ht="15" x14ac:dyDescent="0.3">
      <c r="A36" s="146"/>
      <c r="B36" s="266"/>
      <c r="C36" s="280" t="s">
        <v>345</v>
      </c>
      <c r="D36" s="267"/>
      <c r="E36" s="267"/>
      <c r="F36" s="267"/>
      <c r="G36" s="267"/>
      <c r="H36" s="267"/>
      <c r="I36" s="267"/>
      <c r="J36" s="267"/>
      <c r="K36" s="267"/>
      <c r="L36" s="268"/>
      <c r="M36" s="146"/>
      <c r="N36" s="146"/>
      <c r="O36" s="55"/>
      <c r="P36" s="54"/>
      <c r="Q36" s="72" t="s">
        <v>237</v>
      </c>
      <c r="R36" s="316"/>
      <c r="S36" s="69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</row>
    <row r="37" spans="1:30" ht="15.75" thickBot="1" x14ac:dyDescent="0.35">
      <c r="A37" s="146"/>
      <c r="B37" s="281"/>
      <c r="C37" s="282"/>
      <c r="D37" s="283"/>
      <c r="E37" s="283"/>
      <c r="F37" s="283"/>
      <c r="G37" s="283"/>
      <c r="H37" s="283"/>
      <c r="I37" s="283"/>
      <c r="J37" s="283"/>
      <c r="K37" s="283"/>
      <c r="L37" s="284"/>
      <c r="M37" s="146"/>
      <c r="N37" s="146"/>
      <c r="O37" s="55"/>
      <c r="P37" s="54"/>
      <c r="Q37" s="54"/>
      <c r="R37" s="54"/>
      <c r="S37" s="69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</row>
    <row r="38" spans="1:30" ht="14.25" x14ac:dyDescent="0.3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55"/>
      <c r="P38" s="67" t="s">
        <v>227</v>
      </c>
      <c r="Q38" s="54"/>
      <c r="R38" s="317" t="s">
        <v>241</v>
      </c>
      <c r="S38" s="69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</row>
    <row r="39" spans="1:30" ht="14.25" x14ac:dyDescent="0.3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55"/>
      <c r="P39" s="57"/>
      <c r="Q39" s="54"/>
      <c r="R39" s="318"/>
      <c r="S39" s="69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</row>
    <row r="40" spans="1:30" ht="14.25" customHeight="1" x14ac:dyDescent="0.3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55"/>
      <c r="P40" s="67" t="s">
        <v>233</v>
      </c>
      <c r="Q40" s="54"/>
      <c r="R40" s="318"/>
      <c r="S40" s="69"/>
      <c r="T40" s="146"/>
      <c r="U40" s="75" t="s">
        <v>218</v>
      </c>
      <c r="V40" s="146"/>
      <c r="W40" s="146"/>
      <c r="X40" s="146"/>
      <c r="Y40" s="146"/>
      <c r="Z40" s="146"/>
      <c r="AA40" s="146"/>
      <c r="AB40" s="146"/>
      <c r="AC40" s="146"/>
      <c r="AD40" s="146"/>
    </row>
    <row r="41" spans="1:30" ht="14.25" x14ac:dyDescent="0.3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55"/>
      <c r="P41" s="57"/>
      <c r="Q41" s="54"/>
      <c r="R41" s="318"/>
      <c r="S41" s="69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</row>
    <row r="42" spans="1:30" ht="14.25" x14ac:dyDescent="0.3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55"/>
      <c r="P42" s="67" t="s">
        <v>234</v>
      </c>
      <c r="Q42" s="54"/>
      <c r="R42" s="319"/>
      <c r="S42" s="69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</row>
    <row r="43" spans="1:30" ht="14.25" x14ac:dyDescent="0.3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53"/>
      <c r="P43" s="52"/>
      <c r="Q43" s="52"/>
      <c r="R43" s="52"/>
      <c r="S43" s="71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</row>
    <row r="44" spans="1:30" x14ac:dyDescent="0.2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</row>
    <row r="45" spans="1:30" x14ac:dyDescent="0.2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</row>
    <row r="46" spans="1:30" x14ac:dyDescent="0.2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</row>
    <row r="47" spans="1:30" x14ac:dyDescent="0.2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</row>
    <row r="48" spans="1:30" x14ac:dyDescent="0.2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</row>
    <row r="49" spans="1:30" x14ac:dyDescent="0.2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</row>
    <row r="50" spans="1:30" x14ac:dyDescent="0.2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</row>
    <row r="51" spans="1:30" x14ac:dyDescent="0.2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</row>
    <row r="52" spans="1:30" x14ac:dyDescent="0.2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</row>
    <row r="53" spans="1:30" x14ac:dyDescent="0.2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</row>
    <row r="54" spans="1:30" x14ac:dyDescent="0.2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</row>
    <row r="55" spans="1:30" x14ac:dyDescent="0.2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</row>
    <row r="56" spans="1:30" x14ac:dyDescent="0.2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</row>
    <row r="57" spans="1:30" x14ac:dyDescent="0.2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</row>
    <row r="58" spans="1:30" x14ac:dyDescent="0.2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</row>
  </sheetData>
  <sheetProtection selectLockedCells="1" selectUnlockedCells="1"/>
  <mergeCells count="13">
    <mergeCell ref="B2:G4"/>
    <mergeCell ref="B5:I8"/>
    <mergeCell ref="B13:L14"/>
    <mergeCell ref="C22:K23"/>
    <mergeCell ref="C21:K21"/>
    <mergeCell ref="R30:R32"/>
    <mergeCell ref="R34:R36"/>
    <mergeCell ref="R38:R42"/>
    <mergeCell ref="P14:P15"/>
    <mergeCell ref="R14:R15"/>
    <mergeCell ref="P19:P20"/>
    <mergeCell ref="R19:R20"/>
    <mergeCell ref="R22:R28"/>
  </mergeCells>
  <hyperlinks>
    <hyperlink ref="U14" location="Bosbouw!A1" display="Landbouw"/>
    <hyperlink ref="U33" location="Transport!A1" display="Transport"/>
    <hyperlink ref="U19" location="Transport!A1" display="Transport"/>
    <hyperlink ref="U25" location="'Bewerking 2'!A1" display="Bewerking 2"/>
    <hyperlink ref="U40" location="Productie!A1" display="Productie"/>
    <hyperlink ref="U17" location="'Bewerking 1'!A1" display="Bewerking 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1"/>
  <sheetViews>
    <sheetView zoomScale="85" zoomScaleNormal="85" workbookViewId="0">
      <selection activeCell="Q10" sqref="Q10"/>
    </sheetView>
  </sheetViews>
  <sheetFormatPr defaultRowHeight="15" x14ac:dyDescent="0.3"/>
  <cols>
    <col min="1" max="1" width="9.140625" style="254"/>
    <col min="2" max="3" width="9.140625" style="243" customWidth="1"/>
    <col min="4" max="4" width="13.28515625" style="243" bestFit="1" customWidth="1"/>
    <col min="5" max="5" width="30" style="243" bestFit="1" customWidth="1"/>
    <col min="6" max="6" width="14" style="243" bestFit="1" customWidth="1"/>
    <col min="7" max="7" width="15.5703125" style="243" customWidth="1"/>
    <col min="8" max="8" width="12.140625" style="243" customWidth="1"/>
    <col min="9" max="9" width="9.85546875" style="243" customWidth="1"/>
    <col min="10" max="10" width="23.42578125" style="243" bestFit="1" customWidth="1"/>
    <col min="11" max="12" width="3.7109375" style="243" customWidth="1"/>
    <col min="13" max="13" width="9.140625" style="254"/>
    <col min="14" max="14" width="3.7109375" style="254" customWidth="1"/>
    <col min="15" max="39" width="9.140625" style="254"/>
    <col min="40" max="16384" width="9.140625" style="243"/>
  </cols>
  <sheetData>
    <row r="1" spans="2:13" x14ac:dyDescent="0.3"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2:13" x14ac:dyDescent="0.3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2:13" x14ac:dyDescent="0.3">
      <c r="B3" s="242"/>
      <c r="C3" s="250"/>
      <c r="D3" s="250"/>
      <c r="E3" s="250"/>
      <c r="F3" s="250"/>
      <c r="G3" s="250"/>
      <c r="H3" s="250"/>
      <c r="I3" s="250"/>
      <c r="J3" s="250"/>
      <c r="K3" s="250"/>
      <c r="L3" s="242"/>
    </row>
    <row r="4" spans="2:13" ht="15" customHeight="1" x14ac:dyDescent="0.3">
      <c r="B4" s="242"/>
      <c r="C4" s="250"/>
      <c r="D4" s="336" t="s">
        <v>0</v>
      </c>
      <c r="E4" s="336" t="s">
        <v>1</v>
      </c>
      <c r="F4" s="334" t="s">
        <v>331</v>
      </c>
      <c r="G4" s="334" t="s">
        <v>336</v>
      </c>
      <c r="H4" s="334" t="s">
        <v>332</v>
      </c>
      <c r="I4" s="253"/>
      <c r="J4" s="334" t="s">
        <v>335</v>
      </c>
      <c r="K4" s="253"/>
      <c r="L4" s="242"/>
    </row>
    <row r="5" spans="2:13" x14ac:dyDescent="0.3">
      <c r="B5" s="242"/>
      <c r="C5" s="250"/>
      <c r="D5" s="336"/>
      <c r="E5" s="336"/>
      <c r="F5" s="334"/>
      <c r="G5" s="334"/>
      <c r="H5" s="334"/>
      <c r="I5" s="253"/>
      <c r="J5" s="334" t="s">
        <v>2</v>
      </c>
      <c r="K5" s="253"/>
      <c r="L5" s="242"/>
    </row>
    <row r="6" spans="2:13" ht="19.5" customHeight="1" x14ac:dyDescent="0.3">
      <c r="B6" s="242"/>
      <c r="C6" s="250"/>
      <c r="D6" s="336"/>
      <c r="E6" s="336"/>
      <c r="F6" s="334"/>
      <c r="G6" s="334"/>
      <c r="H6" s="334"/>
      <c r="I6" s="253"/>
      <c r="J6" s="334"/>
      <c r="K6" s="253"/>
      <c r="L6" s="242"/>
    </row>
    <row r="7" spans="2:13" ht="19.5" customHeight="1" x14ac:dyDescent="0.3">
      <c r="B7" s="242"/>
      <c r="C7" s="250"/>
      <c r="D7" s="259"/>
      <c r="E7" s="259"/>
      <c r="F7" s="260"/>
      <c r="G7" s="334"/>
      <c r="H7" s="260"/>
      <c r="I7" s="253"/>
      <c r="J7" s="260"/>
      <c r="K7" s="253"/>
      <c r="L7" s="242"/>
    </row>
    <row r="8" spans="2:13" x14ac:dyDescent="0.3">
      <c r="B8" s="242"/>
      <c r="C8" s="250"/>
      <c r="D8" s="252" t="s">
        <v>3</v>
      </c>
      <c r="E8" s="252" t="str">
        <f>+Overzicht!R14</f>
        <v>Bosbouw en dunnen</v>
      </c>
      <c r="F8" s="245">
        <f>+Massabalans!H10</f>
        <v>3.9535009816635021</v>
      </c>
      <c r="G8" s="246">
        <f>+'Allocatie en resultaat'!I12</f>
        <v>0.69626899612480075</v>
      </c>
      <c r="H8" s="247">
        <f>+IF(D20="economisch",'Allocatie en resultaat'!F12,'Allocatie en resultaat'!F13)</f>
        <v>1</v>
      </c>
      <c r="I8" s="253"/>
      <c r="J8" s="245">
        <f>G8*H8</f>
        <v>0.69626899612480075</v>
      </c>
      <c r="K8" s="253"/>
      <c r="L8" s="242"/>
    </row>
    <row r="9" spans="2:13" x14ac:dyDescent="0.3">
      <c r="B9" s="242"/>
      <c r="C9" s="250"/>
      <c r="D9" s="252" t="s">
        <v>5</v>
      </c>
      <c r="E9" s="252" t="str">
        <f>+Overzicht!R17</f>
        <v>Chippen</v>
      </c>
      <c r="F9" s="245">
        <f>+Massabalans!H16</f>
        <v>3.8546634571219145</v>
      </c>
      <c r="G9" s="246">
        <f>+'Allocatie en resultaat'!I19</f>
        <v>1.8106716136633151E-2</v>
      </c>
      <c r="H9" s="247">
        <f>+IF(D20="economisch",'Allocatie en resultaat'!F19,'Allocatie en resultaat'!F20)</f>
        <v>1</v>
      </c>
      <c r="I9" s="253"/>
      <c r="J9" s="245">
        <f>+G9*H9+J8</f>
        <v>0.71437571226143393</v>
      </c>
      <c r="K9" s="253"/>
      <c r="L9" s="242"/>
    </row>
    <row r="10" spans="2:13" x14ac:dyDescent="0.3">
      <c r="B10" s="242"/>
      <c r="C10" s="250"/>
      <c r="D10" s="252" t="s">
        <v>7</v>
      </c>
      <c r="E10" s="252" t="str">
        <f>+Overzicht!R19</f>
        <v>Chips transport over weg</v>
      </c>
      <c r="F10" s="245">
        <f>+Massabalans!H16</f>
        <v>3.8546634571219145</v>
      </c>
      <c r="G10" s="246">
        <f>+'Allocatie en resultaat'!I22</f>
        <v>5.9205432778760322E-2</v>
      </c>
      <c r="H10" s="247">
        <f>+IF(D20="economisch",'Allocatie en resultaat'!F22,'Allocatie en resultaat'!F23)</f>
        <v>1</v>
      </c>
      <c r="I10" s="253"/>
      <c r="J10" s="245">
        <f t="shared" ref="J10:J14" si="0">+G10*H10+J9</f>
        <v>0.77358114504019426</v>
      </c>
      <c r="K10" s="253"/>
      <c r="L10" s="242"/>
    </row>
    <row r="11" spans="2:13" x14ac:dyDescent="0.3">
      <c r="B11" s="242"/>
      <c r="C11" s="250"/>
      <c r="D11" s="252" t="s">
        <v>8</v>
      </c>
      <c r="E11" s="252" t="str">
        <f>+Overzicht!R22</f>
        <v>Drogen en pelletsieren</v>
      </c>
      <c r="F11" s="245">
        <f>+Massabalans!H25</f>
        <v>2.1170880549583284</v>
      </c>
      <c r="G11" s="246">
        <f>+'Allocatie en resultaat'!I29</f>
        <v>0.21767999166498525</v>
      </c>
      <c r="H11" s="247">
        <f>+IF(D20="economisch",'Allocatie en resultaat'!F29,'Allocatie en resultaat'!F30)</f>
        <v>1</v>
      </c>
      <c r="I11" s="253"/>
      <c r="J11" s="245">
        <f t="shared" si="0"/>
        <v>0.99126113670517957</v>
      </c>
      <c r="K11" s="253"/>
      <c r="L11" s="242"/>
    </row>
    <row r="12" spans="2:13" x14ac:dyDescent="0.3">
      <c r="B12" s="242"/>
      <c r="C12" s="250"/>
      <c r="D12" s="252" t="s">
        <v>7</v>
      </c>
      <c r="E12" s="252" t="str">
        <f>+Overzicht!R30</f>
        <v>Pellet transport over weg</v>
      </c>
      <c r="F12" s="245">
        <f>+Massabalans!H25</f>
        <v>2.1170880549583284</v>
      </c>
      <c r="G12" s="246">
        <f>+'Allocatie en resultaat'!I32</f>
        <v>5.3578151385743344E-2</v>
      </c>
      <c r="H12" s="247">
        <f>+IF(D20="economisch",'Allocatie en resultaat'!F32,'Allocatie en resultaat'!F33)</f>
        <v>1</v>
      </c>
      <c r="I12" s="253"/>
      <c r="J12" s="245">
        <f>+G12*H12+J11</f>
        <v>1.044839288090923</v>
      </c>
      <c r="K12" s="253"/>
      <c r="L12" s="242"/>
    </row>
    <row r="13" spans="2:13" x14ac:dyDescent="0.3">
      <c r="B13" s="242"/>
      <c r="C13" s="250"/>
      <c r="D13" s="252" t="s">
        <v>7</v>
      </c>
      <c r="E13" s="252" t="str">
        <f>+Overzicht!R34</f>
        <v>Pellet transport zeeschip</v>
      </c>
      <c r="F13" s="245">
        <f>+Massabalans!H33</f>
        <v>2.0959171744087453</v>
      </c>
      <c r="G13" s="246">
        <f>+'Allocatie en resultaat'!I37</f>
        <v>0.20992010455208723</v>
      </c>
      <c r="H13" s="247">
        <f>+IF(D20="economisch",'Allocatie en resultaat'!F37,'Allocatie en resultaat'!F38)</f>
        <v>1</v>
      </c>
      <c r="I13" s="253"/>
      <c r="J13" s="245">
        <f t="shared" si="0"/>
        <v>1.2547593926430103</v>
      </c>
      <c r="K13" s="253"/>
      <c r="L13" s="242"/>
      <c r="M13" s="255"/>
    </row>
    <row r="14" spans="2:13" x14ac:dyDescent="0.3">
      <c r="B14" s="242"/>
      <c r="C14" s="250"/>
      <c r="D14" s="252" t="s">
        <v>9</v>
      </c>
      <c r="E14" s="252" t="str">
        <f>+Overzicht!R38</f>
        <v>Vergassing en methanol productie</v>
      </c>
      <c r="F14" s="245">
        <f>+Massabalans!H39</f>
        <v>1</v>
      </c>
      <c r="G14" s="246">
        <f>+'Allocatie en resultaat'!I44</f>
        <v>6.3318636666666678E-2</v>
      </c>
      <c r="H14" s="247">
        <f>+IF(D20="economisch",'Allocatie en resultaat'!E44,'Allocatie en resultaat'!E45)</f>
        <v>1</v>
      </c>
      <c r="I14" s="253"/>
      <c r="J14" s="245">
        <f t="shared" si="0"/>
        <v>1.318078029309677</v>
      </c>
      <c r="K14" s="253"/>
      <c r="L14" s="242"/>
    </row>
    <row r="15" spans="2:13" x14ac:dyDescent="0.3">
      <c r="B15" s="248"/>
      <c r="C15" s="251"/>
      <c r="D15" s="253"/>
      <c r="E15" s="253"/>
      <c r="F15" s="253"/>
      <c r="G15" s="253"/>
      <c r="H15" s="253"/>
      <c r="I15" s="253"/>
      <c r="J15" s="253"/>
      <c r="K15" s="253"/>
      <c r="L15" s="242"/>
    </row>
    <row r="16" spans="2:13" x14ac:dyDescent="0.3">
      <c r="B16" s="242"/>
      <c r="C16" s="250"/>
      <c r="D16" s="253"/>
      <c r="E16" s="253"/>
      <c r="F16" s="253"/>
      <c r="G16" s="253"/>
      <c r="H16" s="253"/>
      <c r="I16" s="253"/>
      <c r="J16" s="253"/>
      <c r="K16" s="253"/>
      <c r="L16" s="242"/>
    </row>
    <row r="17" spans="2:12" ht="16.5" x14ac:dyDescent="0.35">
      <c r="B17" s="242"/>
      <c r="C17" s="242"/>
      <c r="D17" s="248"/>
      <c r="E17" s="248"/>
      <c r="F17" s="248" t="s">
        <v>333</v>
      </c>
      <c r="G17" s="335" t="s">
        <v>334</v>
      </c>
      <c r="H17" s="335"/>
      <c r="I17" s="335"/>
      <c r="J17" s="249">
        <f>J14</f>
        <v>1.318078029309677</v>
      </c>
      <c r="K17" s="248"/>
      <c r="L17" s="248"/>
    </row>
    <row r="18" spans="2:12" x14ac:dyDescent="0.3"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</row>
    <row r="19" spans="2:12" x14ac:dyDescent="0.3"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</row>
    <row r="20" spans="2:12" x14ac:dyDescent="0.3">
      <c r="B20" s="244" t="s">
        <v>221</v>
      </c>
      <c r="D20" s="292" t="s">
        <v>287</v>
      </c>
      <c r="E20" s="254"/>
      <c r="F20" s="254"/>
      <c r="G20" s="254"/>
      <c r="H20" s="254"/>
      <c r="I20" s="254"/>
      <c r="J20" s="254"/>
      <c r="K20" s="254"/>
      <c r="L20" s="254"/>
    </row>
    <row r="21" spans="2:12" x14ac:dyDescent="0.3"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</row>
    <row r="22" spans="2:12" x14ac:dyDescent="0.3"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</row>
    <row r="23" spans="2:12" x14ac:dyDescent="0.3"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</row>
    <row r="24" spans="2:12" x14ac:dyDescent="0.3"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</row>
    <row r="25" spans="2:12" x14ac:dyDescent="0.3"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</row>
    <row r="26" spans="2:12" x14ac:dyDescent="0.3"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</row>
    <row r="27" spans="2:12" x14ac:dyDescent="0.3"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</row>
    <row r="28" spans="2:12" x14ac:dyDescent="0.3"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</row>
    <row r="29" spans="2:12" x14ac:dyDescent="0.3"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</row>
    <row r="30" spans="2:12" x14ac:dyDescent="0.3"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</row>
    <row r="31" spans="2:12" x14ac:dyDescent="0.3"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</row>
    <row r="32" spans="2:12" x14ac:dyDescent="0.3"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</row>
    <row r="33" spans="2:12" x14ac:dyDescent="0.3"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</row>
    <row r="34" spans="2:12" x14ac:dyDescent="0.3"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</row>
    <row r="35" spans="2:12" x14ac:dyDescent="0.3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2:12" x14ac:dyDescent="0.3"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</row>
    <row r="37" spans="2:12" x14ac:dyDescent="0.3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</row>
    <row r="38" spans="2:12" x14ac:dyDescent="0.3"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</row>
    <row r="39" spans="2:12" x14ac:dyDescent="0.3"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</row>
    <row r="40" spans="2:12" x14ac:dyDescent="0.3"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</row>
    <row r="41" spans="2:12" x14ac:dyDescent="0.3"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</row>
    <row r="42" spans="2:12" x14ac:dyDescent="0.3"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</row>
    <row r="43" spans="2:12" x14ac:dyDescent="0.3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</row>
    <row r="44" spans="2:12" x14ac:dyDescent="0.3"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</row>
    <row r="45" spans="2:12" x14ac:dyDescent="0.3"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</row>
    <row r="46" spans="2:12" x14ac:dyDescent="0.3"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</row>
    <row r="47" spans="2:12" x14ac:dyDescent="0.3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</row>
    <row r="48" spans="2:12" x14ac:dyDescent="0.3"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</row>
    <row r="49" spans="2:12" x14ac:dyDescent="0.3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</row>
    <row r="50" spans="2:12" x14ac:dyDescent="0.3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</row>
    <row r="51" spans="2:12" x14ac:dyDescent="0.3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</row>
  </sheetData>
  <mergeCells count="7">
    <mergeCell ref="J4:J6"/>
    <mergeCell ref="G17:I17"/>
    <mergeCell ref="G4:G7"/>
    <mergeCell ref="D4:D6"/>
    <mergeCell ref="E4:E6"/>
    <mergeCell ref="F4:F6"/>
    <mergeCell ref="H4:H6"/>
  </mergeCells>
  <dataValidations count="1">
    <dataValidation type="list" operator="equal" allowBlank="1" showErrorMessage="1" sqref="D20">
      <formula1>"energetisch,economisch"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9"/>
  <sheetViews>
    <sheetView zoomScale="90" zoomScaleNormal="90" workbookViewId="0">
      <selection activeCell="A29" sqref="A29"/>
    </sheetView>
  </sheetViews>
  <sheetFormatPr defaultRowHeight="14.25" x14ac:dyDescent="0.3"/>
  <cols>
    <col min="1" max="1" width="9.140625" style="107"/>
    <col min="2" max="2" width="3.7109375" style="107" customWidth="1"/>
    <col min="3" max="3" width="9.140625" style="107"/>
    <col min="4" max="4" width="18.7109375" style="107" bestFit="1" customWidth="1"/>
    <col min="5" max="6" width="9.140625" style="107"/>
    <col min="7" max="7" width="6.7109375" style="107" customWidth="1"/>
    <col min="8" max="8" width="9.140625" style="107"/>
    <col min="9" max="9" width="13.7109375" style="107" customWidth="1"/>
    <col min="10" max="10" width="9.140625" style="107"/>
    <col min="11" max="11" width="3.7109375" style="107" customWidth="1"/>
    <col min="12" max="12" width="36.5703125" style="107" customWidth="1"/>
    <col min="13" max="13" width="3.7109375" style="80" customWidth="1"/>
    <col min="14" max="14" width="9.140625" style="168"/>
    <col min="15" max="15" width="38.28515625" style="168" bestFit="1" customWidth="1"/>
    <col min="16" max="29" width="9.140625" style="168"/>
    <col min="30" max="16384" width="9.140625" style="107"/>
  </cols>
  <sheetData>
    <row r="1" spans="1:19" x14ac:dyDescent="0.3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18"/>
    </row>
    <row r="2" spans="1:19" ht="20.100000000000001" customHeight="1" x14ac:dyDescent="0.3">
      <c r="A2" s="145"/>
      <c r="B2" s="357" t="s">
        <v>281</v>
      </c>
      <c r="C2" s="357"/>
      <c r="D2" s="357"/>
      <c r="E2" s="145"/>
      <c r="F2" s="145"/>
      <c r="G2" s="145"/>
      <c r="H2" s="145"/>
      <c r="I2" s="145"/>
      <c r="J2" s="145"/>
      <c r="K2" s="145"/>
      <c r="L2" s="145"/>
      <c r="M2" s="118"/>
      <c r="O2" s="170" t="s">
        <v>288</v>
      </c>
    </row>
    <row r="3" spans="1:19" ht="20.100000000000001" customHeight="1" x14ac:dyDescent="0.3">
      <c r="A3" s="145"/>
      <c r="B3" s="357"/>
      <c r="C3" s="357"/>
      <c r="D3" s="357"/>
      <c r="E3" s="145"/>
      <c r="F3" s="145"/>
      <c r="G3" s="145"/>
      <c r="H3" s="145"/>
      <c r="I3" s="145"/>
      <c r="J3" s="145"/>
      <c r="K3" s="145"/>
      <c r="L3" s="145"/>
      <c r="M3" s="118"/>
    </row>
    <row r="4" spans="1:19" x14ac:dyDescent="0.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18"/>
    </row>
    <row r="5" spans="1:19" x14ac:dyDescent="0.3">
      <c r="A5" s="145"/>
      <c r="B5" s="86"/>
      <c r="C5" s="86"/>
      <c r="D5" s="86"/>
      <c r="E5" s="86"/>
      <c r="F5" s="86"/>
      <c r="G5" s="86"/>
      <c r="H5" s="86"/>
      <c r="I5" s="86"/>
      <c r="J5" s="86"/>
      <c r="K5" s="86"/>
      <c r="L5" s="145"/>
      <c r="M5" s="118"/>
    </row>
    <row r="6" spans="1:19" x14ac:dyDescent="0.3">
      <c r="A6" s="145"/>
      <c r="B6" s="86"/>
      <c r="C6" s="54"/>
      <c r="D6" s="54"/>
      <c r="E6" s="54"/>
      <c r="F6" s="54"/>
      <c r="G6" s="54"/>
      <c r="H6" s="54"/>
      <c r="I6" s="54"/>
      <c r="J6" s="54"/>
      <c r="K6" s="86"/>
      <c r="L6" s="145"/>
      <c r="M6" s="118"/>
      <c r="O6" s="147" t="s">
        <v>274</v>
      </c>
      <c r="P6" s="148"/>
      <c r="Q6" s="149"/>
    </row>
    <row r="7" spans="1:19" ht="12.75" customHeight="1" thickBot="1" x14ac:dyDescent="0.35">
      <c r="A7" s="145"/>
      <c r="B7" s="86"/>
      <c r="C7" s="110"/>
      <c r="D7" s="106" t="s">
        <v>280</v>
      </c>
      <c r="E7" s="54"/>
      <c r="F7" s="54"/>
      <c r="G7" s="54"/>
      <c r="H7" s="364" t="str">
        <f>+Overzicht!R14</f>
        <v>Bosbouw en dunnen</v>
      </c>
      <c r="I7" s="365"/>
      <c r="J7" s="110"/>
      <c r="K7" s="86"/>
      <c r="L7" s="145"/>
      <c r="M7" s="118"/>
      <c r="O7" s="150"/>
      <c r="P7" s="151"/>
      <c r="Q7" s="152"/>
    </row>
    <row r="8" spans="1:19" ht="12.75" customHeight="1" thickBot="1" x14ac:dyDescent="0.35">
      <c r="A8" s="145"/>
      <c r="B8" s="86"/>
      <c r="C8" s="110"/>
      <c r="D8" s="108" t="s">
        <v>244</v>
      </c>
      <c r="E8" s="112">
        <v>0.4</v>
      </c>
      <c r="F8" s="109"/>
      <c r="G8" s="54"/>
      <c r="H8" s="366"/>
      <c r="I8" s="367"/>
      <c r="J8" s="110"/>
      <c r="K8" s="86"/>
      <c r="L8" s="145"/>
      <c r="M8" s="118"/>
      <c r="O8" s="150"/>
      <c r="P8" s="151"/>
      <c r="Q8" s="152"/>
    </row>
    <row r="9" spans="1:19" ht="12.75" customHeight="1" x14ac:dyDescent="0.3">
      <c r="A9" s="145"/>
      <c r="B9" s="86"/>
      <c r="C9" s="110"/>
      <c r="D9" s="110"/>
      <c r="E9" s="110"/>
      <c r="F9" s="110"/>
      <c r="G9" s="54"/>
      <c r="H9" s="368"/>
      <c r="I9" s="369"/>
      <c r="J9" s="110"/>
      <c r="K9" s="86"/>
      <c r="L9" s="145"/>
      <c r="M9" s="118"/>
      <c r="O9" s="150" t="s">
        <v>249</v>
      </c>
      <c r="P9" s="151"/>
      <c r="Q9" s="152"/>
    </row>
    <row r="10" spans="1:19" ht="12.75" customHeight="1" x14ac:dyDescent="0.3">
      <c r="A10" s="145"/>
      <c r="B10" s="86"/>
      <c r="C10" s="110"/>
      <c r="D10" s="110"/>
      <c r="E10" s="110"/>
      <c r="F10" s="110"/>
      <c r="G10" s="54"/>
      <c r="H10" s="349">
        <f>+H16/E14</f>
        <v>3.9535009816635021</v>
      </c>
      <c r="I10" s="322" t="s">
        <v>248</v>
      </c>
      <c r="J10" s="110"/>
      <c r="K10" s="86"/>
      <c r="L10" s="145"/>
      <c r="M10" s="118"/>
      <c r="O10" s="150" t="s">
        <v>250</v>
      </c>
      <c r="P10" s="153">
        <f>+E8</f>
        <v>0.4</v>
      </c>
      <c r="Q10" s="152"/>
    </row>
    <row r="11" spans="1:19" ht="12.75" customHeight="1" x14ac:dyDescent="0.3">
      <c r="A11" s="145"/>
      <c r="B11" s="86"/>
      <c r="C11" s="110"/>
      <c r="D11" s="110"/>
      <c r="E11" s="110"/>
      <c r="F11" s="110"/>
      <c r="G11" s="54"/>
      <c r="H11" s="350"/>
      <c r="I11" s="323"/>
      <c r="J11" s="110"/>
      <c r="K11" s="86"/>
      <c r="L11" s="145"/>
      <c r="M11" s="118"/>
      <c r="O11" s="150" t="s">
        <v>251</v>
      </c>
      <c r="P11" s="153">
        <v>0.1</v>
      </c>
      <c r="Q11" s="152"/>
    </row>
    <row r="12" spans="1:19" x14ac:dyDescent="0.3">
      <c r="A12" s="145"/>
      <c r="B12" s="86"/>
      <c r="C12" s="110"/>
      <c r="D12" s="110"/>
      <c r="E12" s="110"/>
      <c r="F12" s="110"/>
      <c r="G12" s="54"/>
      <c r="H12" s="104"/>
      <c r="J12" s="110"/>
      <c r="K12" s="86"/>
      <c r="L12" s="145"/>
      <c r="M12" s="118"/>
      <c r="O12" s="150" t="s">
        <v>252</v>
      </c>
      <c r="P12" s="153">
        <v>0.05</v>
      </c>
      <c r="Q12" s="152"/>
    </row>
    <row r="13" spans="1:19" ht="13.5" customHeight="1" thickBot="1" x14ac:dyDescent="0.35">
      <c r="A13" s="145"/>
      <c r="B13" s="86"/>
      <c r="C13" s="110"/>
      <c r="D13" s="106" t="s">
        <v>280</v>
      </c>
      <c r="E13" s="54"/>
      <c r="F13" s="54"/>
      <c r="G13" s="54"/>
      <c r="H13" s="343" t="str">
        <f>+Overzicht!R17</f>
        <v>Chippen</v>
      </c>
      <c r="I13" s="344"/>
      <c r="J13" s="110"/>
      <c r="K13" s="86"/>
      <c r="L13" s="145"/>
      <c r="M13" s="118"/>
      <c r="O13" s="150" t="s">
        <v>255</v>
      </c>
      <c r="P13" s="151">
        <v>4.5</v>
      </c>
      <c r="Q13" s="152"/>
    </row>
    <row r="14" spans="1:19" ht="13.5" customHeight="1" thickBot="1" x14ac:dyDescent="0.35">
      <c r="A14" s="145"/>
      <c r="B14" s="86"/>
      <c r="C14" s="110"/>
      <c r="D14" s="108" t="s">
        <v>243</v>
      </c>
      <c r="E14" s="120">
        <v>0.97499999999999998</v>
      </c>
      <c r="F14" s="109"/>
      <c r="G14" s="54"/>
      <c r="H14" s="345"/>
      <c r="I14" s="346"/>
      <c r="J14" s="110"/>
      <c r="K14" s="86"/>
      <c r="L14" s="145"/>
      <c r="M14" s="118"/>
      <c r="O14" s="150"/>
      <c r="P14" s="151"/>
      <c r="Q14" s="152"/>
    </row>
    <row r="15" spans="1:19" ht="13.5" customHeight="1" x14ac:dyDescent="0.3">
      <c r="A15" s="145"/>
      <c r="B15" s="86"/>
      <c r="C15" s="110"/>
      <c r="D15" s="110"/>
      <c r="E15" s="110"/>
      <c r="F15" s="110"/>
      <c r="G15" s="54"/>
      <c r="H15" s="347"/>
      <c r="I15" s="348"/>
      <c r="J15" s="110"/>
      <c r="K15" s="86"/>
      <c r="L15" s="145"/>
      <c r="M15" s="118"/>
      <c r="O15" s="150" t="s">
        <v>253</v>
      </c>
      <c r="P15" s="154">
        <f>P16*(1-P10)-2.44*P10</f>
        <v>10.004000000000001</v>
      </c>
      <c r="Q15" s="152"/>
    </row>
    <row r="16" spans="1:19" ht="13.5" customHeight="1" x14ac:dyDescent="0.3">
      <c r="A16" s="145"/>
      <c r="B16" s="86"/>
      <c r="C16" s="110"/>
      <c r="D16" s="110"/>
      <c r="E16" s="110"/>
      <c r="F16" s="110"/>
      <c r="G16" s="54"/>
      <c r="H16" s="349">
        <f>+H25/Q36</f>
        <v>3.8546634571219145</v>
      </c>
      <c r="I16" s="324" t="s">
        <v>245</v>
      </c>
      <c r="J16" s="110"/>
      <c r="K16" s="86"/>
      <c r="L16" s="145"/>
      <c r="M16" s="118"/>
      <c r="O16" s="150" t="s">
        <v>254</v>
      </c>
      <c r="P16" s="151">
        <v>18.3</v>
      </c>
      <c r="Q16" s="152"/>
      <c r="R16" s="169"/>
      <c r="S16" s="169"/>
    </row>
    <row r="17" spans="1:19" ht="13.5" customHeight="1" x14ac:dyDescent="0.3">
      <c r="A17" s="145"/>
      <c r="B17" s="86"/>
      <c r="C17" s="110"/>
      <c r="D17" s="110"/>
      <c r="E17" s="110"/>
      <c r="F17" s="110"/>
      <c r="G17" s="54"/>
      <c r="H17" s="350"/>
      <c r="I17" s="326"/>
      <c r="J17" s="110"/>
      <c r="K17" s="86"/>
      <c r="L17" s="145"/>
      <c r="M17" s="118"/>
      <c r="O17" s="150"/>
      <c r="P17" s="151"/>
      <c r="Q17" s="152"/>
      <c r="R17" s="169"/>
      <c r="S17" s="169"/>
    </row>
    <row r="18" spans="1:19" x14ac:dyDescent="0.3">
      <c r="A18" s="145"/>
      <c r="B18" s="86"/>
      <c r="C18" s="110"/>
      <c r="D18" s="110"/>
      <c r="E18" s="110"/>
      <c r="F18" s="110"/>
      <c r="G18" s="54"/>
      <c r="H18" s="104"/>
      <c r="J18" s="110"/>
      <c r="K18" s="86"/>
      <c r="L18" s="145"/>
      <c r="M18" s="118"/>
      <c r="O18" s="155" t="s">
        <v>256</v>
      </c>
      <c r="P18" s="156"/>
      <c r="Q18" s="157"/>
    </row>
    <row r="19" spans="1:19" ht="12.75" customHeight="1" x14ac:dyDescent="0.3">
      <c r="A19" s="145"/>
      <c r="B19" s="86"/>
      <c r="C19" s="110"/>
      <c r="D19" s="110"/>
      <c r="E19" s="110"/>
      <c r="F19" s="110"/>
      <c r="G19" s="54"/>
      <c r="H19" s="351" t="str">
        <f>+Overzicht!R19</f>
        <v>Chips transport over weg</v>
      </c>
      <c r="I19" s="352"/>
      <c r="J19" s="110"/>
      <c r="K19" s="86"/>
      <c r="L19" s="145"/>
      <c r="M19" s="118"/>
      <c r="O19" s="158" t="s">
        <v>257</v>
      </c>
      <c r="P19" s="151"/>
      <c r="Q19" s="152"/>
    </row>
    <row r="20" spans="1:19" ht="12.75" customHeight="1" x14ac:dyDescent="0.3">
      <c r="A20" s="145"/>
      <c r="B20" s="86"/>
      <c r="C20" s="110"/>
      <c r="D20" s="110"/>
      <c r="E20" s="110"/>
      <c r="F20" s="110"/>
      <c r="G20" s="54"/>
      <c r="H20" s="353"/>
      <c r="I20" s="354"/>
      <c r="J20" s="110"/>
      <c r="K20" s="86"/>
      <c r="L20" s="145"/>
      <c r="M20" s="118"/>
      <c r="O20" s="150" t="s">
        <v>258</v>
      </c>
      <c r="P20" s="154">
        <f>+P10*(1/(1-P10))</f>
        <v>0.66666666666666674</v>
      </c>
      <c r="Q20" s="159">
        <f>+P20/(1+P20)</f>
        <v>0.4</v>
      </c>
    </row>
    <row r="21" spans="1:19" x14ac:dyDescent="0.3">
      <c r="A21" s="145"/>
      <c r="B21" s="86"/>
      <c r="C21" s="110"/>
      <c r="D21" s="110"/>
      <c r="E21" s="110"/>
      <c r="F21" s="110"/>
      <c r="G21" s="54"/>
      <c r="H21" s="104"/>
      <c r="J21" s="110"/>
      <c r="K21" s="86"/>
      <c r="L21" s="145"/>
      <c r="M21" s="118"/>
      <c r="O21" s="150" t="s">
        <v>259</v>
      </c>
      <c r="P21" s="154">
        <f>+P11*(1/(1-P11))</f>
        <v>0.11111111111111112</v>
      </c>
      <c r="Q21" s="159">
        <f>+P21/(1+P20)</f>
        <v>6.6666666666666666E-2</v>
      </c>
    </row>
    <row r="22" spans="1:19" ht="12.75" customHeight="1" x14ac:dyDescent="0.3">
      <c r="A22" s="145"/>
      <c r="B22" s="86"/>
      <c r="C22" s="110"/>
      <c r="D22" s="110"/>
      <c r="E22" s="110"/>
      <c r="F22" s="110"/>
      <c r="G22" s="54"/>
      <c r="H22" s="358" t="str">
        <f>+Overzicht!R22</f>
        <v>Drogen en pelletsieren</v>
      </c>
      <c r="I22" s="359"/>
      <c r="J22" s="110"/>
      <c r="K22" s="86"/>
      <c r="L22" s="145"/>
      <c r="M22" s="118"/>
      <c r="O22" s="150" t="s">
        <v>260</v>
      </c>
      <c r="P22" s="154">
        <f>+P20-P21</f>
        <v>0.55555555555555558</v>
      </c>
      <c r="Q22" s="159">
        <f>+Q20-Q21</f>
        <v>0.33333333333333337</v>
      </c>
    </row>
    <row r="23" spans="1:19" ht="12.75" customHeight="1" x14ac:dyDescent="0.3">
      <c r="A23" s="145"/>
      <c r="B23" s="86"/>
      <c r="C23" s="110"/>
      <c r="D23" s="110"/>
      <c r="E23" s="110"/>
      <c r="F23" s="110"/>
      <c r="G23" s="54"/>
      <c r="H23" s="360"/>
      <c r="I23" s="361"/>
      <c r="J23" s="110"/>
      <c r="K23" s="86"/>
      <c r="L23" s="145"/>
      <c r="M23" s="118"/>
      <c r="O23" s="150"/>
      <c r="P23" s="151"/>
      <c r="Q23" s="152"/>
    </row>
    <row r="24" spans="1:19" ht="12.75" customHeight="1" x14ac:dyDescent="0.3">
      <c r="A24" s="145"/>
      <c r="B24" s="86"/>
      <c r="C24" s="110"/>
      <c r="D24" s="110"/>
      <c r="E24" s="110"/>
      <c r="F24" s="110"/>
      <c r="G24" s="54"/>
      <c r="H24" s="362"/>
      <c r="I24" s="363"/>
      <c r="J24" s="110"/>
      <c r="K24" s="86"/>
      <c r="L24" s="145"/>
      <c r="M24" s="118"/>
      <c r="O24" s="150" t="s">
        <v>261</v>
      </c>
      <c r="P24" s="151"/>
      <c r="Q24" s="152"/>
    </row>
    <row r="25" spans="1:19" ht="12.75" customHeight="1" x14ac:dyDescent="0.3">
      <c r="A25" s="145"/>
      <c r="B25" s="86"/>
      <c r="C25" s="110"/>
      <c r="D25" s="110"/>
      <c r="E25" s="110"/>
      <c r="F25" s="110"/>
      <c r="G25" s="54"/>
      <c r="H25" s="349">
        <f>+H33/E31</f>
        <v>2.1170880549583284</v>
      </c>
      <c r="I25" s="324" t="s">
        <v>246</v>
      </c>
      <c r="J25" s="110"/>
      <c r="K25" s="86"/>
      <c r="L25" s="145"/>
      <c r="M25" s="118"/>
      <c r="O25" s="150" t="s">
        <v>262</v>
      </c>
      <c r="P25" s="151">
        <f>+P13</f>
        <v>4.5</v>
      </c>
      <c r="Q25" s="152"/>
      <c r="R25" s="169"/>
    </row>
    <row r="26" spans="1:19" ht="12.75" customHeight="1" x14ac:dyDescent="0.3">
      <c r="A26" s="145"/>
      <c r="B26" s="86"/>
      <c r="C26" s="110"/>
      <c r="D26" s="110"/>
      <c r="E26" s="110"/>
      <c r="F26" s="110"/>
      <c r="G26" s="54"/>
      <c r="H26" s="350"/>
      <c r="I26" s="326"/>
      <c r="J26" s="110"/>
      <c r="K26" s="86"/>
      <c r="L26" s="145"/>
      <c r="M26" s="118"/>
      <c r="O26" s="150" t="s">
        <v>263</v>
      </c>
      <c r="P26" s="151">
        <f>+P22*P25</f>
        <v>2.5</v>
      </c>
      <c r="Q26" s="152">
        <f>+P25*Q22</f>
        <v>1.5000000000000002</v>
      </c>
      <c r="R26" s="169"/>
    </row>
    <row r="27" spans="1:19" x14ac:dyDescent="0.3">
      <c r="A27" s="145"/>
      <c r="B27" s="86"/>
      <c r="C27" s="110"/>
      <c r="D27" s="110"/>
      <c r="E27" s="110"/>
      <c r="F27" s="110"/>
      <c r="G27" s="54"/>
      <c r="H27" s="104"/>
      <c r="J27" s="110"/>
      <c r="K27" s="86"/>
      <c r="L27" s="145"/>
      <c r="M27" s="118"/>
      <c r="O27" s="150"/>
      <c r="P27" s="151"/>
      <c r="Q27" s="152"/>
      <c r="R27" s="169"/>
    </row>
    <row r="28" spans="1:19" ht="12.75" customHeight="1" x14ac:dyDescent="0.3">
      <c r="A28" s="145"/>
      <c r="B28" s="86"/>
      <c r="C28" s="110"/>
      <c r="D28" s="110"/>
      <c r="E28" s="110"/>
      <c r="F28" s="110"/>
      <c r="G28" s="54"/>
      <c r="H28" s="351" t="str">
        <f>+Overzicht!R30</f>
        <v>Pellet transport over weg</v>
      </c>
      <c r="I28" s="352"/>
      <c r="J28" s="110"/>
      <c r="K28" s="86"/>
      <c r="L28" s="145"/>
      <c r="M28" s="118"/>
      <c r="O28" s="150" t="s">
        <v>264</v>
      </c>
      <c r="P28" s="151"/>
      <c r="Q28" s="152"/>
      <c r="R28" s="169"/>
    </row>
    <row r="29" spans="1:19" ht="12.75" customHeight="1" x14ac:dyDescent="0.3">
      <c r="A29" s="145"/>
      <c r="B29" s="86"/>
      <c r="C29" s="110"/>
      <c r="D29" s="110"/>
      <c r="E29" s="110"/>
      <c r="F29" s="110"/>
      <c r="G29" s="54"/>
      <c r="H29" s="353"/>
      <c r="I29" s="354"/>
      <c r="J29" s="110"/>
      <c r="K29" s="86"/>
      <c r="L29" s="145"/>
      <c r="M29" s="118"/>
      <c r="O29" s="150" t="s">
        <v>265</v>
      </c>
      <c r="P29" s="154">
        <f>+P26/P15</f>
        <v>0.24990003998400637</v>
      </c>
      <c r="Q29" s="152"/>
      <c r="R29" s="169"/>
    </row>
    <row r="30" spans="1:19" ht="15" thickBot="1" x14ac:dyDescent="0.35">
      <c r="A30" s="145"/>
      <c r="B30" s="86"/>
      <c r="C30" s="110"/>
      <c r="D30" s="110"/>
      <c r="E30" s="110"/>
      <c r="F30" s="110"/>
      <c r="G30" s="54"/>
      <c r="H30" s="104"/>
      <c r="J30" s="110"/>
      <c r="K30" s="86"/>
      <c r="L30" s="145"/>
      <c r="M30" s="118"/>
      <c r="O30" s="150" t="s">
        <v>266</v>
      </c>
      <c r="P30" s="160">
        <f>+P29*(1-P10)</f>
        <v>0.14994002399040382</v>
      </c>
      <c r="Q30" s="152"/>
      <c r="R30" s="169"/>
    </row>
    <row r="31" spans="1:19" ht="12.75" customHeight="1" thickBot="1" x14ac:dyDescent="0.35">
      <c r="A31" s="145"/>
      <c r="B31" s="86"/>
      <c r="C31" s="110"/>
      <c r="D31" s="108" t="s">
        <v>243</v>
      </c>
      <c r="E31" s="120">
        <v>0.99</v>
      </c>
      <c r="F31" s="109"/>
      <c r="G31" s="54"/>
      <c r="H31" s="351" t="str">
        <f>+Overzicht!R34</f>
        <v>Pellet transport zeeschip</v>
      </c>
      <c r="I31" s="352"/>
      <c r="J31" s="110"/>
      <c r="K31" s="86"/>
      <c r="L31" s="145"/>
      <c r="M31" s="118"/>
      <c r="O31" s="150" t="s">
        <v>267</v>
      </c>
      <c r="P31" s="160">
        <f>1/(1+P30)</f>
        <v>0.86961057023643951</v>
      </c>
      <c r="Q31" s="152"/>
      <c r="R31" s="169"/>
    </row>
    <row r="32" spans="1:19" ht="12.75" customHeight="1" x14ac:dyDescent="0.3">
      <c r="A32" s="145"/>
      <c r="B32" s="86"/>
      <c r="C32" s="110"/>
      <c r="D32" s="110"/>
      <c r="E32" s="110"/>
      <c r="F32" s="110"/>
      <c r="G32" s="54"/>
      <c r="H32" s="353"/>
      <c r="I32" s="354"/>
      <c r="J32" s="110"/>
      <c r="K32" s="86"/>
      <c r="L32" s="145"/>
      <c r="M32" s="119"/>
      <c r="O32" s="150"/>
      <c r="P32" s="151"/>
      <c r="Q32" s="152"/>
      <c r="R32" s="169"/>
    </row>
    <row r="33" spans="1:19" ht="12.75" customHeight="1" x14ac:dyDescent="0.3">
      <c r="A33" s="145"/>
      <c r="B33" s="86"/>
      <c r="C33" s="110"/>
      <c r="D33" s="110"/>
      <c r="E33" s="110"/>
      <c r="F33" s="110"/>
      <c r="G33" s="54"/>
      <c r="H33" s="355">
        <f>+H39*P44/E37/P47</f>
        <v>2.0959171744087453</v>
      </c>
      <c r="I33" s="314" t="s">
        <v>246</v>
      </c>
      <c r="J33" s="110"/>
      <c r="K33" s="86"/>
      <c r="L33" s="145"/>
      <c r="M33" s="119"/>
      <c r="O33" s="150" t="s">
        <v>268</v>
      </c>
      <c r="P33" s="151"/>
      <c r="Q33" s="152"/>
      <c r="R33" s="169"/>
    </row>
    <row r="34" spans="1:19" ht="12.75" customHeight="1" x14ac:dyDescent="0.3">
      <c r="A34" s="145"/>
      <c r="B34" s="86"/>
      <c r="C34" s="110"/>
      <c r="D34" s="110"/>
      <c r="E34" s="110"/>
      <c r="F34" s="110"/>
      <c r="G34" s="54"/>
      <c r="H34" s="356" t="e">
        <f>+H39*#REF!/#REF!/#REF!</f>
        <v>#REF!</v>
      </c>
      <c r="I34" s="316"/>
      <c r="J34" s="110"/>
      <c r="K34" s="86"/>
      <c r="L34" s="145"/>
      <c r="M34" s="119"/>
      <c r="O34" s="158" t="s">
        <v>269</v>
      </c>
      <c r="P34" s="153">
        <f>1-P10</f>
        <v>0.6</v>
      </c>
      <c r="Q34" s="159">
        <f>+P34*P31</f>
        <v>0.52176634214186368</v>
      </c>
    </row>
    <row r="35" spans="1:19" x14ac:dyDescent="0.3">
      <c r="A35" s="145"/>
      <c r="B35" s="86"/>
      <c r="C35" s="110"/>
      <c r="D35" s="110"/>
      <c r="E35" s="110"/>
      <c r="F35" s="110"/>
      <c r="G35" s="54"/>
      <c r="H35" s="104"/>
      <c r="J35" s="110"/>
      <c r="K35" s="86"/>
      <c r="L35" s="145"/>
      <c r="M35" s="119"/>
      <c r="O35" s="158" t="s">
        <v>270</v>
      </c>
      <c r="P35" s="153">
        <f>+P10</f>
        <v>0.4</v>
      </c>
      <c r="Q35" s="161">
        <f>+P12*Q34/(1-P12)</f>
        <v>2.7461386428519145E-2</v>
      </c>
    </row>
    <row r="36" spans="1:19" ht="12.75" customHeight="1" thickBot="1" x14ac:dyDescent="0.35">
      <c r="A36" s="145"/>
      <c r="B36" s="86"/>
      <c r="C36" s="110"/>
      <c r="D36" s="106" t="s">
        <v>242</v>
      </c>
      <c r="E36" s="111"/>
      <c r="F36" s="111"/>
      <c r="G36" s="110"/>
      <c r="H36" s="337" t="str">
        <f>+Overzicht!R38</f>
        <v>Vergassing en methanol productie</v>
      </c>
      <c r="I36" s="338"/>
      <c r="J36" s="110"/>
      <c r="K36" s="86"/>
      <c r="L36" s="145"/>
      <c r="M36" s="119"/>
      <c r="O36" s="150"/>
      <c r="P36" s="151"/>
      <c r="Q36" s="161">
        <f>SUM(Q34:Q35)</f>
        <v>0.54922772857038282</v>
      </c>
    </row>
    <row r="37" spans="1:19" ht="12.75" customHeight="1" thickBot="1" x14ac:dyDescent="0.35">
      <c r="A37" s="145"/>
      <c r="B37" s="86"/>
      <c r="C37" s="110"/>
      <c r="D37" s="108" t="s">
        <v>243</v>
      </c>
      <c r="E37" s="112">
        <v>0.55000000000000004</v>
      </c>
      <c r="F37" s="108"/>
      <c r="G37" s="110"/>
      <c r="H37" s="339"/>
      <c r="I37" s="340"/>
      <c r="J37" s="110"/>
      <c r="K37" s="86"/>
      <c r="L37" s="145"/>
      <c r="M37" s="119"/>
      <c r="O37" s="150" t="s">
        <v>271</v>
      </c>
      <c r="P37" s="151"/>
      <c r="Q37" s="152"/>
      <c r="R37" s="169"/>
    </row>
    <row r="38" spans="1:19" ht="12.75" customHeight="1" x14ac:dyDescent="0.3">
      <c r="A38" s="145"/>
      <c r="B38" s="86"/>
      <c r="C38" s="110"/>
      <c r="D38" s="110"/>
      <c r="E38" s="110"/>
      <c r="F38" s="110"/>
      <c r="G38" s="110"/>
      <c r="H38" s="341"/>
      <c r="I38" s="342"/>
      <c r="J38" s="110"/>
      <c r="K38" s="86"/>
      <c r="L38" s="145"/>
      <c r="M38" s="119"/>
      <c r="O38" s="150" t="s">
        <v>272</v>
      </c>
      <c r="P38" s="151">
        <f>+P10*1000</f>
        <v>400</v>
      </c>
      <c r="Q38" s="152"/>
      <c r="R38" s="169"/>
      <c r="S38" s="169"/>
    </row>
    <row r="39" spans="1:19" ht="18" x14ac:dyDescent="0.3">
      <c r="A39" s="145"/>
      <c r="B39" s="86"/>
      <c r="C39" s="110"/>
      <c r="D39" s="110"/>
      <c r="E39" s="110"/>
      <c r="F39" s="110"/>
      <c r="G39" s="110"/>
      <c r="H39" s="114">
        <v>1</v>
      </c>
      <c r="I39" s="113" t="s">
        <v>247</v>
      </c>
      <c r="J39" s="110"/>
      <c r="K39" s="86"/>
      <c r="L39" s="145"/>
      <c r="M39" s="119"/>
      <c r="O39" s="162" t="s">
        <v>273</v>
      </c>
      <c r="P39" s="163">
        <f>+P11*1000*(1-P10)/(1-P11)</f>
        <v>66.666666666666671</v>
      </c>
      <c r="Q39" s="164"/>
      <c r="R39" s="169"/>
      <c r="S39" s="169"/>
    </row>
    <row r="40" spans="1:19" x14ac:dyDescent="0.3">
      <c r="A40" s="145"/>
      <c r="B40" s="86"/>
      <c r="C40" s="110"/>
      <c r="D40" s="110"/>
      <c r="E40" s="110"/>
      <c r="F40" s="110"/>
      <c r="G40" s="110"/>
      <c r="H40" s="110"/>
      <c r="I40" s="110"/>
      <c r="J40" s="110"/>
      <c r="K40" s="86"/>
      <c r="L40" s="145"/>
      <c r="M40" s="119"/>
      <c r="S40" s="169"/>
    </row>
    <row r="41" spans="1:19" x14ac:dyDescent="0.3">
      <c r="A41" s="14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145"/>
      <c r="M41" s="119"/>
    </row>
    <row r="42" spans="1:19" x14ac:dyDescent="0.3">
      <c r="A42" s="145"/>
      <c r="B42" s="145"/>
      <c r="C42" s="145"/>
      <c r="D42" s="146"/>
      <c r="E42" s="146"/>
      <c r="F42" s="146"/>
      <c r="G42" s="146"/>
      <c r="H42" s="146"/>
      <c r="I42" s="146"/>
      <c r="J42" s="145"/>
      <c r="K42" s="145"/>
      <c r="L42" s="145"/>
      <c r="M42" s="119"/>
      <c r="O42" s="165" t="s">
        <v>275</v>
      </c>
      <c r="P42" s="148"/>
      <c r="Q42" s="149"/>
    </row>
    <row r="43" spans="1:19" x14ac:dyDescent="0.3">
      <c r="A43" s="145"/>
      <c r="B43" s="145"/>
      <c r="C43" s="145"/>
      <c r="D43" s="146"/>
      <c r="E43" s="146"/>
      <c r="F43" s="146"/>
      <c r="G43" s="145"/>
      <c r="H43" s="145"/>
      <c r="I43" s="145"/>
      <c r="J43" s="145"/>
      <c r="K43" s="145"/>
      <c r="L43" s="145"/>
      <c r="M43" s="119"/>
      <c r="O43" s="150"/>
      <c r="P43" s="151"/>
      <c r="Q43" s="152"/>
    </row>
    <row r="44" spans="1:19" x14ac:dyDescent="0.3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19"/>
      <c r="O44" s="150" t="s">
        <v>279</v>
      </c>
      <c r="P44" s="154">
        <v>19.899999999999999</v>
      </c>
      <c r="Q44" s="152"/>
    </row>
    <row r="45" spans="1:19" x14ac:dyDescent="0.3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19"/>
      <c r="O45" s="150" t="s">
        <v>276</v>
      </c>
      <c r="P45" s="151"/>
      <c r="Q45" s="152"/>
    </row>
    <row r="46" spans="1:19" x14ac:dyDescent="0.3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19"/>
      <c r="O46" s="158" t="s">
        <v>277</v>
      </c>
      <c r="P46" s="153">
        <f>+P12</f>
        <v>0.05</v>
      </c>
      <c r="Q46" s="152"/>
    </row>
    <row r="47" spans="1:19" x14ac:dyDescent="0.3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19"/>
      <c r="O47" s="166" t="s">
        <v>278</v>
      </c>
      <c r="P47" s="167">
        <f>18.3*(1-P46)-2.44*P46</f>
        <v>17.263000000000002</v>
      </c>
      <c r="Q47" s="164"/>
    </row>
    <row r="48" spans="1:19" x14ac:dyDescent="0.3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19"/>
    </row>
    <row r="49" spans="1:13" x14ac:dyDescent="0.3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19"/>
    </row>
    <row r="50" spans="1:13" x14ac:dyDescent="0.3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19"/>
    </row>
    <row r="51" spans="1:13" x14ac:dyDescent="0.3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19"/>
    </row>
    <row r="52" spans="1:13" x14ac:dyDescent="0.3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19"/>
    </row>
    <row r="53" spans="1:13" x14ac:dyDescent="0.3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19"/>
    </row>
    <row r="54" spans="1:13" x14ac:dyDescent="0.3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19"/>
    </row>
    <row r="55" spans="1:13" x14ac:dyDescent="0.3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19"/>
    </row>
    <row r="56" spans="1:13" x14ac:dyDescent="0.3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19"/>
    </row>
    <row r="57" spans="1:13" x14ac:dyDescent="0.3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19"/>
    </row>
    <row r="58" spans="1:13" x14ac:dyDescent="0.3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19"/>
    </row>
    <row r="59" spans="1:13" x14ac:dyDescent="0.3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19"/>
    </row>
    <row r="60" spans="1:13" x14ac:dyDescent="0.3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19"/>
    </row>
    <row r="61" spans="1:13" x14ac:dyDescent="0.3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19"/>
    </row>
    <row r="62" spans="1:13" x14ac:dyDescent="0.3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19"/>
    </row>
    <row r="63" spans="1:13" x14ac:dyDescent="0.3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19"/>
    </row>
    <row r="64" spans="1:13" x14ac:dyDescent="0.3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19"/>
    </row>
    <row r="65" spans="1:13" x14ac:dyDescent="0.3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19"/>
    </row>
    <row r="66" spans="1:13" x14ac:dyDescent="0.3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19"/>
    </row>
    <row r="67" spans="1:13" x14ac:dyDescent="0.3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19"/>
    </row>
    <row r="68" spans="1:13" x14ac:dyDescent="0.3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19"/>
    </row>
    <row r="69" spans="1:13" x14ac:dyDescent="0.3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19"/>
    </row>
  </sheetData>
  <protectedRanges>
    <protectedRange password="CF4C" sqref="E14" name="Rendement_chippen"/>
    <protectedRange password="CF4C" sqref="E8" name="Vochtgehalte_hout"/>
  </protectedRanges>
  <mergeCells count="16">
    <mergeCell ref="H10:H11"/>
    <mergeCell ref="I10:I11"/>
    <mergeCell ref="H33:H34"/>
    <mergeCell ref="I33:I34"/>
    <mergeCell ref="B2:D3"/>
    <mergeCell ref="H22:I24"/>
    <mergeCell ref="H7:I9"/>
    <mergeCell ref="H36:I38"/>
    <mergeCell ref="H13:I15"/>
    <mergeCell ref="H25:H26"/>
    <mergeCell ref="I25:I26"/>
    <mergeCell ref="H16:H17"/>
    <mergeCell ref="I16:I17"/>
    <mergeCell ref="H19:I20"/>
    <mergeCell ref="H28:I29"/>
    <mergeCell ref="H31:I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W79"/>
  <sheetViews>
    <sheetView tabSelected="1" topLeftCell="F1" zoomScale="85" zoomScaleNormal="85" workbookViewId="0">
      <selection activeCell="U10" sqref="U10"/>
    </sheetView>
  </sheetViews>
  <sheetFormatPr defaultColWidth="11.5703125" defaultRowHeight="12.75" x14ac:dyDescent="0.2"/>
  <cols>
    <col min="2" max="3" width="4.5703125" customWidth="1"/>
    <col min="4" max="4" width="36.5703125" customWidth="1"/>
    <col min="5" max="5" width="13.140625" bestFit="1" customWidth="1"/>
    <col min="6" max="6" width="12.42578125" bestFit="1" customWidth="1"/>
    <col min="7" max="7" width="6.7109375" customWidth="1"/>
    <col min="8" max="8" width="14.7109375" customWidth="1"/>
    <col min="9" max="9" width="6.5703125" customWidth="1"/>
    <col min="10" max="10" width="16.140625" bestFit="1" customWidth="1"/>
    <col min="11" max="11" width="4.7109375" customWidth="1"/>
    <col min="12" max="12" width="8.7109375" bestFit="1" customWidth="1"/>
    <col min="13" max="15" width="6.7109375" customWidth="1"/>
    <col min="16" max="16" width="46" customWidth="1"/>
    <col min="17" max="17" width="3.85546875" customWidth="1"/>
    <col min="19" max="19" width="4.7109375" style="80" customWidth="1"/>
    <col min="20" max="20" width="16.140625" bestFit="1" customWidth="1"/>
    <col min="21" max="21" width="22.42578125" bestFit="1" customWidth="1"/>
  </cols>
  <sheetData>
    <row r="1" spans="1:23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18"/>
      <c r="T1" s="293"/>
      <c r="U1" s="293"/>
      <c r="V1" s="293"/>
      <c r="W1" s="293"/>
    </row>
    <row r="2" spans="1:23" ht="20.100000000000001" customHeight="1" x14ac:dyDescent="0.2">
      <c r="A2" s="146"/>
      <c r="B2" s="357" t="s">
        <v>238</v>
      </c>
      <c r="C2" s="357"/>
      <c r="D2" s="357"/>
      <c r="E2" s="379" t="s">
        <v>362</v>
      </c>
      <c r="F2" s="380"/>
      <c r="G2" s="383" t="s">
        <v>360</v>
      </c>
      <c r="H2" s="146"/>
      <c r="I2" s="2" t="s">
        <v>10</v>
      </c>
      <c r="J2" s="2"/>
      <c r="O2" s="83">
        <f>+Massabalans!H10</f>
        <v>3.9535009816635021</v>
      </c>
      <c r="P2" s="7" t="s">
        <v>11</v>
      </c>
      <c r="Q2" s="146"/>
      <c r="R2" s="146"/>
      <c r="S2" s="118"/>
      <c r="T2" s="294" t="s">
        <v>357</v>
      </c>
      <c r="U2" s="294"/>
      <c r="V2" s="294"/>
      <c r="W2" s="294"/>
    </row>
    <row r="3" spans="1:23" ht="20.100000000000001" customHeight="1" x14ac:dyDescent="0.2">
      <c r="A3" s="146"/>
      <c r="B3" s="357"/>
      <c r="C3" s="357"/>
      <c r="D3" s="357"/>
      <c r="E3" s="381"/>
      <c r="F3" s="382"/>
      <c r="G3" s="384"/>
      <c r="H3" s="146"/>
      <c r="I3" s="2" t="s">
        <v>12</v>
      </c>
      <c r="J3" s="2"/>
      <c r="L3" s="3"/>
      <c r="O3" s="4">
        <f>IF(G2=T5,U3/1000,SUM(J13:J41)/1000)</f>
        <v>0.17611453730608001</v>
      </c>
      <c r="P3" s="7" t="s">
        <v>13</v>
      </c>
      <c r="Q3" s="146"/>
      <c r="R3" s="146"/>
      <c r="S3" s="118"/>
      <c r="T3" s="294" t="s">
        <v>358</v>
      </c>
      <c r="U3" s="295">
        <v>18.414417021825393</v>
      </c>
      <c r="V3" s="294" t="s">
        <v>361</v>
      </c>
      <c r="W3" s="294"/>
    </row>
    <row r="4" spans="1:23" x14ac:dyDescent="0.2">
      <c r="A4" s="146"/>
      <c r="B4" s="146"/>
      <c r="C4" s="146"/>
      <c r="D4" s="146"/>
      <c r="E4" s="171"/>
      <c r="F4" s="171"/>
      <c r="G4" s="172"/>
      <c r="H4" s="172"/>
      <c r="I4" s="172"/>
      <c r="J4" s="173"/>
      <c r="K4" s="146"/>
      <c r="L4" s="146"/>
      <c r="M4" s="146"/>
      <c r="N4" s="146"/>
      <c r="O4" s="146"/>
      <c r="P4" s="146"/>
      <c r="Q4" s="146"/>
      <c r="R4" s="146"/>
      <c r="S4" s="118"/>
      <c r="T4" s="294"/>
      <c r="U4" s="294"/>
      <c r="V4" s="294"/>
      <c r="W4" s="294"/>
    </row>
    <row r="5" spans="1:23" x14ac:dyDescent="0.2">
      <c r="A5" s="146"/>
      <c r="B5" s="1"/>
      <c r="C5" s="8"/>
      <c r="D5" s="8"/>
      <c r="E5" s="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6"/>
      <c r="S5" s="118"/>
      <c r="T5" s="294" t="s">
        <v>359</v>
      </c>
      <c r="U5" s="294"/>
      <c r="V5" s="294"/>
      <c r="W5" s="294"/>
    </row>
    <row r="6" spans="1:23" x14ac:dyDescent="0.2">
      <c r="A6" s="146"/>
      <c r="B6" s="1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1"/>
      <c r="R6" s="146"/>
      <c r="S6" s="118"/>
      <c r="T6" s="294" t="s">
        <v>360</v>
      </c>
      <c r="U6" s="294"/>
      <c r="V6" s="294"/>
      <c r="W6" s="294"/>
    </row>
    <row r="7" spans="1:23" ht="12.75" customHeight="1" x14ac:dyDescent="0.2">
      <c r="A7" s="146"/>
      <c r="B7" s="1"/>
      <c r="C7" s="87"/>
      <c r="D7" s="375" t="s">
        <v>225</v>
      </c>
      <c r="E7" s="375"/>
      <c r="F7" s="87"/>
      <c r="G7" s="87"/>
      <c r="H7" s="87"/>
      <c r="I7" s="87"/>
      <c r="J7" s="87"/>
      <c r="K7" s="87"/>
      <c r="L7" s="372" t="s">
        <v>14</v>
      </c>
      <c r="M7" s="372"/>
      <c r="N7" s="372"/>
      <c r="O7" s="87"/>
      <c r="P7" s="195" t="s">
        <v>22</v>
      </c>
      <c r="Q7" s="1"/>
      <c r="R7" s="146"/>
      <c r="S7" s="118"/>
      <c r="V7" s="370" t="s">
        <v>306</v>
      </c>
    </row>
    <row r="8" spans="1:23" x14ac:dyDescent="0.2">
      <c r="A8" s="146"/>
      <c r="B8" s="1"/>
      <c r="C8" s="87"/>
      <c r="D8" s="375" t="s">
        <v>224</v>
      </c>
      <c r="E8" s="375"/>
      <c r="F8" s="87"/>
      <c r="G8" s="87"/>
      <c r="H8" s="87"/>
      <c r="I8" s="87"/>
      <c r="J8" s="87"/>
      <c r="K8" s="87"/>
      <c r="L8" s="372"/>
      <c r="M8" s="372"/>
      <c r="N8" s="372"/>
      <c r="O8" s="87"/>
      <c r="P8" s="189"/>
      <c r="Q8" s="1"/>
      <c r="R8" s="146"/>
      <c r="S8" s="118"/>
      <c r="V8" s="370"/>
    </row>
    <row r="9" spans="1:23" x14ac:dyDescent="0.2">
      <c r="A9" s="146"/>
      <c r="B9" s="1"/>
      <c r="C9" s="87"/>
      <c r="D9" s="189"/>
      <c r="E9" s="87"/>
      <c r="F9" s="87"/>
      <c r="G9" s="87"/>
      <c r="H9" s="87"/>
      <c r="I9" s="87"/>
      <c r="J9" s="87"/>
      <c r="K9" s="87"/>
      <c r="L9" s="194" t="s">
        <v>18</v>
      </c>
      <c r="M9" s="194" t="s">
        <v>19</v>
      </c>
      <c r="N9" s="194" t="s">
        <v>20</v>
      </c>
      <c r="O9" s="87"/>
      <c r="P9" s="87"/>
      <c r="Q9" s="1"/>
      <c r="R9" s="146"/>
      <c r="S9" s="118"/>
      <c r="V9" s="370"/>
    </row>
    <row r="10" spans="1:23" x14ac:dyDescent="0.2">
      <c r="A10" s="146"/>
      <c r="B10" s="1"/>
      <c r="C10" s="87"/>
      <c r="D10" s="189"/>
      <c r="E10" s="87"/>
      <c r="F10" s="87"/>
      <c r="G10" s="87"/>
      <c r="H10" s="87"/>
      <c r="I10" s="87"/>
      <c r="J10" s="87"/>
      <c r="K10" s="87"/>
      <c r="L10" s="194"/>
      <c r="M10" s="194"/>
      <c r="N10" s="194"/>
      <c r="O10" s="87"/>
      <c r="P10" s="87"/>
      <c r="Q10" s="1"/>
      <c r="R10" s="146"/>
      <c r="S10" s="118"/>
      <c r="V10" s="370"/>
    </row>
    <row r="11" spans="1:23" x14ac:dyDescent="0.2">
      <c r="A11" s="146"/>
      <c r="B11" s="1"/>
      <c r="C11" s="87"/>
      <c r="D11" s="37" t="s">
        <v>15</v>
      </c>
      <c r="E11" s="87" t="s">
        <v>21</v>
      </c>
      <c r="F11" s="88" t="s">
        <v>16</v>
      </c>
      <c r="G11" s="87"/>
      <c r="H11" s="376" t="str">
        <f>+Overzicht!R14</f>
        <v>Bosbouw en dunnen</v>
      </c>
      <c r="I11" s="87"/>
      <c r="J11" s="224" t="s">
        <v>318</v>
      </c>
      <c r="K11" s="87"/>
      <c r="L11" s="87"/>
      <c r="M11" s="87"/>
      <c r="N11" s="87"/>
      <c r="O11" s="87"/>
      <c r="P11" s="87"/>
      <c r="Q11" s="1"/>
      <c r="R11" s="146"/>
      <c r="S11" s="118"/>
      <c r="U11" t="s">
        <v>307</v>
      </c>
      <c r="V11" s="191">
        <v>0.35934695970855318</v>
      </c>
    </row>
    <row r="12" spans="1:23" s="80" customFormat="1" x14ac:dyDescent="0.2">
      <c r="A12" s="146"/>
      <c r="B12" s="81"/>
      <c r="C12" s="87"/>
      <c r="D12" s="87"/>
      <c r="E12" s="87"/>
      <c r="F12" s="88"/>
      <c r="G12" s="87"/>
      <c r="H12" s="377"/>
      <c r="I12" s="87"/>
      <c r="J12" s="224" t="s">
        <v>319</v>
      </c>
      <c r="K12" s="87"/>
      <c r="L12" s="87"/>
      <c r="M12" s="87"/>
      <c r="N12" s="87"/>
      <c r="O12" s="87"/>
      <c r="P12" s="87"/>
      <c r="Q12" s="81"/>
      <c r="R12" s="146"/>
      <c r="S12" s="118"/>
      <c r="U12" t="s">
        <v>308</v>
      </c>
      <c r="V12" s="191">
        <v>0.28438275251888501</v>
      </c>
    </row>
    <row r="13" spans="1:23" ht="15" customHeight="1" x14ac:dyDescent="0.2">
      <c r="A13" s="146"/>
      <c r="B13" s="1"/>
      <c r="C13" s="87"/>
      <c r="D13" s="219" t="s">
        <v>23</v>
      </c>
      <c r="E13" s="208">
        <v>1.4E-3</v>
      </c>
      <c r="F13" s="40" t="str">
        <f>IF(D13="","",VLOOKUP(D13,'DB E'!$A$5:$H$29,2,0))</f>
        <v>liter</v>
      </c>
      <c r="G13" s="87"/>
      <c r="H13" s="377"/>
      <c r="I13" s="87"/>
      <c r="J13" s="41">
        <f>IF(G$2=T$5,0,SUMPRODUCT(L13:N13,L$45:N$45)*E13)</f>
        <v>4.7164211235555555</v>
      </c>
      <c r="K13" s="87"/>
      <c r="L13" s="198">
        <f>IF(D13=0,0,VLOOKUP(D13,'DB E'!$A$5:$H$29,5,0))</f>
        <v>3368.872231111111</v>
      </c>
      <c r="M13" s="199">
        <f>IF(D13=0,0,VLOOKUP(D13,'DB E'!$A$5:$H$29,6,0))</f>
        <v>0</v>
      </c>
      <c r="N13" s="199">
        <f>IF(D13=0,0,VLOOKUP(D13,'DB E'!$A$5:$H$29,7,0))</f>
        <v>0</v>
      </c>
      <c r="O13" s="87"/>
      <c r="P13" s="196" t="s">
        <v>24</v>
      </c>
      <c r="Q13" s="1"/>
      <c r="R13" s="146"/>
      <c r="S13" s="118"/>
      <c r="U13" t="s">
        <v>309</v>
      </c>
      <c r="V13" s="191">
        <v>0.2692468492854162</v>
      </c>
    </row>
    <row r="14" spans="1:23" ht="15" customHeight="1" x14ac:dyDescent="0.2">
      <c r="A14" s="146"/>
      <c r="B14" s="1"/>
      <c r="C14" s="87"/>
      <c r="D14" s="220"/>
      <c r="E14" s="209">
        <v>0</v>
      </c>
      <c r="F14" s="43" t="str">
        <f>IF(D14="","",VLOOKUP(D14,'DB E'!$A$5:$H$29,2,0))</f>
        <v/>
      </c>
      <c r="G14" s="87"/>
      <c r="H14" s="377"/>
      <c r="I14" s="87"/>
      <c r="J14" s="44">
        <f>IF(G$2=T$5,0,SUMPRODUCT(L14:N14,L$45:N$45)*E14)</f>
        <v>0</v>
      </c>
      <c r="K14" s="87"/>
      <c r="L14" s="198">
        <f>IF(D14=0,0,VLOOKUP(D14,'DB E'!$A$5:$H$29,5,0))</f>
        <v>0</v>
      </c>
      <c r="M14" s="199">
        <f>IF(D14=0,0,VLOOKUP(D14,'DB E'!$A$5:$H$29,6,0))</f>
        <v>0</v>
      </c>
      <c r="N14" s="199">
        <f>IF(D14=0,0,VLOOKUP(D14,'DB E'!$A$5:$H$29,7,0))</f>
        <v>0</v>
      </c>
      <c r="O14" s="87"/>
      <c r="P14" s="371" t="s">
        <v>239</v>
      </c>
      <c r="Q14" s="1"/>
      <c r="R14" s="146"/>
      <c r="S14" s="118"/>
      <c r="U14" s="9" t="s">
        <v>310</v>
      </c>
      <c r="V14" s="192">
        <v>0.24864330200559642</v>
      </c>
    </row>
    <row r="15" spans="1:23" s="9" customFormat="1" ht="15" customHeight="1" x14ac:dyDescent="0.2">
      <c r="A15" s="146"/>
      <c r="B15" s="1"/>
      <c r="C15" s="87"/>
      <c r="D15" s="220"/>
      <c r="E15" s="209">
        <v>0</v>
      </c>
      <c r="F15" s="43" t="str">
        <f>IF(D15="","",VLOOKUP(D15,'DB E'!$A$5:$H$29,2,0))</f>
        <v/>
      </c>
      <c r="G15" s="87"/>
      <c r="H15" s="377"/>
      <c r="I15" s="87"/>
      <c r="J15" s="44">
        <f>IF(G$2=T$5,0,SUMPRODUCT(L15:N15,L$45:N$45)*E15)</f>
        <v>0</v>
      </c>
      <c r="K15" s="87"/>
      <c r="L15" s="198">
        <f>IF(D15=0,0,VLOOKUP(D15,'DB E'!$A$5:$H$29,5,0))</f>
        <v>0</v>
      </c>
      <c r="M15" s="199">
        <f>IF(D15=0,0,VLOOKUP(D15,'DB E'!$A$5:$H$29,6,0))</f>
        <v>0</v>
      </c>
      <c r="N15" s="199">
        <f>IF(D15=0,0,VLOOKUP(D15,'DB E'!$A$5:$H$29,7,0))</f>
        <v>0</v>
      </c>
      <c r="O15" s="87"/>
      <c r="P15" s="371"/>
      <c r="Q15" s="1"/>
      <c r="R15" s="146"/>
      <c r="S15" s="118"/>
      <c r="U15" s="9" t="s">
        <v>311</v>
      </c>
      <c r="V15" s="192">
        <v>0.20930713065730822</v>
      </c>
    </row>
    <row r="16" spans="1:23" s="9" customFormat="1" ht="15" customHeight="1" x14ac:dyDescent="0.2">
      <c r="A16" s="146"/>
      <c r="B16" s="1"/>
      <c r="C16" s="87"/>
      <c r="D16" s="221"/>
      <c r="E16" s="210">
        <v>0</v>
      </c>
      <c r="F16" s="46" t="str">
        <f>IF(D16="","",VLOOKUP(D16,'DB E'!$A$5:$H$29,2,0))</f>
        <v/>
      </c>
      <c r="G16" s="87"/>
      <c r="H16" s="377"/>
      <c r="I16" s="87"/>
      <c r="J16" s="47">
        <f>IF(G$2=T$5,0,SUMPRODUCT(L16:N16,L$45:N$45)*E16)</f>
        <v>0</v>
      </c>
      <c r="K16" s="87"/>
      <c r="L16" s="198">
        <f>IF(D16=0,0,VLOOKUP(D16,'DB E'!$A$5:$H$29,5,0))</f>
        <v>0</v>
      </c>
      <c r="M16" s="199">
        <f>IF(D16=0,0,VLOOKUP(D16,'DB E'!$A$5:$H$29,6,0))</f>
        <v>0</v>
      </c>
      <c r="N16" s="199">
        <f>IF(D16=0,0,VLOOKUP(D16,'DB E'!$A$5:$H$29,7,0))</f>
        <v>0</v>
      </c>
      <c r="O16" s="87"/>
      <c r="P16" s="371"/>
      <c r="Q16" s="1"/>
      <c r="R16" s="146"/>
      <c r="S16" s="118"/>
      <c r="U16" s="9" t="s">
        <v>312</v>
      </c>
      <c r="V16" s="192">
        <v>0.19300534958481322</v>
      </c>
    </row>
    <row r="17" spans="1:22" s="9" customFormat="1" ht="15" customHeight="1" x14ac:dyDescent="0.2">
      <c r="A17" s="146"/>
      <c r="B17" s="1"/>
      <c r="C17" s="87"/>
      <c r="D17" s="87"/>
      <c r="E17" s="87"/>
      <c r="F17" s="87"/>
      <c r="G17" s="87"/>
      <c r="H17" s="377"/>
      <c r="I17" s="87"/>
      <c r="J17" s="63"/>
      <c r="K17" s="87"/>
      <c r="L17" s="87"/>
      <c r="M17" s="87"/>
      <c r="N17" s="87"/>
      <c r="O17" s="87"/>
      <c r="P17" s="87"/>
      <c r="Q17" s="1"/>
      <c r="R17" s="146"/>
      <c r="S17" s="118"/>
      <c r="U17" t="s">
        <v>313</v>
      </c>
      <c r="V17" s="191">
        <v>0.12047141656327777</v>
      </c>
    </row>
    <row r="18" spans="1:22" ht="15" customHeight="1" x14ac:dyDescent="0.2">
      <c r="A18" s="146"/>
      <c r="B18" s="1"/>
      <c r="C18" s="87"/>
      <c r="D18" s="79" t="s">
        <v>223</v>
      </c>
      <c r="E18" s="87"/>
      <c r="F18" s="88"/>
      <c r="G18" s="87"/>
      <c r="H18" s="377"/>
      <c r="I18" s="87"/>
      <c r="J18" s="63"/>
      <c r="K18" s="87"/>
      <c r="L18" s="87"/>
      <c r="M18" s="87"/>
      <c r="N18" s="87"/>
      <c r="O18" s="87"/>
      <c r="P18" s="87"/>
      <c r="Q18" s="1"/>
      <c r="R18" s="146"/>
      <c r="S18" s="118"/>
    </row>
    <row r="19" spans="1:22" ht="15" hidden="1" customHeight="1" x14ac:dyDescent="0.2">
      <c r="A19" s="146"/>
      <c r="B19" s="1"/>
      <c r="C19" s="87"/>
      <c r="D19" s="2" t="s">
        <v>25</v>
      </c>
      <c r="E19" s="87"/>
      <c r="G19" s="87"/>
      <c r="H19" s="377"/>
      <c r="I19" s="87"/>
      <c r="K19" s="87"/>
      <c r="O19" s="87"/>
      <c r="P19" s="189"/>
      <c r="Q19" s="1"/>
      <c r="R19" s="146"/>
      <c r="S19" s="118"/>
      <c r="U19" t="s">
        <v>314</v>
      </c>
      <c r="V19">
        <v>0.13318899917103144</v>
      </c>
    </row>
    <row r="20" spans="1:22" ht="15" hidden="1" customHeight="1" x14ac:dyDescent="0.2">
      <c r="A20" s="146"/>
      <c r="B20" s="1"/>
      <c r="C20" s="87"/>
      <c r="D20" s="10"/>
      <c r="E20" s="87"/>
      <c r="G20" s="87"/>
      <c r="H20" s="377"/>
      <c r="I20" s="87"/>
      <c r="K20" s="87"/>
      <c r="O20" s="87"/>
      <c r="P20" s="197"/>
      <c r="Q20" s="1"/>
      <c r="R20" s="146"/>
      <c r="S20" s="118"/>
      <c r="U20" t="s">
        <v>315</v>
      </c>
      <c r="V20">
        <v>0.13318899917103144</v>
      </c>
    </row>
    <row r="21" spans="1:22" ht="15" hidden="1" customHeight="1" x14ac:dyDescent="0.2">
      <c r="A21" s="146"/>
      <c r="B21" s="1"/>
      <c r="C21" s="87"/>
      <c r="D21" s="10"/>
      <c r="E21" s="87"/>
      <c r="G21" s="87"/>
      <c r="H21" s="377"/>
      <c r="I21" s="87"/>
      <c r="K21" s="87"/>
      <c r="O21" s="87"/>
      <c r="P21" s="197"/>
      <c r="Q21" s="1"/>
      <c r="R21" s="146"/>
      <c r="S21" s="118"/>
      <c r="U21" t="s">
        <v>316</v>
      </c>
      <c r="V21">
        <v>0.12047141656327777</v>
      </c>
    </row>
    <row r="22" spans="1:22" ht="15" hidden="1" customHeight="1" x14ac:dyDescent="0.2">
      <c r="A22" s="146"/>
      <c r="B22" s="1"/>
      <c r="C22" s="87"/>
      <c r="D22" s="10"/>
      <c r="E22" s="87"/>
      <c r="G22" s="87"/>
      <c r="H22" s="377"/>
      <c r="I22" s="87"/>
      <c r="K22" s="87"/>
      <c r="O22" s="87"/>
      <c r="P22" s="197"/>
      <c r="Q22" s="1"/>
      <c r="R22" s="146"/>
      <c r="S22" s="118"/>
      <c r="U22" t="s">
        <v>317</v>
      </c>
      <c r="V22">
        <v>9.9373337723751634E-2</v>
      </c>
    </row>
    <row r="23" spans="1:22" ht="15" hidden="1" customHeight="1" x14ac:dyDescent="0.2">
      <c r="A23" s="146"/>
      <c r="B23" s="1"/>
      <c r="C23" s="87"/>
      <c r="E23" s="87"/>
      <c r="G23" s="87"/>
      <c r="H23" s="377"/>
      <c r="I23" s="87"/>
      <c r="K23" s="87"/>
      <c r="O23" s="87"/>
      <c r="P23" s="197"/>
      <c r="Q23" s="1"/>
      <c r="R23" s="146"/>
      <c r="S23" s="118"/>
    </row>
    <row r="24" spans="1:22" ht="15" hidden="1" customHeight="1" x14ac:dyDescent="0.2">
      <c r="A24" s="146"/>
      <c r="B24" s="1"/>
      <c r="C24" s="87"/>
      <c r="E24" s="87"/>
      <c r="G24" s="87"/>
      <c r="H24" s="377"/>
      <c r="I24" s="87"/>
      <c r="K24" s="87"/>
      <c r="O24" s="87"/>
      <c r="P24" s="189"/>
      <c r="Q24" s="1"/>
      <c r="R24" s="146"/>
      <c r="S24" s="118"/>
    </row>
    <row r="25" spans="1:22" ht="15" hidden="1" customHeight="1" x14ac:dyDescent="0.2">
      <c r="A25" s="146"/>
      <c r="B25" s="1"/>
      <c r="C25" s="87"/>
      <c r="D25" s="2" t="s">
        <v>26</v>
      </c>
      <c r="E25" s="87"/>
      <c r="G25" s="87"/>
      <c r="H25" s="377"/>
      <c r="I25" s="87"/>
      <c r="K25" s="87"/>
      <c r="O25" s="87"/>
      <c r="P25" s="189"/>
      <c r="Q25" s="1"/>
      <c r="R25" s="146"/>
      <c r="S25" s="118"/>
    </row>
    <row r="26" spans="1:22" ht="15" hidden="1" customHeight="1" x14ac:dyDescent="0.2">
      <c r="A26" s="146"/>
      <c r="B26" s="1"/>
      <c r="C26" s="87"/>
      <c r="D26" s="10"/>
      <c r="E26" s="87"/>
      <c r="G26" s="87"/>
      <c r="H26" s="377"/>
      <c r="I26" s="87"/>
      <c r="K26" s="87"/>
      <c r="O26" s="87"/>
      <c r="P26" s="197"/>
      <c r="Q26" s="1"/>
      <c r="R26" s="146"/>
      <c r="S26" s="118"/>
    </row>
    <row r="27" spans="1:22" ht="15" hidden="1" customHeight="1" x14ac:dyDescent="0.2">
      <c r="A27" s="146"/>
      <c r="B27" s="1"/>
      <c r="C27" s="87"/>
      <c r="D27" s="10"/>
      <c r="E27" s="87"/>
      <c r="G27" s="87"/>
      <c r="H27" s="377"/>
      <c r="I27" s="87"/>
      <c r="K27" s="87"/>
      <c r="O27" s="87"/>
      <c r="P27" s="197"/>
      <c r="Q27" s="1"/>
      <c r="R27" s="146"/>
      <c r="S27" s="118"/>
    </row>
    <row r="28" spans="1:22" ht="15" hidden="1" customHeight="1" x14ac:dyDescent="0.2">
      <c r="A28" s="146"/>
      <c r="B28" s="1"/>
      <c r="C28" s="87"/>
      <c r="D28" s="10"/>
      <c r="E28" s="87"/>
      <c r="G28" s="87"/>
      <c r="H28" s="377"/>
      <c r="I28" s="87"/>
      <c r="K28" s="87"/>
      <c r="O28" s="87"/>
      <c r="P28" s="197"/>
      <c r="Q28" s="1"/>
      <c r="R28" s="146"/>
      <c r="S28" s="118"/>
    </row>
    <row r="29" spans="1:22" ht="15" hidden="1" customHeight="1" x14ac:dyDescent="0.2">
      <c r="A29" s="146"/>
      <c r="B29" s="1"/>
      <c r="C29" s="87"/>
      <c r="E29" s="87"/>
      <c r="G29" s="87"/>
      <c r="H29" s="377"/>
      <c r="I29" s="87"/>
      <c r="K29" s="87"/>
      <c r="O29" s="87"/>
      <c r="P29" s="197"/>
      <c r="Q29" s="1"/>
      <c r="R29" s="146"/>
      <c r="S29" s="118"/>
    </row>
    <row r="30" spans="1:22" ht="15" hidden="1" customHeight="1" x14ac:dyDescent="0.2">
      <c r="A30" s="146"/>
      <c r="B30" s="1"/>
      <c r="C30" s="87"/>
      <c r="E30" s="87"/>
      <c r="G30" s="87"/>
      <c r="H30" s="377"/>
      <c r="I30" s="87"/>
      <c r="K30" s="87"/>
      <c r="O30" s="87"/>
      <c r="P30" s="189"/>
      <c r="Q30" s="1"/>
      <c r="R30" s="146"/>
      <c r="S30" s="118"/>
    </row>
    <row r="31" spans="1:22" ht="15" hidden="1" customHeight="1" x14ac:dyDescent="0.2">
      <c r="A31" s="146"/>
      <c r="B31" s="1"/>
      <c r="C31" s="87"/>
      <c r="D31" s="2" t="s">
        <v>27</v>
      </c>
      <c r="E31" s="87"/>
      <c r="G31" s="87"/>
      <c r="H31" s="377"/>
      <c r="I31" s="87"/>
      <c r="K31" s="87"/>
      <c r="O31" s="87"/>
      <c r="P31" s="189"/>
      <c r="Q31" s="1"/>
      <c r="R31" s="146"/>
      <c r="S31" s="118"/>
    </row>
    <row r="32" spans="1:22" ht="15" hidden="1" customHeight="1" x14ac:dyDescent="0.2">
      <c r="A32" s="146"/>
      <c r="B32" s="1"/>
      <c r="C32" s="87"/>
      <c r="D32" s="10"/>
      <c r="E32" s="87"/>
      <c r="G32" s="87"/>
      <c r="H32" s="377"/>
      <c r="I32" s="87"/>
      <c r="K32" s="87"/>
      <c r="O32" s="87"/>
      <c r="P32" s="197"/>
      <c r="Q32" s="1"/>
      <c r="R32" s="146"/>
      <c r="S32" s="119"/>
    </row>
    <row r="33" spans="1:23" ht="15" hidden="1" customHeight="1" x14ac:dyDescent="0.2">
      <c r="A33" s="146"/>
      <c r="B33" s="1"/>
      <c r="C33" s="87"/>
      <c r="D33" s="10"/>
      <c r="E33" s="87"/>
      <c r="G33" s="87"/>
      <c r="H33" s="377"/>
      <c r="I33" s="87"/>
      <c r="K33" s="87"/>
      <c r="O33" s="87"/>
      <c r="P33" s="189"/>
      <c r="Q33" s="1"/>
      <c r="R33" s="146"/>
      <c r="S33" s="119"/>
    </row>
    <row r="34" spans="1:23" ht="15" hidden="1" customHeight="1" x14ac:dyDescent="0.2">
      <c r="A34" s="146"/>
      <c r="B34" s="1"/>
      <c r="C34" s="87"/>
      <c r="D34" s="10"/>
      <c r="E34" s="87"/>
      <c r="G34" s="87"/>
      <c r="H34" s="377"/>
      <c r="I34" s="87"/>
      <c r="K34" s="87"/>
      <c r="O34" s="87"/>
      <c r="P34" s="189"/>
      <c r="Q34" s="1"/>
      <c r="R34" s="146"/>
      <c r="S34" s="119"/>
    </row>
    <row r="35" spans="1:23" ht="15" hidden="1" customHeight="1" x14ac:dyDescent="0.2">
      <c r="A35" s="146"/>
      <c r="B35" s="1"/>
      <c r="C35" s="87"/>
      <c r="E35" s="87"/>
      <c r="G35" s="87"/>
      <c r="H35" s="377"/>
      <c r="I35" s="87"/>
      <c r="K35" s="87"/>
      <c r="O35" s="87"/>
      <c r="P35" s="189"/>
      <c r="Q35" s="1"/>
      <c r="R35" s="146"/>
      <c r="S35" s="119"/>
    </row>
    <row r="36" spans="1:23" ht="15" hidden="1" customHeight="1" x14ac:dyDescent="0.2">
      <c r="A36" s="146"/>
      <c r="B36" s="1"/>
      <c r="C36" s="87"/>
      <c r="E36" s="87"/>
      <c r="G36" s="87"/>
      <c r="H36" s="377"/>
      <c r="I36" s="87"/>
      <c r="K36" s="87"/>
      <c r="O36" s="87"/>
      <c r="P36" s="189"/>
      <c r="Q36" s="1"/>
      <c r="R36" s="146"/>
      <c r="S36" s="119"/>
    </row>
    <row r="37" spans="1:23" ht="15" hidden="1" customHeight="1" x14ac:dyDescent="0.2">
      <c r="A37" s="146"/>
      <c r="B37" s="1"/>
      <c r="C37" s="87"/>
      <c r="D37" s="37" t="s">
        <v>28</v>
      </c>
      <c r="E37" s="87"/>
      <c r="F37" s="38" t="s">
        <v>16</v>
      </c>
      <c r="G37" s="87"/>
      <c r="H37" s="377"/>
      <c r="I37" s="87"/>
      <c r="J37" s="63"/>
      <c r="K37" s="87"/>
      <c r="L37" s="63"/>
      <c r="M37" s="63"/>
      <c r="N37" s="63"/>
      <c r="O37" s="87"/>
      <c r="P37" s="87"/>
      <c r="Q37" s="1"/>
      <c r="R37" s="146"/>
      <c r="S37" s="119"/>
    </row>
    <row r="38" spans="1:23" ht="12.75" customHeight="1" x14ac:dyDescent="0.2">
      <c r="A38" s="146"/>
      <c r="B38" s="1"/>
      <c r="C38" s="87"/>
      <c r="D38" s="373" t="s">
        <v>305</v>
      </c>
      <c r="E38" s="87"/>
      <c r="F38" s="40" t="s">
        <v>29</v>
      </c>
      <c r="G38" s="87"/>
      <c r="H38" s="377"/>
      <c r="I38" s="87"/>
      <c r="J38" s="41">
        <f>IF(G$2=T$5,0,SUMPRODUCT(K38:N38,K$45:N$45))</f>
        <v>171.39811618252446</v>
      </c>
      <c r="K38" s="87"/>
      <c r="L38" s="291">
        <f>+V46*1000</f>
        <v>171.39811618252446</v>
      </c>
      <c r="M38" s="262">
        <v>0</v>
      </c>
      <c r="N38" s="262">
        <v>0</v>
      </c>
      <c r="O38" s="87"/>
      <c r="P38" s="196" t="s">
        <v>30</v>
      </c>
      <c r="Q38" s="1"/>
      <c r="R38" s="146"/>
      <c r="S38" s="119"/>
    </row>
    <row r="39" spans="1:23" ht="15" customHeight="1" x14ac:dyDescent="0.2">
      <c r="A39" s="146"/>
      <c r="B39" s="1"/>
      <c r="C39" s="87"/>
      <c r="D39" s="374"/>
      <c r="E39" s="87"/>
      <c r="F39" s="43"/>
      <c r="G39" s="87"/>
      <c r="H39" s="377"/>
      <c r="I39" s="87"/>
      <c r="J39" s="44">
        <f>IF(G$2=T$5,0,SUMPRODUCT(K39:N39,K$45:N$45))</f>
        <v>0</v>
      </c>
      <c r="K39" s="87"/>
      <c r="L39" s="216"/>
      <c r="M39" s="217"/>
      <c r="N39" s="217"/>
      <c r="O39" s="87"/>
      <c r="P39" s="196"/>
      <c r="Q39" s="1"/>
      <c r="R39" s="146"/>
      <c r="S39" s="119"/>
    </row>
    <row r="40" spans="1:23" ht="15" customHeight="1" x14ac:dyDescent="0.3">
      <c r="A40" s="146"/>
      <c r="B40" s="1"/>
      <c r="C40" s="87"/>
      <c r="D40" s="193" t="s">
        <v>310</v>
      </c>
      <c r="E40" s="87"/>
      <c r="F40" s="43"/>
      <c r="G40" s="87"/>
      <c r="H40" s="377"/>
      <c r="I40" s="87"/>
      <c r="J40" s="44">
        <f>IF(G$2=T$5,0,SUMPRODUCT(K40:N40,K$45:N$45))</f>
        <v>0</v>
      </c>
      <c r="K40" s="87"/>
      <c r="L40" s="216"/>
      <c r="M40" s="217"/>
      <c r="N40" s="217"/>
      <c r="O40" s="87"/>
      <c r="P40" s="196"/>
      <c r="Q40" s="1"/>
      <c r="R40" s="146"/>
      <c r="S40" s="119"/>
      <c r="U40" s="115" t="s">
        <v>29</v>
      </c>
      <c r="V40" s="115">
        <v>1</v>
      </c>
      <c r="W40" s="115"/>
    </row>
    <row r="41" spans="1:23" ht="15" customHeight="1" x14ac:dyDescent="0.3">
      <c r="A41" s="146"/>
      <c r="B41" s="1"/>
      <c r="C41" s="87"/>
      <c r="D41" s="62"/>
      <c r="E41" s="87"/>
      <c r="F41" s="46"/>
      <c r="G41" s="87"/>
      <c r="H41" s="378"/>
      <c r="I41" s="87"/>
      <c r="J41" s="47">
        <f>IF(G$2=T$5,0,SUMPRODUCT(K41:N41,K$45:N$45))</f>
        <v>0</v>
      </c>
      <c r="K41" s="87"/>
      <c r="L41" s="216"/>
      <c r="M41" s="217"/>
      <c r="N41" s="217"/>
      <c r="O41" s="87"/>
      <c r="P41" s="196"/>
      <c r="Q41" s="1"/>
      <c r="R41" s="146"/>
      <c r="S41" s="119"/>
      <c r="U41" s="115" t="s">
        <v>322</v>
      </c>
      <c r="V41" s="116">
        <f>47%*Massabalans!E8</f>
        <v>0.188</v>
      </c>
      <c r="W41" s="115"/>
    </row>
    <row r="42" spans="1:23" ht="14.25" x14ac:dyDescent="0.3">
      <c r="A42" s="146"/>
      <c r="B42" s="1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1"/>
      <c r="R42" s="146"/>
      <c r="S42" s="119"/>
      <c r="U42" s="115" t="s">
        <v>323</v>
      </c>
      <c r="V42" s="115">
        <f>+V40*V41</f>
        <v>0.188</v>
      </c>
      <c r="W42" s="115"/>
    </row>
    <row r="43" spans="1:23" ht="14.25" x14ac:dyDescent="0.3">
      <c r="A43" s="146"/>
      <c r="B43" s="1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1"/>
      <c r="R43" s="146"/>
      <c r="S43" s="119"/>
      <c r="U43" s="115" t="s">
        <v>324</v>
      </c>
      <c r="V43" s="115"/>
      <c r="W43" s="115"/>
    </row>
    <row r="44" spans="1:23" ht="14.25" x14ac:dyDescent="0.3">
      <c r="A44" s="146"/>
      <c r="B44" s="1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1"/>
      <c r="R44" s="146"/>
      <c r="S44" s="119"/>
      <c r="U44" s="117" t="s">
        <v>325</v>
      </c>
      <c r="V44" s="122">
        <f>+VLOOKUP(D40,U11:V17,2,0)</f>
        <v>0.24864330200559642</v>
      </c>
      <c r="W44" s="115"/>
    </row>
    <row r="45" spans="1:23" ht="14.25" x14ac:dyDescent="0.3">
      <c r="A45" s="146"/>
      <c r="B45" s="8"/>
      <c r="C45" s="8"/>
      <c r="D45" s="84" t="s">
        <v>282</v>
      </c>
      <c r="E45" s="74"/>
      <c r="F45" s="74"/>
      <c r="G45" s="48"/>
      <c r="H45" s="48"/>
      <c r="I45" s="48"/>
      <c r="J45" s="8"/>
      <c r="K45" s="8"/>
      <c r="L45" s="174">
        <f>VLOOKUP(L9,GWP!$A$4:$B$53,2,0)</f>
        <v>1</v>
      </c>
      <c r="M45" s="174">
        <f>VLOOKUP(M9,GWP!$A$4:$B$53,2,0)</f>
        <v>28</v>
      </c>
      <c r="N45" s="174">
        <f>VLOOKUP(N9,GWP!$A$4:$B$53,2,0)</f>
        <v>298</v>
      </c>
      <c r="O45" s="1"/>
      <c r="P45" s="1"/>
      <c r="Q45" s="1"/>
      <c r="R45" s="146"/>
      <c r="S45" s="119"/>
      <c r="U45" s="117" t="s">
        <v>326</v>
      </c>
      <c r="V45" s="121">
        <f>+V44*V42</f>
        <v>4.674494077705213E-2</v>
      </c>
      <c r="W45" s="115"/>
    </row>
    <row r="46" spans="1:23" ht="14.25" x14ac:dyDescent="0.3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19"/>
      <c r="U46" s="115" t="s">
        <v>299</v>
      </c>
      <c r="V46" s="121">
        <f>+V45*44/12</f>
        <v>0.17139811618252446</v>
      </c>
      <c r="W46" s="115"/>
    </row>
    <row r="47" spans="1:23" x14ac:dyDescent="0.2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19"/>
    </row>
    <row r="48" spans="1:23" x14ac:dyDescent="0.2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19"/>
    </row>
    <row r="49" spans="1:19" x14ac:dyDescent="0.2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19"/>
    </row>
    <row r="50" spans="1:19" x14ac:dyDescent="0.2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19"/>
    </row>
    <row r="51" spans="1:19" x14ac:dyDescent="0.2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19"/>
    </row>
    <row r="52" spans="1:19" x14ac:dyDescent="0.2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19"/>
    </row>
    <row r="53" spans="1:19" x14ac:dyDescent="0.2">
      <c r="S53" s="119"/>
    </row>
    <row r="54" spans="1:19" x14ac:dyDescent="0.2">
      <c r="S54" s="119"/>
    </row>
    <row r="55" spans="1:19" x14ac:dyDescent="0.2">
      <c r="S55" s="119"/>
    </row>
    <row r="56" spans="1:19" x14ac:dyDescent="0.2">
      <c r="S56" s="119"/>
    </row>
    <row r="57" spans="1:19" x14ac:dyDescent="0.2">
      <c r="S57" s="119"/>
    </row>
    <row r="58" spans="1:19" x14ac:dyDescent="0.2">
      <c r="S58" s="119"/>
    </row>
    <row r="59" spans="1:19" x14ac:dyDescent="0.2">
      <c r="S59" s="119"/>
    </row>
    <row r="60" spans="1:19" x14ac:dyDescent="0.2">
      <c r="S60" s="119"/>
    </row>
    <row r="61" spans="1:19" x14ac:dyDescent="0.2">
      <c r="S61" s="119"/>
    </row>
    <row r="62" spans="1:19" x14ac:dyDescent="0.2">
      <c r="S62" s="119"/>
    </row>
    <row r="63" spans="1:19" x14ac:dyDescent="0.2">
      <c r="S63" s="119"/>
    </row>
    <row r="64" spans="1:19" x14ac:dyDescent="0.2">
      <c r="S64" s="119"/>
    </row>
    <row r="65" spans="19:19" x14ac:dyDescent="0.2">
      <c r="S65" s="119"/>
    </row>
    <row r="66" spans="19:19" x14ac:dyDescent="0.2">
      <c r="S66" s="119"/>
    </row>
    <row r="67" spans="19:19" x14ac:dyDescent="0.2">
      <c r="S67" s="119"/>
    </row>
    <row r="68" spans="19:19" x14ac:dyDescent="0.2">
      <c r="S68" s="119"/>
    </row>
    <row r="69" spans="19:19" x14ac:dyDescent="0.2">
      <c r="S69" s="119"/>
    </row>
    <row r="70" spans="19:19" x14ac:dyDescent="0.2">
      <c r="S70" s="241"/>
    </row>
    <row r="71" spans="19:19" x14ac:dyDescent="0.2">
      <c r="S71" s="241"/>
    </row>
    <row r="72" spans="19:19" x14ac:dyDescent="0.2">
      <c r="S72" s="241"/>
    </row>
    <row r="73" spans="19:19" x14ac:dyDescent="0.2">
      <c r="S73" s="241"/>
    </row>
    <row r="74" spans="19:19" x14ac:dyDescent="0.2">
      <c r="S74" s="241"/>
    </row>
    <row r="75" spans="19:19" x14ac:dyDescent="0.2">
      <c r="S75" s="241"/>
    </row>
    <row r="76" spans="19:19" x14ac:dyDescent="0.2">
      <c r="S76" s="241"/>
    </row>
    <row r="77" spans="19:19" x14ac:dyDescent="0.2">
      <c r="S77" s="12"/>
    </row>
    <row r="78" spans="19:19" x14ac:dyDescent="0.2">
      <c r="S78" s="12"/>
    </row>
    <row r="79" spans="19:19" x14ac:dyDescent="0.2">
      <c r="S79" s="12"/>
    </row>
  </sheetData>
  <sheetProtection selectLockedCells="1" selectUnlockedCells="1"/>
  <mergeCells count="10">
    <mergeCell ref="B2:D3"/>
    <mergeCell ref="V7:V10"/>
    <mergeCell ref="P14:P16"/>
    <mergeCell ref="L7:N8"/>
    <mergeCell ref="D38:D39"/>
    <mergeCell ref="D7:E7"/>
    <mergeCell ref="D8:E8"/>
    <mergeCell ref="H11:H41"/>
    <mergeCell ref="E2:F3"/>
    <mergeCell ref="G2:G3"/>
  </mergeCells>
  <dataValidations count="2">
    <dataValidation type="list" allowBlank="1" showInputMessage="1" showErrorMessage="1" sqref="D40">
      <formula1>$U$11:$U$17</formula1>
    </dataValidation>
    <dataValidation type="list" allowBlank="1" showInputMessage="1" showErrorMessage="1" sqref="G2:G3">
      <formula1>$T$5:$T$6</formula1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>
          <x14:formula1>
            <xm:f>'DB E'!$A$4:$A$16</xm:f>
          </x14:formula1>
          <xm:sqref>D13:D16</xm:sqref>
        </x14:dataValidation>
        <x14:dataValidation type="list" operator="equal" allowBlank="1">
          <x14:formula1>
            <xm:f>'DB E'!$A$5:$A$16</xm:f>
          </x14:formula1>
          <x14:formula2>
            <xm:f>0</xm:f>
          </x14:formula2>
          <xm:sqref>D13:D16</xm:sqref>
        </x14:dataValidation>
        <x14:dataValidation type="list" operator="equal" allowBlank="1">
          <x14:formula1>
            <xm:f>'DB M2'!$A$5:$A$22</xm:f>
          </x14:formula1>
          <x14:formula2>
            <xm:f>0</xm:f>
          </x14:formula2>
          <xm:sqref>D20:D22</xm:sqref>
        </x14:dataValidation>
        <x14:dataValidation type="list" operator="equal" allowBlank="1">
          <x14:formula1>
            <xm:f>'DB M1'!$A$5:$A$22</xm:f>
          </x14:formula1>
          <x14:formula2>
            <xm:f>0</xm:f>
          </x14:formula2>
          <xm:sqref>D26:D28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S48"/>
  <sheetViews>
    <sheetView topLeftCell="A13" zoomScale="85" zoomScaleNormal="85" workbookViewId="0">
      <selection activeCell="G39" sqref="G39"/>
    </sheetView>
  </sheetViews>
  <sheetFormatPr defaultColWidth="11.5703125" defaultRowHeight="12.75" x14ac:dyDescent="0.2"/>
  <cols>
    <col min="2" max="3" width="4.5703125" customWidth="1"/>
    <col min="4" max="4" width="36.5703125" customWidth="1"/>
    <col min="5" max="5" width="13.140625" bestFit="1" customWidth="1"/>
    <col min="6" max="6" width="8.5703125" bestFit="1" customWidth="1"/>
    <col min="7" max="7" width="6.7109375" customWidth="1"/>
    <col min="8" max="8" width="14.7109375" customWidth="1"/>
    <col min="9" max="9" width="6.5703125" customWidth="1"/>
    <col min="10" max="10" width="16.140625" bestFit="1" customWidth="1"/>
    <col min="11" max="11" width="4.7109375" customWidth="1"/>
    <col min="12" max="15" width="6.7109375" customWidth="1"/>
    <col min="16" max="16" width="46" customWidth="1"/>
    <col min="17" max="17" width="3.85546875" customWidth="1"/>
  </cols>
  <sheetData>
    <row r="1" spans="1:19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20.100000000000001" customHeight="1" x14ac:dyDescent="0.2">
      <c r="A2" s="146"/>
      <c r="B2" s="357" t="str">
        <f>+H13</f>
        <v>Chippen</v>
      </c>
      <c r="C2" s="357"/>
      <c r="D2" s="357"/>
      <c r="E2" s="2" t="s">
        <v>10</v>
      </c>
      <c r="I2" s="83">
        <f>+Massabalans!H16</f>
        <v>3.8546634571219145</v>
      </c>
      <c r="J2" s="7" t="s">
        <v>31</v>
      </c>
      <c r="M2" s="146"/>
      <c r="N2" s="146"/>
      <c r="O2" s="146"/>
      <c r="P2" s="146"/>
      <c r="Q2" s="146"/>
      <c r="R2" s="146"/>
      <c r="S2" s="146"/>
    </row>
    <row r="3" spans="1:19" ht="20.100000000000001" customHeight="1" x14ac:dyDescent="0.2">
      <c r="A3" s="146"/>
      <c r="B3" s="357"/>
      <c r="C3" s="357"/>
      <c r="D3" s="357"/>
      <c r="E3" s="2" t="s">
        <v>12</v>
      </c>
      <c r="I3" s="4">
        <f>SUM(J13:J29)/1000</f>
        <v>4.6973533067274659E-3</v>
      </c>
      <c r="J3" s="7" t="s">
        <v>32</v>
      </c>
      <c r="M3" s="146"/>
      <c r="N3" s="146"/>
      <c r="O3" s="146"/>
      <c r="P3" s="146"/>
      <c r="Q3" s="146"/>
      <c r="R3" s="146"/>
      <c r="S3" s="146"/>
    </row>
    <row r="4" spans="1:19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x14ac:dyDescent="0.2">
      <c r="A5" s="146"/>
      <c r="B5" s="1"/>
      <c r="C5" s="1"/>
      <c r="D5" s="8"/>
      <c r="E5" s="8"/>
      <c r="F5" s="3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6"/>
      <c r="S5" s="146"/>
    </row>
    <row r="6" spans="1:19" x14ac:dyDescent="0.2">
      <c r="A6" s="146"/>
      <c r="B6" s="1"/>
      <c r="C6" s="33"/>
      <c r="D6" s="34"/>
      <c r="E6" s="34"/>
      <c r="F6" s="34"/>
      <c r="G6" s="33"/>
      <c r="H6" s="33"/>
      <c r="I6" s="33"/>
      <c r="J6" s="34"/>
      <c r="K6" s="34"/>
      <c r="L6" s="35"/>
      <c r="M6" s="35"/>
      <c r="N6" s="35"/>
      <c r="O6" s="34"/>
      <c r="P6" s="34"/>
      <c r="Q6" s="1"/>
      <c r="R6" s="146"/>
      <c r="S6" s="146"/>
    </row>
    <row r="7" spans="1:19" x14ac:dyDescent="0.2">
      <c r="A7" s="146"/>
      <c r="B7" s="1"/>
      <c r="C7" s="33"/>
      <c r="D7" s="34"/>
      <c r="E7" s="34"/>
      <c r="F7" s="34"/>
      <c r="G7" s="33"/>
      <c r="H7" s="33"/>
      <c r="I7" s="33"/>
      <c r="J7" s="34"/>
      <c r="K7" s="34"/>
      <c r="L7" s="385" t="s">
        <v>14</v>
      </c>
      <c r="M7" s="385"/>
      <c r="N7" s="385"/>
      <c r="O7" s="34"/>
      <c r="P7" s="51" t="s">
        <v>22</v>
      </c>
      <c r="Q7" s="1"/>
      <c r="R7" s="146"/>
      <c r="S7" s="146"/>
    </row>
    <row r="8" spans="1:19" x14ac:dyDescent="0.2">
      <c r="A8" s="146"/>
      <c r="B8" s="1"/>
      <c r="C8" s="33"/>
      <c r="D8" s="34"/>
      <c r="E8" s="34"/>
      <c r="F8" s="34"/>
      <c r="G8" s="33"/>
      <c r="H8" s="33"/>
      <c r="I8" s="33"/>
      <c r="J8" s="34"/>
      <c r="K8" s="34"/>
      <c r="L8" s="385"/>
      <c r="M8" s="385"/>
      <c r="N8" s="385"/>
      <c r="O8" s="34"/>
      <c r="P8" s="34"/>
      <c r="Q8" s="1"/>
      <c r="R8" s="146"/>
      <c r="S8" s="146"/>
    </row>
    <row r="9" spans="1:19" x14ac:dyDescent="0.2">
      <c r="A9" s="146"/>
      <c r="B9" s="1"/>
      <c r="C9" s="33"/>
      <c r="D9" s="34"/>
      <c r="E9" s="34"/>
      <c r="F9" s="34"/>
      <c r="G9" s="33"/>
      <c r="H9" s="33"/>
      <c r="I9" s="33"/>
      <c r="J9" s="34"/>
      <c r="K9" s="34"/>
      <c r="L9" s="36" t="s">
        <v>18</v>
      </c>
      <c r="M9" s="36" t="s">
        <v>19</v>
      </c>
      <c r="N9" s="36" t="s">
        <v>20</v>
      </c>
      <c r="O9" s="34"/>
      <c r="P9" s="34"/>
      <c r="Q9" s="1"/>
      <c r="R9" s="146"/>
      <c r="S9" s="146"/>
    </row>
    <row r="10" spans="1:19" x14ac:dyDescent="0.2">
      <c r="A10" s="146"/>
      <c r="B10" s="1"/>
      <c r="C10" s="33"/>
      <c r="D10" s="34"/>
      <c r="E10" s="34"/>
      <c r="F10" s="34"/>
      <c r="G10" s="33"/>
      <c r="H10" s="33"/>
      <c r="I10" s="33"/>
      <c r="J10" s="34"/>
      <c r="K10" s="33"/>
      <c r="L10" s="36"/>
      <c r="M10" s="36"/>
      <c r="N10" s="36"/>
      <c r="O10" s="34"/>
      <c r="P10" s="34"/>
      <c r="Q10" s="1"/>
      <c r="R10" s="146"/>
      <c r="S10" s="146"/>
    </row>
    <row r="11" spans="1:19" x14ac:dyDescent="0.2">
      <c r="A11" s="146"/>
      <c r="B11" s="32"/>
      <c r="C11" s="34"/>
      <c r="D11" s="37" t="s">
        <v>33</v>
      </c>
      <c r="E11" s="37" t="s">
        <v>21</v>
      </c>
      <c r="F11" s="38" t="s">
        <v>16</v>
      </c>
      <c r="G11" s="33"/>
      <c r="H11" s="92"/>
      <c r="I11" s="33"/>
      <c r="J11" s="224" t="s">
        <v>318</v>
      </c>
      <c r="K11" s="33"/>
      <c r="L11" s="34"/>
      <c r="M11" s="34"/>
      <c r="N11" s="34"/>
      <c r="O11" s="34"/>
      <c r="P11" s="92"/>
      <c r="Q11" s="1"/>
      <c r="R11" s="146"/>
      <c r="S11" s="146"/>
    </row>
    <row r="12" spans="1:19" s="80" customFormat="1" x14ac:dyDescent="0.2">
      <c r="A12" s="146"/>
      <c r="B12" s="76"/>
      <c r="C12" s="101"/>
      <c r="D12" s="87"/>
      <c r="E12" s="87"/>
      <c r="F12" s="88"/>
      <c r="G12" s="102"/>
      <c r="H12" s="92"/>
      <c r="I12" s="102"/>
      <c r="J12" s="224" t="s">
        <v>319</v>
      </c>
      <c r="K12" s="102"/>
      <c r="L12" s="101"/>
      <c r="M12" s="101"/>
      <c r="N12" s="101"/>
      <c r="O12" s="101"/>
      <c r="P12" s="92"/>
      <c r="Q12" s="81"/>
      <c r="R12" s="146"/>
      <c r="S12" s="146"/>
    </row>
    <row r="13" spans="1:19" x14ac:dyDescent="0.2">
      <c r="A13" s="146"/>
      <c r="B13" s="1"/>
      <c r="C13" s="33"/>
      <c r="D13" s="219" t="s">
        <v>23</v>
      </c>
      <c r="E13" s="211">
        <v>1.39434E-3</v>
      </c>
      <c r="F13" s="40" t="str">
        <f>IF(D13=0," ",VLOOKUP(D13,'DB E'!$A$5:$F$29,2,0))</f>
        <v>liter</v>
      </c>
      <c r="G13" s="33"/>
      <c r="H13" s="386" t="str">
        <f>+Overzicht!R17</f>
        <v>Chippen</v>
      </c>
      <c r="I13" s="33"/>
      <c r="J13" s="41">
        <f>SUMPRODUCT(L13:N13,L$33:N$33)*E13</f>
        <v>4.6973533067274662</v>
      </c>
      <c r="K13" s="33"/>
      <c r="L13" s="198">
        <f>IF(D13=0,0,VLOOKUP(D13,'DB E'!$A$5:$H$29,5,0))</f>
        <v>3368.872231111111</v>
      </c>
      <c r="M13" s="199">
        <f>IF(D13=0,0,VLOOKUP(D13,'DB E'!$A$5:$H$29,6,0))</f>
        <v>0</v>
      </c>
      <c r="N13" s="199">
        <f>IF(D13=0,0,VLOOKUP(D13,'DB E'!$A$5:$H$29,7,0))</f>
        <v>0</v>
      </c>
      <c r="O13" s="34"/>
      <c r="P13" s="50"/>
      <c r="Q13" s="1"/>
      <c r="R13" s="146"/>
      <c r="S13" s="146"/>
    </row>
    <row r="14" spans="1:19" x14ac:dyDescent="0.2">
      <c r="A14" s="146"/>
      <c r="B14" s="1"/>
      <c r="C14" s="33"/>
      <c r="D14" s="220"/>
      <c r="E14" s="212">
        <v>0</v>
      </c>
      <c r="F14" s="43" t="str">
        <f>IF(D14=0," ",VLOOKUP(D14,'DB E'!$A$5:$F$29,2,0))</f>
        <v xml:space="preserve"> </v>
      </c>
      <c r="G14" s="33"/>
      <c r="H14" s="387"/>
      <c r="I14" s="33"/>
      <c r="J14" s="44">
        <f>SUMPRODUCT(L14:N14,L$33:N$33)*E14</f>
        <v>0</v>
      </c>
      <c r="K14" s="33"/>
      <c r="L14" s="198">
        <f>IF(D14=0,0,VLOOKUP(D14,'DB E'!$A$5:$H$29,5,0))</f>
        <v>0</v>
      </c>
      <c r="M14" s="199">
        <f>IF(D14=0,0,VLOOKUP(D14,'DB E'!$A$5:$H$29,6,0))</f>
        <v>0</v>
      </c>
      <c r="N14" s="199">
        <f>IF(D14=0,0,VLOOKUP(D14,'DB E'!$A$5:$H$29,7,0))</f>
        <v>0</v>
      </c>
      <c r="O14" s="34"/>
      <c r="P14" s="50"/>
      <c r="Q14" s="1"/>
      <c r="R14" s="146"/>
      <c r="S14" s="146"/>
    </row>
    <row r="15" spans="1:19" x14ac:dyDescent="0.2">
      <c r="A15" s="146"/>
      <c r="B15" s="1"/>
      <c r="C15" s="33"/>
      <c r="D15" s="220"/>
      <c r="E15" s="212">
        <v>0</v>
      </c>
      <c r="F15" s="43" t="str">
        <f>IF(D15=0," ",VLOOKUP(D15,'DB E'!$A$5:$F$29,2,0))</f>
        <v xml:space="preserve"> </v>
      </c>
      <c r="G15" s="33"/>
      <c r="H15" s="387"/>
      <c r="I15" s="33"/>
      <c r="J15" s="44">
        <f>SUMPRODUCT(L15:N15,L$33:N$33)*E15</f>
        <v>0</v>
      </c>
      <c r="K15" s="33"/>
      <c r="L15" s="198">
        <f>IF(D15=0,0,VLOOKUP(D15,'DB E'!$A$5:$H$29,5,0))</f>
        <v>0</v>
      </c>
      <c r="M15" s="199">
        <f>IF(D15=0,0,VLOOKUP(D15,'DB E'!$A$5:$H$29,6,0))</f>
        <v>0</v>
      </c>
      <c r="N15" s="199">
        <f>IF(D15=0,0,VLOOKUP(D15,'DB E'!$A$5:$H$29,7,0))</f>
        <v>0</v>
      </c>
      <c r="O15" s="34"/>
      <c r="P15" s="50"/>
      <c r="Q15" s="1"/>
      <c r="R15" s="146"/>
      <c r="S15" s="146"/>
    </row>
    <row r="16" spans="1:19" x14ac:dyDescent="0.2">
      <c r="A16" s="146"/>
      <c r="B16" s="1"/>
      <c r="C16" s="33"/>
      <c r="D16" s="221"/>
      <c r="E16" s="213">
        <v>0</v>
      </c>
      <c r="F16" s="46" t="str">
        <f>IF(D16=0," ",VLOOKUP(D16,'DB E'!$A$5:$F$29,2,0))</f>
        <v xml:space="preserve"> </v>
      </c>
      <c r="G16" s="33"/>
      <c r="H16" s="387"/>
      <c r="I16" s="33"/>
      <c r="J16" s="47">
        <f>SUMPRODUCT(L16:N16,L$33:N$33)*E16</f>
        <v>0</v>
      </c>
      <c r="K16" s="33"/>
      <c r="L16" s="198">
        <f>IF(D16=0,0,VLOOKUP(D16,'DB E'!$A$5:$H$29,5,0))</f>
        <v>0</v>
      </c>
      <c r="M16" s="199">
        <f>IF(D16=0,0,VLOOKUP(D16,'DB E'!$A$5:$H$29,6,0))</f>
        <v>0</v>
      </c>
      <c r="N16" s="199">
        <f>IF(D16=0,0,VLOOKUP(D16,'DB E'!$A$5:$H$29,7,0))</f>
        <v>0</v>
      </c>
      <c r="O16" s="34"/>
      <c r="P16" s="50"/>
      <c r="Q16" s="1"/>
      <c r="R16" s="146"/>
      <c r="S16" s="146"/>
    </row>
    <row r="17" spans="1:19" x14ac:dyDescent="0.2">
      <c r="A17" s="146"/>
      <c r="B17" s="1"/>
      <c r="C17" s="34"/>
      <c r="D17" s="34"/>
      <c r="E17" s="222"/>
      <c r="F17" s="34"/>
      <c r="G17" s="33"/>
      <c r="H17" s="387"/>
      <c r="I17" s="34"/>
      <c r="J17" s="34"/>
      <c r="K17" s="34"/>
      <c r="L17" s="34"/>
      <c r="M17" s="34"/>
      <c r="N17" s="34"/>
      <c r="O17" s="34"/>
      <c r="P17" s="34"/>
      <c r="Q17" s="1"/>
      <c r="R17" s="146"/>
      <c r="S17" s="146"/>
    </row>
    <row r="18" spans="1:19" x14ac:dyDescent="0.2">
      <c r="A18" s="146"/>
      <c r="B18" s="1"/>
      <c r="C18" s="34"/>
      <c r="D18" s="34"/>
      <c r="E18" s="222"/>
      <c r="F18" s="34"/>
      <c r="G18" s="33"/>
      <c r="H18" s="387"/>
      <c r="I18" s="34"/>
      <c r="J18" s="34"/>
      <c r="K18" s="34"/>
      <c r="L18" s="34"/>
      <c r="M18" s="34"/>
      <c r="N18" s="34"/>
      <c r="O18" s="34"/>
      <c r="P18" s="34"/>
      <c r="Q18" s="1"/>
      <c r="R18" s="146"/>
      <c r="S18" s="146"/>
    </row>
    <row r="19" spans="1:19" x14ac:dyDescent="0.2">
      <c r="A19" s="146"/>
      <c r="B19" s="1"/>
      <c r="C19" s="33"/>
      <c r="D19" s="37" t="s">
        <v>27</v>
      </c>
      <c r="E19" s="223"/>
      <c r="F19" s="38"/>
      <c r="G19" s="33"/>
      <c r="H19" s="387"/>
      <c r="I19" s="34"/>
      <c r="J19" s="34"/>
      <c r="K19" s="34"/>
      <c r="L19" s="34"/>
      <c r="M19" s="34"/>
      <c r="N19" s="34"/>
      <c r="O19" s="34"/>
      <c r="P19" s="34"/>
      <c r="Q19" s="1"/>
      <c r="R19" s="146"/>
      <c r="S19" s="146"/>
    </row>
    <row r="20" spans="1:19" x14ac:dyDescent="0.2">
      <c r="A20" s="146"/>
      <c r="B20" s="1"/>
      <c r="C20" s="33"/>
      <c r="D20" s="219"/>
      <c r="E20" s="211">
        <v>0</v>
      </c>
      <c r="F20" s="89" t="str">
        <f>IF(D20=0," ",VLOOKUP(D20,'DB H'!$A$5:$H$33,2,0))</f>
        <v xml:space="preserve"> </v>
      </c>
      <c r="G20" s="33"/>
      <c r="H20" s="387"/>
      <c r="I20" s="33"/>
      <c r="J20" s="41">
        <f t="shared" ref="J20:J22" si="0">SUMPRODUCT(L20:N20,L$33:N$33)*E20</f>
        <v>0</v>
      </c>
      <c r="K20" s="33"/>
      <c r="L20" s="214">
        <f>IF(D20=0,0,VLOOKUP(D20,'DB H'!$A$5:$F$41,3,0))</f>
        <v>0</v>
      </c>
      <c r="M20" s="199">
        <f>IF(D20=0,0,VLOOKUP(D20,'DB H'!$A$5:$F$41,4,0))</f>
        <v>0</v>
      </c>
      <c r="N20" s="199">
        <f>IF(D20=0,0,VLOOKUP(D20,'DB H'!$A$5:$F$41,5,0))</f>
        <v>0</v>
      </c>
      <c r="O20" s="34"/>
      <c r="P20" s="50"/>
      <c r="Q20" s="1"/>
      <c r="R20" s="146"/>
      <c r="S20" s="146"/>
    </row>
    <row r="21" spans="1:19" x14ac:dyDescent="0.2">
      <c r="A21" s="146"/>
      <c r="B21" s="1"/>
      <c r="C21" s="33"/>
      <c r="D21" s="220"/>
      <c r="E21" s="212">
        <v>0</v>
      </c>
      <c r="F21" s="90" t="str">
        <f>IF(D21=0," ",VLOOKUP(D21,'DB H'!$A$5:$H$33,2,0))</f>
        <v xml:space="preserve"> </v>
      </c>
      <c r="G21" s="33"/>
      <c r="H21" s="387"/>
      <c r="I21" s="33"/>
      <c r="J21" s="44">
        <f t="shared" si="0"/>
        <v>0</v>
      </c>
      <c r="K21" s="33"/>
      <c r="L21" s="214">
        <f>IF(D21=0,0,VLOOKUP(D21,'DB H'!$A$5:$F$41,3,0))</f>
        <v>0</v>
      </c>
      <c r="M21" s="199">
        <f>IF(D21=0,0,VLOOKUP(D21,'DB H'!$A$5:$F$41,4,0))</f>
        <v>0</v>
      </c>
      <c r="N21" s="199">
        <f>IF(D21=0,0,VLOOKUP(D21,'DB H'!$A$5:$F$41,5,0))</f>
        <v>0</v>
      </c>
      <c r="O21" s="34"/>
      <c r="P21" s="50"/>
      <c r="Q21" s="1"/>
      <c r="R21" s="146"/>
      <c r="S21" s="146"/>
    </row>
    <row r="22" spans="1:19" x14ac:dyDescent="0.2">
      <c r="A22" s="146"/>
      <c r="B22" s="1"/>
      <c r="C22" s="33"/>
      <c r="D22" s="221"/>
      <c r="E22" s="213">
        <v>0</v>
      </c>
      <c r="F22" s="91" t="str">
        <f>IF(D22=0," ",VLOOKUP(D22,'DB H'!$A$5:$H$33,2,0))</f>
        <v xml:space="preserve"> </v>
      </c>
      <c r="G22" s="33"/>
      <c r="H22" s="387"/>
      <c r="I22" s="33"/>
      <c r="J22" s="47">
        <f t="shared" si="0"/>
        <v>0</v>
      </c>
      <c r="K22" s="33"/>
      <c r="L22" s="214">
        <f>IF(D22=0,0,VLOOKUP(D22,'DB H'!$A$5:$F$41,3,0))</f>
        <v>0</v>
      </c>
      <c r="M22" s="199">
        <f>IF(D22=0,0,VLOOKUP(D22,'DB H'!$A$5:$F$41,4,0))</f>
        <v>0</v>
      </c>
      <c r="N22" s="199">
        <f>IF(D22=0,0,VLOOKUP(D22,'DB H'!$A$5:$F$41,5,0))</f>
        <v>0</v>
      </c>
      <c r="O22" s="34"/>
      <c r="P22" s="50"/>
      <c r="Q22" s="1"/>
      <c r="R22" s="146"/>
      <c r="S22" s="146"/>
    </row>
    <row r="23" spans="1:19" x14ac:dyDescent="0.2">
      <c r="A23" s="146"/>
      <c r="B23" s="1"/>
      <c r="C23" s="34"/>
      <c r="D23" s="34"/>
      <c r="E23" s="34"/>
      <c r="F23" s="34"/>
      <c r="G23" s="33"/>
      <c r="H23" s="387"/>
      <c r="I23" s="34"/>
      <c r="J23" s="34"/>
      <c r="K23" s="34"/>
      <c r="L23" s="34"/>
      <c r="M23" s="34"/>
      <c r="N23" s="34"/>
      <c r="O23" s="34"/>
      <c r="P23" s="34"/>
      <c r="Q23" s="1"/>
      <c r="R23" s="146"/>
      <c r="S23" s="146"/>
    </row>
    <row r="24" spans="1:19" x14ac:dyDescent="0.2">
      <c r="A24" s="146"/>
      <c r="B24" s="1"/>
      <c r="C24" s="34"/>
      <c r="D24" s="34"/>
      <c r="E24" s="34"/>
      <c r="F24" s="34"/>
      <c r="G24" s="33"/>
      <c r="H24" s="387"/>
      <c r="I24" s="34"/>
      <c r="J24" s="34"/>
      <c r="K24" s="34"/>
      <c r="L24" s="34"/>
      <c r="M24" s="34"/>
      <c r="N24" s="34"/>
      <c r="O24" s="34"/>
      <c r="P24" s="34"/>
      <c r="Q24" s="1"/>
      <c r="R24" s="146"/>
      <c r="S24" s="146"/>
    </row>
    <row r="25" spans="1:19" x14ac:dyDescent="0.2">
      <c r="A25" s="146"/>
      <c r="B25" s="1"/>
      <c r="C25" s="33"/>
      <c r="D25" s="37" t="s">
        <v>34</v>
      </c>
      <c r="E25" s="92"/>
      <c r="F25" s="38"/>
      <c r="G25" s="33"/>
      <c r="H25" s="387"/>
      <c r="I25" s="34"/>
      <c r="J25" s="34"/>
      <c r="K25" s="34"/>
      <c r="L25" s="34"/>
      <c r="M25" s="34"/>
      <c r="N25" s="34"/>
      <c r="O25" s="34"/>
      <c r="P25" s="34"/>
      <c r="Q25" s="1"/>
      <c r="R25" s="146"/>
      <c r="S25" s="146"/>
    </row>
    <row r="26" spans="1:19" x14ac:dyDescent="0.2">
      <c r="A26" s="146"/>
      <c r="B26" s="1"/>
      <c r="C26" s="33"/>
      <c r="D26" s="39"/>
      <c r="E26" s="92"/>
      <c r="F26" s="40"/>
      <c r="G26" s="33"/>
      <c r="H26" s="387"/>
      <c r="I26" s="33"/>
      <c r="J26" s="93">
        <f>SUMPRODUCT(K26:N26,K$45:N$45)</f>
        <v>0</v>
      </c>
      <c r="K26" s="33"/>
      <c r="L26" s="216"/>
      <c r="M26" s="217"/>
      <c r="N26" s="217"/>
      <c r="O26" s="34"/>
      <c r="P26" s="50" t="s">
        <v>35</v>
      </c>
      <c r="Q26" s="1"/>
      <c r="R26" s="146"/>
      <c r="S26" s="146"/>
    </row>
    <row r="27" spans="1:19" x14ac:dyDescent="0.2">
      <c r="A27" s="146"/>
      <c r="B27" s="1"/>
      <c r="C27" s="33"/>
      <c r="D27" s="42"/>
      <c r="E27" s="92"/>
      <c r="F27" s="43"/>
      <c r="G27" s="33"/>
      <c r="H27" s="387"/>
      <c r="I27" s="33"/>
      <c r="J27" s="94">
        <f t="shared" ref="J27:J29" si="1">SUMPRODUCT(K27:N27,K$45:N$45)</f>
        <v>0</v>
      </c>
      <c r="K27" s="33"/>
      <c r="L27" s="216"/>
      <c r="M27" s="217"/>
      <c r="N27" s="217"/>
      <c r="O27" s="34"/>
      <c r="P27" s="50"/>
      <c r="Q27" s="1"/>
      <c r="R27" s="146"/>
      <c r="S27" s="146"/>
    </row>
    <row r="28" spans="1:19" x14ac:dyDescent="0.2">
      <c r="A28" s="146"/>
      <c r="B28" s="1"/>
      <c r="C28" s="33"/>
      <c r="D28" s="42"/>
      <c r="E28" s="92"/>
      <c r="F28" s="43"/>
      <c r="G28" s="33"/>
      <c r="H28" s="387"/>
      <c r="I28" s="33"/>
      <c r="J28" s="94">
        <f t="shared" si="1"/>
        <v>0</v>
      </c>
      <c r="K28" s="33"/>
      <c r="L28" s="216"/>
      <c r="M28" s="217"/>
      <c r="N28" s="217"/>
      <c r="O28" s="34"/>
      <c r="P28" s="49"/>
      <c r="Q28" s="1"/>
      <c r="R28" s="146"/>
      <c r="S28" s="146"/>
    </row>
    <row r="29" spans="1:19" x14ac:dyDescent="0.2">
      <c r="A29" s="146"/>
      <c r="B29" s="1"/>
      <c r="C29" s="33"/>
      <c r="D29" s="45"/>
      <c r="E29" s="92"/>
      <c r="F29" s="46"/>
      <c r="G29" s="33"/>
      <c r="H29" s="388"/>
      <c r="I29" s="33"/>
      <c r="J29" s="95">
        <f t="shared" si="1"/>
        <v>0</v>
      </c>
      <c r="K29" s="33"/>
      <c r="L29" s="216"/>
      <c r="M29" s="217"/>
      <c r="N29" s="217"/>
      <c r="O29" s="34"/>
      <c r="P29" s="49"/>
      <c r="Q29" s="1"/>
      <c r="R29" s="146"/>
      <c r="S29" s="146"/>
    </row>
    <row r="30" spans="1:19" x14ac:dyDescent="0.2">
      <c r="A30" s="146"/>
      <c r="B30" s="1"/>
      <c r="C30" s="34"/>
      <c r="D30" s="34"/>
      <c r="E30" s="34"/>
      <c r="F30" s="34"/>
      <c r="G30" s="33"/>
      <c r="H30" s="34"/>
      <c r="I30" s="33"/>
      <c r="J30" s="34"/>
      <c r="K30" s="33"/>
      <c r="L30" s="34"/>
      <c r="M30" s="34"/>
      <c r="N30" s="34"/>
      <c r="O30" s="34"/>
      <c r="P30" s="34"/>
      <c r="Q30" s="1"/>
      <c r="R30" s="146"/>
      <c r="S30" s="146"/>
    </row>
    <row r="31" spans="1:19" x14ac:dyDescent="0.2">
      <c r="A31" s="146"/>
      <c r="B31" s="1"/>
      <c r="C31" s="34"/>
      <c r="D31" s="34"/>
      <c r="E31" s="34"/>
      <c r="F31" s="34"/>
      <c r="G31" s="34"/>
      <c r="H31" s="34"/>
      <c r="I31" s="34"/>
      <c r="J31" s="34"/>
      <c r="K31" s="33"/>
      <c r="L31" s="34"/>
      <c r="M31" s="34"/>
      <c r="N31" s="34"/>
      <c r="O31" s="34"/>
      <c r="P31" s="34"/>
      <c r="Q31" s="1"/>
      <c r="R31" s="146"/>
      <c r="S31" s="146"/>
    </row>
    <row r="32" spans="1:19" x14ac:dyDescent="0.2">
      <c r="A32" s="146"/>
      <c r="B32" s="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1"/>
      <c r="R32" s="146"/>
      <c r="S32" s="146"/>
    </row>
    <row r="33" spans="1:19" x14ac:dyDescent="0.2">
      <c r="A33" s="146"/>
      <c r="B33" s="1"/>
      <c r="C33" s="1"/>
      <c r="D33" s="84" t="s">
        <v>282</v>
      </c>
      <c r="E33" s="6"/>
      <c r="F33" s="1"/>
      <c r="G33" s="1"/>
      <c r="H33" s="1"/>
      <c r="I33" s="1"/>
      <c r="J33" s="1"/>
      <c r="K33" s="1"/>
      <c r="L33" s="174">
        <f>VLOOKUP(L9,GWP!$A$4:$B$53,2,0)</f>
        <v>1</v>
      </c>
      <c r="M33" s="174">
        <f>VLOOKUP(M9,GWP!$A$4:$B$53,2,0)</f>
        <v>28</v>
      </c>
      <c r="N33" s="174">
        <f>VLOOKUP(N9,GWP!$A$4:$B$53,2,0)</f>
        <v>298</v>
      </c>
      <c r="O33" s="1"/>
      <c r="P33" s="1"/>
      <c r="Q33" s="1"/>
      <c r="R33" s="146"/>
      <c r="S33" s="146"/>
    </row>
    <row r="34" spans="1:19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</row>
    <row r="35" spans="1:19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</row>
    <row r="36" spans="1:19" x14ac:dyDescent="0.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</row>
    <row r="37" spans="1:19" x14ac:dyDescent="0.2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</row>
    <row r="38" spans="1:19" x14ac:dyDescent="0.2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</row>
    <row r="39" spans="1:19" x14ac:dyDescent="0.2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</row>
    <row r="40" spans="1:19" x14ac:dyDescent="0.2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</row>
    <row r="41" spans="1:19" x14ac:dyDescent="0.2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</row>
    <row r="42" spans="1:19" x14ac:dyDescent="0.2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</row>
    <row r="43" spans="1:19" x14ac:dyDescent="0.2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</row>
    <row r="44" spans="1:19" x14ac:dyDescent="0.2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</row>
    <row r="45" spans="1:19" x14ac:dyDescent="0.2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</row>
    <row r="46" spans="1:19" x14ac:dyDescent="0.2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</row>
    <row r="47" spans="1:19" x14ac:dyDescent="0.2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</row>
    <row r="48" spans="1:19" x14ac:dyDescent="0.2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</row>
  </sheetData>
  <sheetProtection selectLockedCells="1" selectUnlockedCells="1"/>
  <mergeCells count="3">
    <mergeCell ref="L7:N8"/>
    <mergeCell ref="H13:H29"/>
    <mergeCell ref="B2:D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>
          <x14:formula1>
            <xm:f>'DB E'!$A$4:$A$16</xm:f>
          </x14:formula1>
          <xm:sqref>D13:D16</xm:sqref>
        </x14:dataValidation>
        <x14:dataValidation type="list" operator="equal" allowBlank="1">
          <x14:formula1>
            <xm:f>'DB H'!$A$4:$A$33</xm:f>
          </x14:formula1>
          <xm:sqref>D20:D22</xm:sqref>
        </x14:dataValidation>
        <x14:dataValidation type="list" operator="equal" allowBlank="1">
          <x14:formula1>
            <xm:f>'DB E'!$A$5:$A$16</xm:f>
          </x14:formula1>
          <x14:formula2>
            <xm:f>0</xm:f>
          </x14:formula2>
          <xm:sqref>D13:D16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S36"/>
  <sheetViews>
    <sheetView zoomScale="85" zoomScaleNormal="85" workbookViewId="0">
      <selection activeCell="F25" sqref="F25"/>
    </sheetView>
  </sheetViews>
  <sheetFormatPr defaultColWidth="11.5703125" defaultRowHeight="12.75" x14ac:dyDescent="0.2"/>
  <cols>
    <col min="2" max="3" width="4.5703125" customWidth="1"/>
    <col min="4" max="4" width="36.5703125" customWidth="1"/>
    <col min="5" max="5" width="13.140625" bestFit="1" customWidth="1"/>
    <col min="6" max="6" width="8.5703125" bestFit="1" customWidth="1"/>
    <col min="7" max="7" width="6.7109375" customWidth="1"/>
    <col min="8" max="8" width="14.7109375" customWidth="1"/>
    <col min="9" max="9" width="6.5703125" customWidth="1"/>
    <col min="10" max="10" width="16.140625" bestFit="1" customWidth="1"/>
    <col min="11" max="11" width="4.7109375" customWidth="1"/>
    <col min="12" max="15" width="6.7109375" customWidth="1"/>
    <col min="16" max="16" width="46" customWidth="1"/>
    <col min="17" max="17" width="3.85546875" customWidth="1"/>
  </cols>
  <sheetData>
    <row r="1" spans="1:19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20.25" customHeight="1" x14ac:dyDescent="0.2">
      <c r="A2" s="146"/>
      <c r="B2" s="357" t="str">
        <f>+H13</f>
        <v>Drogen en pelletsieren</v>
      </c>
      <c r="C2" s="357"/>
      <c r="D2" s="357"/>
      <c r="E2" s="2" t="s">
        <v>10</v>
      </c>
      <c r="I2" s="83">
        <f>+Massabalans!H25</f>
        <v>2.1170880549583284</v>
      </c>
      <c r="J2" s="7" t="s">
        <v>36</v>
      </c>
      <c r="M2" s="146"/>
      <c r="N2" s="146"/>
      <c r="O2" s="146"/>
      <c r="P2" s="146"/>
      <c r="Q2" s="146"/>
      <c r="R2" s="146"/>
      <c r="S2" s="146"/>
    </row>
    <row r="3" spans="1:19" ht="21" customHeight="1" x14ac:dyDescent="0.2">
      <c r="A3" s="146"/>
      <c r="B3" s="357"/>
      <c r="C3" s="357"/>
      <c r="D3" s="357"/>
      <c r="E3" s="2" t="s">
        <v>12</v>
      </c>
      <c r="I3" s="4">
        <f>SUM(J13:J29)/1000</f>
        <v>0.10282047133333334</v>
      </c>
      <c r="J3" s="7" t="s">
        <v>37</v>
      </c>
      <c r="M3" s="146"/>
      <c r="N3" s="146"/>
      <c r="O3" s="146"/>
      <c r="P3" s="146"/>
      <c r="Q3" s="146"/>
      <c r="R3" s="146"/>
      <c r="S3" s="146"/>
    </row>
    <row r="4" spans="1:19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x14ac:dyDescent="0.2">
      <c r="A5" s="146"/>
      <c r="B5" s="1"/>
      <c r="C5" s="1"/>
      <c r="D5" s="8"/>
      <c r="E5" s="8"/>
      <c r="F5" s="3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6"/>
      <c r="S5" s="146"/>
    </row>
    <row r="6" spans="1:19" x14ac:dyDescent="0.2">
      <c r="A6" s="146"/>
      <c r="B6" s="1"/>
      <c r="C6" s="33"/>
      <c r="D6" s="34"/>
      <c r="E6" s="34"/>
      <c r="F6" s="34"/>
      <c r="G6" s="33"/>
      <c r="H6" s="33"/>
      <c r="I6" s="33"/>
      <c r="J6" s="34"/>
      <c r="K6" s="34"/>
      <c r="L6" s="35"/>
      <c r="M6" s="35"/>
      <c r="N6" s="35"/>
      <c r="O6" s="34"/>
      <c r="P6" s="34"/>
      <c r="Q6" s="1"/>
      <c r="R6" s="146"/>
      <c r="S6" s="146"/>
    </row>
    <row r="7" spans="1:19" x14ac:dyDescent="0.2">
      <c r="A7" s="146"/>
      <c r="B7" s="1"/>
      <c r="C7" s="33"/>
      <c r="D7" s="34"/>
      <c r="E7" s="34"/>
      <c r="F7" s="34"/>
      <c r="G7" s="33"/>
      <c r="H7" s="33"/>
      <c r="I7" s="33"/>
      <c r="J7" s="34"/>
      <c r="K7" s="34"/>
      <c r="L7" s="385" t="s">
        <v>14</v>
      </c>
      <c r="M7" s="385"/>
      <c r="N7" s="385"/>
      <c r="O7" s="34"/>
      <c r="P7" s="51" t="s">
        <v>22</v>
      </c>
      <c r="Q7" s="1"/>
      <c r="R7" s="146"/>
      <c r="S7" s="146"/>
    </row>
    <row r="8" spans="1:19" x14ac:dyDescent="0.2">
      <c r="A8" s="146"/>
      <c r="B8" s="1"/>
      <c r="C8" s="33"/>
      <c r="D8" s="34"/>
      <c r="E8" s="34"/>
      <c r="F8" s="34"/>
      <c r="G8" s="33"/>
      <c r="H8" s="33"/>
      <c r="I8" s="33"/>
      <c r="J8" s="34"/>
      <c r="K8" s="34"/>
      <c r="L8" s="385"/>
      <c r="M8" s="385"/>
      <c r="N8" s="385"/>
      <c r="O8" s="34"/>
      <c r="P8" s="34"/>
      <c r="Q8" s="1"/>
      <c r="R8" s="146"/>
      <c r="S8" s="146"/>
    </row>
    <row r="9" spans="1:19" x14ac:dyDescent="0.2">
      <c r="A9" s="146"/>
      <c r="B9" s="1"/>
      <c r="C9" s="33"/>
      <c r="D9" s="34"/>
      <c r="E9" s="34"/>
      <c r="F9" s="34"/>
      <c r="G9" s="33"/>
      <c r="H9" s="33"/>
      <c r="I9" s="33"/>
      <c r="J9" s="34"/>
      <c r="K9" s="34"/>
      <c r="L9" s="36" t="s">
        <v>18</v>
      </c>
      <c r="M9" s="36" t="s">
        <v>19</v>
      </c>
      <c r="N9" s="36" t="s">
        <v>20</v>
      </c>
      <c r="O9" s="34"/>
      <c r="P9" s="34"/>
      <c r="Q9" s="1"/>
      <c r="R9" s="146"/>
      <c r="S9" s="146"/>
    </row>
    <row r="10" spans="1:19" x14ac:dyDescent="0.2">
      <c r="A10" s="146"/>
      <c r="B10" s="1"/>
      <c r="C10" s="33"/>
      <c r="D10" s="34"/>
      <c r="E10" s="34"/>
      <c r="F10" s="34"/>
      <c r="G10" s="33"/>
      <c r="H10" s="33"/>
      <c r="I10" s="33"/>
      <c r="J10" s="34"/>
      <c r="K10" s="33"/>
      <c r="L10" s="36"/>
      <c r="M10" s="36"/>
      <c r="N10" s="36"/>
      <c r="O10" s="34"/>
      <c r="P10" s="34"/>
      <c r="Q10" s="1"/>
      <c r="R10" s="146"/>
      <c r="S10" s="146"/>
    </row>
    <row r="11" spans="1:19" x14ac:dyDescent="0.2">
      <c r="A11" s="146"/>
      <c r="B11" s="32"/>
      <c r="C11" s="34"/>
      <c r="D11" s="78" t="s">
        <v>38</v>
      </c>
      <c r="E11" s="37" t="s">
        <v>21</v>
      </c>
      <c r="F11" s="38" t="s">
        <v>16</v>
      </c>
      <c r="G11" s="33"/>
      <c r="H11" s="92"/>
      <c r="I11" s="33"/>
      <c r="J11" s="224" t="s">
        <v>318</v>
      </c>
      <c r="K11" s="33"/>
      <c r="L11" s="34"/>
      <c r="M11" s="34"/>
      <c r="N11" s="34"/>
      <c r="O11" s="34"/>
      <c r="P11" s="92"/>
      <c r="Q11" s="1"/>
      <c r="R11" s="146"/>
      <c r="S11" s="146"/>
    </row>
    <row r="12" spans="1:19" s="80" customFormat="1" x14ac:dyDescent="0.2">
      <c r="A12" s="146"/>
      <c r="B12" s="76"/>
      <c r="C12" s="101"/>
      <c r="D12" s="87"/>
      <c r="E12" s="87"/>
      <c r="F12" s="88"/>
      <c r="G12" s="102"/>
      <c r="H12" s="92"/>
      <c r="I12" s="102"/>
      <c r="J12" s="224" t="s">
        <v>319</v>
      </c>
      <c r="K12" s="102"/>
      <c r="L12" s="101"/>
      <c r="M12" s="101"/>
      <c r="N12" s="101"/>
      <c r="O12" s="101"/>
      <c r="P12" s="92"/>
      <c r="Q12" s="81"/>
      <c r="R12" s="146"/>
      <c r="S12" s="146"/>
    </row>
    <row r="13" spans="1:19" x14ac:dyDescent="0.2">
      <c r="A13" s="146"/>
      <c r="B13" s="1"/>
      <c r="C13" s="33"/>
      <c r="D13" s="219" t="s">
        <v>40</v>
      </c>
      <c r="E13" s="211">
        <v>0.04</v>
      </c>
      <c r="F13" s="40" t="str">
        <f>IF(D13=0," ",VLOOKUP(D13,'DB E'!$A$5:$H$29,2,0))</f>
        <v>MJ</v>
      </c>
      <c r="G13" s="33"/>
      <c r="H13" s="386" t="str">
        <f>+Overzicht!R22</f>
        <v>Drogen en pelletsieren</v>
      </c>
      <c r="I13" s="33"/>
      <c r="J13" s="41">
        <f>SUMPRODUCT(L13:N13,L$33:N$33)*E13</f>
        <v>2.8948133333333339</v>
      </c>
      <c r="K13" s="33"/>
      <c r="L13" s="198">
        <f>IF(D13=0,0,VLOOKUP(D13,'DB E'!$A$5:$H$29,5,0))</f>
        <v>66.45427777777779</v>
      </c>
      <c r="M13" s="199">
        <f>IF(D13=0,0,VLOOKUP(D13,'DB E'!$A$5:$H$29,6,0))</f>
        <v>0.20744444444444443</v>
      </c>
      <c r="N13" s="199">
        <f>IF(D13=0,0,VLOOKUP(D13,'DB E'!$A$5:$H$29,7,0))</f>
        <v>3.6111111111111109E-4</v>
      </c>
      <c r="O13" s="34"/>
      <c r="P13" s="50"/>
      <c r="Q13" s="1"/>
      <c r="R13" s="146"/>
      <c r="S13" s="146"/>
    </row>
    <row r="14" spans="1:19" x14ac:dyDescent="0.2">
      <c r="A14" s="146"/>
      <c r="B14" s="1"/>
      <c r="C14" s="33"/>
      <c r="D14" s="220" t="s">
        <v>66</v>
      </c>
      <c r="E14" s="212">
        <v>0.14000000000000001</v>
      </c>
      <c r="F14" s="43" t="str">
        <f>IF(D14=0," ",VLOOKUP(D14,'DB E'!$A$5:$H$29,2,0))</f>
        <v>kWh</v>
      </c>
      <c r="G14" s="33"/>
      <c r="H14" s="387"/>
      <c r="I14" s="33"/>
      <c r="J14" s="44">
        <f>SUMPRODUCT(L14:N14,L$33:N$33)*E14</f>
        <v>99.925658000000013</v>
      </c>
      <c r="K14" s="33"/>
      <c r="L14" s="198">
        <f>IF(D14=0,0,VLOOKUP(D14,'DB E'!$A$5:$H$29,5,0))</f>
        <v>642.42150000000004</v>
      </c>
      <c r="M14" s="199">
        <f>IF(D14=0,0,VLOOKUP(D14,'DB E'!$A$5:$H$29,6,0))</f>
        <v>2.3007</v>
      </c>
      <c r="N14" s="199">
        <f>IF(D14=0,0,VLOOKUP(D14,'DB E'!$A$5:$H$29,7,0))</f>
        <v>2.3199999999999998E-2</v>
      </c>
      <c r="O14" s="34"/>
      <c r="P14" s="50"/>
      <c r="Q14" s="1"/>
      <c r="R14" s="146"/>
      <c r="S14" s="146"/>
    </row>
    <row r="15" spans="1:19" x14ac:dyDescent="0.2">
      <c r="A15" s="146"/>
      <c r="B15" s="1"/>
      <c r="C15" s="33"/>
      <c r="D15" s="220"/>
      <c r="E15" s="212"/>
      <c r="F15" s="43" t="str">
        <f>IF(D15=0," ",VLOOKUP(D15,'DB E'!$A$5:$H$29,2,0))</f>
        <v xml:space="preserve"> </v>
      </c>
      <c r="G15" s="33"/>
      <c r="H15" s="387"/>
      <c r="I15" s="33"/>
      <c r="J15" s="44">
        <f>SUMPRODUCT(L15:N15,L$33:N$33)*E15</f>
        <v>0</v>
      </c>
      <c r="K15" s="33"/>
      <c r="L15" s="198">
        <f>IF(D15=0,0,VLOOKUP(D15,'DB E'!$A$5:$H$29,5,0))</f>
        <v>0</v>
      </c>
      <c r="M15" s="199">
        <f>IF(D15=0,0,VLOOKUP(D15,'DB E'!$A$5:$H$29,6,0))</f>
        <v>0</v>
      </c>
      <c r="N15" s="199">
        <f>IF(D15=0,0,VLOOKUP(D15,'DB E'!$A$5:$H$29,7,0))</f>
        <v>0</v>
      </c>
      <c r="O15" s="34"/>
      <c r="P15" s="50"/>
      <c r="Q15" s="1"/>
      <c r="R15" s="146"/>
      <c r="S15" s="146"/>
    </row>
    <row r="16" spans="1:19" x14ac:dyDescent="0.2">
      <c r="A16" s="146"/>
      <c r="B16" s="1"/>
      <c r="C16" s="33"/>
      <c r="D16" s="221"/>
      <c r="E16" s="213"/>
      <c r="F16" s="46" t="str">
        <f>IF(D16=0," ",VLOOKUP(D16,'DB E'!$A$5:$H$29,2,0))</f>
        <v xml:space="preserve"> </v>
      </c>
      <c r="G16" s="33"/>
      <c r="H16" s="387"/>
      <c r="I16" s="33"/>
      <c r="J16" s="47">
        <f>SUMPRODUCT(L16:N16,L$33:N$33)*E16</f>
        <v>0</v>
      </c>
      <c r="K16" s="33"/>
      <c r="L16" s="198">
        <f>IF(D16=0,0,VLOOKUP(D16,'DB E'!$A$5:$H$29,5,0))</f>
        <v>0</v>
      </c>
      <c r="M16" s="199">
        <f>IF(D16=0,0,VLOOKUP(D16,'DB E'!$A$5:$H$29,6,0))</f>
        <v>0</v>
      </c>
      <c r="N16" s="199">
        <f>IF(D16=0,0,VLOOKUP(D16,'DB E'!$A$5:$H$29,7,0))</f>
        <v>0</v>
      </c>
      <c r="O16" s="34"/>
      <c r="P16" s="50"/>
      <c r="Q16" s="1"/>
      <c r="R16" s="146"/>
      <c r="S16" s="146"/>
    </row>
    <row r="17" spans="1:19" x14ac:dyDescent="0.2">
      <c r="A17" s="146"/>
      <c r="B17" s="1"/>
      <c r="C17" s="34"/>
      <c r="D17" s="34"/>
      <c r="E17" s="222"/>
      <c r="F17" s="34"/>
      <c r="G17" s="33"/>
      <c r="H17" s="387"/>
      <c r="I17" s="34"/>
      <c r="J17" s="34"/>
      <c r="K17" s="34"/>
      <c r="L17" s="101"/>
      <c r="M17" s="101"/>
      <c r="N17" s="101"/>
      <c r="O17" s="34"/>
      <c r="P17" s="34"/>
      <c r="Q17" s="1"/>
      <c r="R17" s="146"/>
      <c r="S17" s="146"/>
    </row>
    <row r="18" spans="1:19" x14ac:dyDescent="0.2">
      <c r="A18" s="146"/>
      <c r="B18" s="1"/>
      <c r="C18" s="34"/>
      <c r="D18" s="34"/>
      <c r="E18" s="222"/>
      <c r="F18" s="34"/>
      <c r="G18" s="33"/>
      <c r="H18" s="387"/>
      <c r="I18" s="34"/>
      <c r="J18" s="34"/>
      <c r="K18" s="34"/>
      <c r="L18" s="101"/>
      <c r="M18" s="101"/>
      <c r="N18" s="101"/>
      <c r="O18" s="34"/>
      <c r="P18" s="34"/>
      <c r="Q18" s="1"/>
      <c r="R18" s="146"/>
      <c r="S18" s="146"/>
    </row>
    <row r="19" spans="1:19" x14ac:dyDescent="0.2">
      <c r="A19" s="146"/>
      <c r="B19" s="1"/>
      <c r="C19" s="33"/>
      <c r="D19" s="37" t="s">
        <v>27</v>
      </c>
      <c r="E19" s="223"/>
      <c r="F19" s="38"/>
      <c r="G19" s="33"/>
      <c r="H19" s="387"/>
      <c r="I19" s="34"/>
      <c r="J19" s="34"/>
      <c r="K19" s="34"/>
      <c r="L19" s="101"/>
      <c r="M19" s="101"/>
      <c r="N19" s="101"/>
      <c r="O19" s="34"/>
      <c r="P19" s="34"/>
      <c r="Q19" s="1"/>
      <c r="R19" s="146"/>
      <c r="S19" s="146"/>
    </row>
    <row r="20" spans="1:19" x14ac:dyDescent="0.2">
      <c r="A20" s="146"/>
      <c r="B20" s="1"/>
      <c r="C20" s="33"/>
      <c r="D20" s="219"/>
      <c r="E20" s="211">
        <v>0</v>
      </c>
      <c r="F20" s="89" t="str">
        <f>IF(D20=0," ",VLOOKUP(D20,'DB H'!$A$5:$H$33,2,0))</f>
        <v xml:space="preserve"> </v>
      </c>
      <c r="G20" s="33"/>
      <c r="H20" s="387"/>
      <c r="I20" s="33"/>
      <c r="J20" s="41">
        <f t="shared" ref="J20:J22" si="0">SUMPRODUCT(L20:N20,L$33:N$33)*E20</f>
        <v>0</v>
      </c>
      <c r="K20" s="33"/>
      <c r="L20" s="214">
        <f>IF(D20=0,0,VLOOKUP(D20,'DB H'!$A$5:$F$41,3,0))</f>
        <v>0</v>
      </c>
      <c r="M20" s="199">
        <f>IF(D20=0,0,VLOOKUP(D20,'DB H'!$A$5:$F$41,4,0))</f>
        <v>0</v>
      </c>
      <c r="N20" s="199">
        <f>IF(D20=0,0,VLOOKUP(D20,'DB H'!$A$5:$F$41,5,0))</f>
        <v>0</v>
      </c>
      <c r="O20" s="34"/>
      <c r="P20" s="50"/>
      <c r="Q20" s="1"/>
      <c r="R20" s="146"/>
      <c r="S20" s="146"/>
    </row>
    <row r="21" spans="1:19" x14ac:dyDescent="0.2">
      <c r="A21" s="146"/>
      <c r="B21" s="1"/>
      <c r="C21" s="33"/>
      <c r="D21" s="220"/>
      <c r="E21" s="212">
        <v>0</v>
      </c>
      <c r="F21" s="90" t="str">
        <f>IF(D21=0," ",VLOOKUP(D21,'DB H'!$A$5:$H$33,2,0))</f>
        <v xml:space="preserve"> </v>
      </c>
      <c r="G21" s="33"/>
      <c r="H21" s="387"/>
      <c r="I21" s="33"/>
      <c r="J21" s="44">
        <f t="shared" si="0"/>
        <v>0</v>
      </c>
      <c r="K21" s="33"/>
      <c r="L21" s="214">
        <f>IF(D21=0,0,VLOOKUP(D21,'DB H'!$A$5:$F$41,3,0))</f>
        <v>0</v>
      </c>
      <c r="M21" s="199">
        <f>IF(D21=0,0,VLOOKUP(D21,'DB H'!$A$5:$F$41,4,0))</f>
        <v>0</v>
      </c>
      <c r="N21" s="199">
        <f>IF(D21=0,0,VLOOKUP(D21,'DB H'!$A$5:$F$41,5,0))</f>
        <v>0</v>
      </c>
      <c r="O21" s="34"/>
      <c r="P21" s="50"/>
      <c r="Q21" s="1"/>
      <c r="R21" s="146"/>
      <c r="S21" s="146"/>
    </row>
    <row r="22" spans="1:19" x14ac:dyDescent="0.2">
      <c r="A22" s="146"/>
      <c r="B22" s="1"/>
      <c r="C22" s="33"/>
      <c r="D22" s="221"/>
      <c r="E22" s="213">
        <v>0</v>
      </c>
      <c r="F22" s="91" t="str">
        <f>IF(D22=0," ",VLOOKUP(D22,'DB H'!$A$5:$H$33,2,0))</f>
        <v xml:space="preserve"> </v>
      </c>
      <c r="G22" s="33"/>
      <c r="H22" s="387"/>
      <c r="I22" s="33"/>
      <c r="J22" s="47">
        <f t="shared" si="0"/>
        <v>0</v>
      </c>
      <c r="K22" s="33"/>
      <c r="L22" s="214">
        <f>IF(D22=0,0,VLOOKUP(D22,'DB H'!$A$5:$F$41,3,0))</f>
        <v>0</v>
      </c>
      <c r="M22" s="199">
        <f>IF(D22=0,0,VLOOKUP(D22,'DB H'!$A$5:$F$41,4,0))</f>
        <v>0</v>
      </c>
      <c r="N22" s="199">
        <f>IF(D22=0,0,VLOOKUP(D22,'DB H'!$A$5:$F$41,5,0))</f>
        <v>0</v>
      </c>
      <c r="O22" s="34"/>
      <c r="P22" s="50"/>
      <c r="Q22" s="1"/>
      <c r="R22" s="146"/>
      <c r="S22" s="146"/>
    </row>
    <row r="23" spans="1:19" x14ac:dyDescent="0.2">
      <c r="A23" s="146"/>
      <c r="B23" s="1"/>
      <c r="C23" s="34"/>
      <c r="D23" s="34"/>
      <c r="E23" s="34"/>
      <c r="F23" s="34"/>
      <c r="G23" s="33"/>
      <c r="H23" s="387"/>
      <c r="I23" s="34"/>
      <c r="J23" s="34"/>
      <c r="K23" s="34"/>
      <c r="L23" s="101"/>
      <c r="M23" s="101"/>
      <c r="N23" s="101"/>
      <c r="O23" s="34"/>
      <c r="P23" s="34"/>
      <c r="Q23" s="1"/>
      <c r="R23" s="146"/>
      <c r="S23" s="146"/>
    </row>
    <row r="24" spans="1:19" x14ac:dyDescent="0.2">
      <c r="A24" s="146"/>
      <c r="B24" s="1"/>
      <c r="C24" s="34"/>
      <c r="D24" s="34"/>
      <c r="E24" s="34"/>
      <c r="F24" s="34"/>
      <c r="G24" s="33"/>
      <c r="H24" s="387"/>
      <c r="I24" s="34"/>
      <c r="J24" s="34"/>
      <c r="K24" s="34"/>
      <c r="L24" s="101"/>
      <c r="M24" s="101"/>
      <c r="N24" s="101"/>
      <c r="O24" s="34"/>
      <c r="P24" s="34"/>
      <c r="Q24" s="1"/>
      <c r="R24" s="146"/>
      <c r="S24" s="146"/>
    </row>
    <row r="25" spans="1:19" x14ac:dyDescent="0.2">
      <c r="A25" s="146"/>
      <c r="B25" s="1"/>
      <c r="C25" s="33"/>
      <c r="D25" s="37" t="s">
        <v>34</v>
      </c>
      <c r="E25" s="92"/>
      <c r="F25" s="38"/>
      <c r="G25" s="33"/>
      <c r="H25" s="387"/>
      <c r="I25" s="34"/>
      <c r="J25" s="34"/>
      <c r="K25" s="34"/>
      <c r="L25" s="101"/>
      <c r="M25" s="101"/>
      <c r="N25" s="101"/>
      <c r="O25" s="34"/>
      <c r="P25" s="34"/>
      <c r="Q25" s="1"/>
      <c r="R25" s="146"/>
      <c r="S25" s="146"/>
    </row>
    <row r="26" spans="1:19" x14ac:dyDescent="0.2">
      <c r="A26" s="146"/>
      <c r="B26" s="1"/>
      <c r="C26" s="33"/>
      <c r="D26" s="39"/>
      <c r="E26" s="92"/>
      <c r="F26" s="40"/>
      <c r="G26" s="33"/>
      <c r="H26" s="387"/>
      <c r="I26" s="33"/>
      <c r="J26" s="93">
        <f>SUMPRODUCT(K26:N26,K$45:N$45)</f>
        <v>0</v>
      </c>
      <c r="K26" s="33"/>
      <c r="L26" s="218"/>
      <c r="M26" s="215"/>
      <c r="N26" s="215"/>
      <c r="O26" s="34"/>
      <c r="P26" s="50" t="s">
        <v>35</v>
      </c>
      <c r="Q26" s="1"/>
      <c r="R26" s="146"/>
      <c r="S26" s="146"/>
    </row>
    <row r="27" spans="1:19" x14ac:dyDescent="0.2">
      <c r="A27" s="146"/>
      <c r="B27" s="1"/>
      <c r="C27" s="33"/>
      <c r="D27" s="42"/>
      <c r="E27" s="92"/>
      <c r="F27" s="43"/>
      <c r="G27" s="33"/>
      <c r="H27" s="387"/>
      <c r="I27" s="33"/>
      <c r="J27" s="94">
        <f t="shared" ref="J27:J29" si="1">SUMPRODUCT(K27:N27,K$45:N$45)</f>
        <v>0</v>
      </c>
      <c r="K27" s="33"/>
      <c r="L27" s="216"/>
      <c r="M27" s="217"/>
      <c r="N27" s="217"/>
      <c r="O27" s="34"/>
      <c r="P27" s="50"/>
      <c r="Q27" s="1"/>
      <c r="R27" s="146"/>
      <c r="S27" s="146"/>
    </row>
    <row r="28" spans="1:19" x14ac:dyDescent="0.2">
      <c r="A28" s="146"/>
      <c r="B28" s="1"/>
      <c r="C28" s="33"/>
      <c r="D28" s="42"/>
      <c r="E28" s="92"/>
      <c r="F28" s="43"/>
      <c r="G28" s="33"/>
      <c r="H28" s="387"/>
      <c r="I28" s="33"/>
      <c r="J28" s="94">
        <f t="shared" si="1"/>
        <v>0</v>
      </c>
      <c r="K28" s="33"/>
      <c r="L28" s="216"/>
      <c r="M28" s="217"/>
      <c r="N28" s="217"/>
      <c r="O28" s="34"/>
      <c r="P28" s="49"/>
      <c r="Q28" s="1"/>
      <c r="R28" s="146"/>
      <c r="S28" s="146"/>
    </row>
    <row r="29" spans="1:19" x14ac:dyDescent="0.2">
      <c r="A29" s="146"/>
      <c r="B29" s="1"/>
      <c r="C29" s="33"/>
      <c r="D29" s="45"/>
      <c r="E29" s="92"/>
      <c r="F29" s="46"/>
      <c r="G29" s="33"/>
      <c r="H29" s="388"/>
      <c r="I29" s="33"/>
      <c r="J29" s="95">
        <f t="shared" si="1"/>
        <v>0</v>
      </c>
      <c r="K29" s="33"/>
      <c r="L29" s="216"/>
      <c r="M29" s="217"/>
      <c r="N29" s="217"/>
      <c r="O29" s="34"/>
      <c r="P29" s="49"/>
      <c r="Q29" s="1"/>
      <c r="R29" s="146"/>
      <c r="S29" s="146"/>
    </row>
    <row r="30" spans="1:19" x14ac:dyDescent="0.2">
      <c r="A30" s="146"/>
      <c r="B30" s="1"/>
      <c r="C30" s="34"/>
      <c r="D30" s="34"/>
      <c r="E30" s="34"/>
      <c r="F30" s="34"/>
      <c r="G30" s="33"/>
      <c r="H30" s="34"/>
      <c r="I30" s="33"/>
      <c r="J30" s="34"/>
      <c r="K30" s="33"/>
      <c r="L30" s="34"/>
      <c r="M30" s="34"/>
      <c r="N30" s="34"/>
      <c r="O30" s="34"/>
      <c r="P30" s="34"/>
      <c r="Q30" s="1"/>
      <c r="R30" s="146"/>
      <c r="S30" s="146"/>
    </row>
    <row r="31" spans="1:19" x14ac:dyDescent="0.2">
      <c r="A31" s="146"/>
      <c r="B31" s="1"/>
      <c r="C31" s="34"/>
      <c r="D31" s="34"/>
      <c r="E31" s="34"/>
      <c r="F31" s="34"/>
      <c r="G31" s="34"/>
      <c r="H31" s="34"/>
      <c r="I31" s="34"/>
      <c r="J31" s="34"/>
      <c r="K31" s="33"/>
      <c r="L31" s="34"/>
      <c r="M31" s="34"/>
      <c r="N31" s="34"/>
      <c r="O31" s="34"/>
      <c r="P31" s="34"/>
      <c r="Q31" s="1"/>
      <c r="R31" s="146"/>
      <c r="S31" s="146"/>
    </row>
    <row r="32" spans="1:19" x14ac:dyDescent="0.2">
      <c r="A32" s="146"/>
      <c r="B32" s="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1"/>
      <c r="R32" s="146"/>
      <c r="S32" s="146"/>
    </row>
    <row r="33" spans="1:19" x14ac:dyDescent="0.2">
      <c r="A33" s="146"/>
      <c r="B33" s="1"/>
      <c r="C33" s="1"/>
      <c r="D33" s="84" t="s">
        <v>282</v>
      </c>
      <c r="E33" s="6"/>
      <c r="F33" s="1"/>
      <c r="G33" s="1"/>
      <c r="H33" s="1"/>
      <c r="I33" s="1"/>
      <c r="J33" s="1"/>
      <c r="K33" s="1"/>
      <c r="L33" s="11">
        <f>VLOOKUP(L9,GWP!$A$4:$B$53,2,0)</f>
        <v>1</v>
      </c>
      <c r="M33" s="11">
        <f>VLOOKUP(M9,GWP!$A$4:$B$53,2,0)</f>
        <v>28</v>
      </c>
      <c r="N33" s="11">
        <f>VLOOKUP(N9,GWP!$A$4:$B$53,2,0)</f>
        <v>298</v>
      </c>
      <c r="O33" s="1"/>
      <c r="P33" s="1"/>
      <c r="Q33" s="1"/>
      <c r="R33" s="146"/>
      <c r="S33" s="146"/>
    </row>
    <row r="34" spans="1:19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</row>
    <row r="35" spans="1:19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</row>
    <row r="36" spans="1:19" x14ac:dyDescent="0.2">
      <c r="A36" s="146"/>
    </row>
  </sheetData>
  <sheetProtection selectLockedCells="1" selectUnlockedCells="1"/>
  <mergeCells count="3">
    <mergeCell ref="L7:N8"/>
    <mergeCell ref="H13:H29"/>
    <mergeCell ref="B2:D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>
          <x14:formula1>
            <xm:f>'DB E'!$A$4:$A$16</xm:f>
          </x14:formula1>
          <xm:sqref>D13:D16</xm:sqref>
        </x14:dataValidation>
        <x14:dataValidation type="list" operator="equal" allowBlank="1">
          <x14:formula1>
            <xm:f>'DB H'!$A$4:$A$33</xm:f>
          </x14:formula1>
          <xm:sqref>D20:D22</xm:sqref>
        </x14:dataValidation>
        <x14:dataValidation type="list" operator="equal" allowBlank="1">
          <x14:formula1>
            <xm:f>'DB E'!$A$5:$A$16</xm:f>
          </x14:formula1>
          <x14:formula2>
            <xm:f>0</xm:f>
          </x14:formula2>
          <xm:sqref>D13:D15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S36"/>
  <sheetViews>
    <sheetView zoomScale="85" zoomScaleNormal="85" workbookViewId="0">
      <selection activeCell="F25" sqref="F25"/>
    </sheetView>
  </sheetViews>
  <sheetFormatPr defaultColWidth="11.5703125" defaultRowHeight="12.75" x14ac:dyDescent="0.2"/>
  <cols>
    <col min="2" max="3" width="4.5703125" customWidth="1"/>
    <col min="4" max="4" width="36.5703125" customWidth="1"/>
    <col min="5" max="5" width="13.140625" bestFit="1" customWidth="1"/>
    <col min="6" max="6" width="8.5703125" bestFit="1" customWidth="1"/>
    <col min="7" max="7" width="6.7109375" customWidth="1"/>
    <col min="8" max="8" width="14.7109375" customWidth="1"/>
    <col min="9" max="9" width="6.5703125" customWidth="1"/>
    <col min="10" max="10" width="16.140625" bestFit="1" customWidth="1"/>
    <col min="11" max="11" width="4.7109375" customWidth="1"/>
    <col min="12" max="15" width="6.7109375" customWidth="1"/>
    <col min="16" max="16" width="46" customWidth="1"/>
    <col min="17" max="17" width="3.85546875" customWidth="1"/>
  </cols>
  <sheetData>
    <row r="1" spans="1:19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20.100000000000001" customHeight="1" x14ac:dyDescent="0.2">
      <c r="A2" s="146"/>
      <c r="B2" s="357" t="s">
        <v>218</v>
      </c>
      <c r="C2" s="357"/>
      <c r="D2" s="357"/>
      <c r="E2" s="2" t="s">
        <v>10</v>
      </c>
      <c r="I2">
        <v>1</v>
      </c>
      <c r="J2" s="7" t="s">
        <v>41</v>
      </c>
      <c r="M2" s="146"/>
      <c r="N2" s="146"/>
      <c r="O2" s="146"/>
      <c r="P2" s="146"/>
      <c r="Q2" s="146"/>
      <c r="R2" s="146"/>
      <c r="S2" s="146"/>
    </row>
    <row r="3" spans="1:19" ht="20.100000000000001" customHeight="1" x14ac:dyDescent="0.2">
      <c r="A3" s="146"/>
      <c r="B3" s="357"/>
      <c r="C3" s="357"/>
      <c r="D3" s="357"/>
      <c r="E3" s="2" t="s">
        <v>12</v>
      </c>
      <c r="I3" s="3">
        <f>SUM(J13:J29)/1000</f>
        <v>6.3318636666666678E-2</v>
      </c>
      <c r="J3" s="7" t="s">
        <v>42</v>
      </c>
      <c r="M3" s="146"/>
      <c r="N3" s="146"/>
      <c r="O3" s="146"/>
      <c r="P3" s="146"/>
      <c r="Q3" s="146"/>
      <c r="R3" s="146"/>
      <c r="S3" s="146"/>
    </row>
    <row r="4" spans="1:19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x14ac:dyDescent="0.2">
      <c r="A5" s="146"/>
      <c r="B5" s="1"/>
      <c r="C5" s="1"/>
      <c r="D5" s="8"/>
      <c r="E5" s="8"/>
      <c r="F5" s="3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6"/>
      <c r="S5" s="146"/>
    </row>
    <row r="6" spans="1:19" x14ac:dyDescent="0.2">
      <c r="A6" s="146"/>
      <c r="B6" s="1"/>
      <c r="C6" s="33"/>
      <c r="D6" s="34"/>
      <c r="E6" s="34"/>
      <c r="F6" s="34"/>
      <c r="G6" s="33"/>
      <c r="H6" s="33"/>
      <c r="I6" s="33"/>
      <c r="J6" s="34"/>
      <c r="K6" s="34"/>
      <c r="L6" s="35"/>
      <c r="M6" s="35"/>
      <c r="N6" s="35"/>
      <c r="O6" s="34"/>
      <c r="P6" s="34"/>
      <c r="Q6" s="1"/>
      <c r="R6" s="146"/>
      <c r="S6" s="146"/>
    </row>
    <row r="7" spans="1:19" x14ac:dyDescent="0.2">
      <c r="A7" s="146"/>
      <c r="B7" s="1"/>
      <c r="C7" s="33"/>
      <c r="D7" s="34"/>
      <c r="E7" s="34"/>
      <c r="F7" s="34"/>
      <c r="G7" s="33"/>
      <c r="H7" s="33"/>
      <c r="I7" s="33"/>
      <c r="J7" s="34"/>
      <c r="K7" s="34"/>
      <c r="L7" s="385" t="s">
        <v>14</v>
      </c>
      <c r="M7" s="385"/>
      <c r="N7" s="385"/>
      <c r="O7" s="34"/>
      <c r="P7" s="51" t="s">
        <v>22</v>
      </c>
      <c r="Q7" s="1"/>
      <c r="R7" s="146"/>
      <c r="S7" s="146"/>
    </row>
    <row r="8" spans="1:19" x14ac:dyDescent="0.2">
      <c r="A8" s="146"/>
      <c r="B8" s="1"/>
      <c r="C8" s="33"/>
      <c r="D8" s="34"/>
      <c r="E8" s="34"/>
      <c r="F8" s="34"/>
      <c r="G8" s="33"/>
      <c r="H8" s="33"/>
      <c r="I8" s="33"/>
      <c r="J8" s="34"/>
      <c r="K8" s="34"/>
      <c r="L8" s="385"/>
      <c r="M8" s="385"/>
      <c r="N8" s="385"/>
      <c r="O8" s="34"/>
      <c r="P8" s="34"/>
      <c r="Q8" s="1"/>
      <c r="R8" s="146"/>
      <c r="S8" s="146"/>
    </row>
    <row r="9" spans="1:19" x14ac:dyDescent="0.2">
      <c r="A9" s="146"/>
      <c r="B9" s="1"/>
      <c r="C9" s="33"/>
      <c r="D9" s="34"/>
      <c r="E9" s="34"/>
      <c r="F9" s="34"/>
      <c r="G9" s="33"/>
      <c r="H9" s="33"/>
      <c r="I9" s="33"/>
      <c r="J9" s="34"/>
      <c r="K9" s="34"/>
      <c r="L9" s="36" t="s">
        <v>18</v>
      </c>
      <c r="M9" s="36" t="s">
        <v>19</v>
      </c>
      <c r="N9" s="36" t="s">
        <v>20</v>
      </c>
      <c r="O9" s="34"/>
      <c r="P9" s="34"/>
      <c r="Q9" s="1"/>
      <c r="R9" s="146"/>
      <c r="S9" s="146"/>
    </row>
    <row r="10" spans="1:19" x14ac:dyDescent="0.2">
      <c r="A10" s="146"/>
      <c r="B10" s="1"/>
      <c r="C10" s="33"/>
      <c r="D10" s="34"/>
      <c r="E10" s="34"/>
      <c r="F10" s="34"/>
      <c r="G10" s="33"/>
      <c r="H10" s="33"/>
      <c r="I10" s="33"/>
      <c r="J10" s="34"/>
      <c r="K10" s="33"/>
      <c r="L10" s="36"/>
      <c r="M10" s="36"/>
      <c r="N10" s="36"/>
      <c r="O10" s="34"/>
      <c r="P10" s="34"/>
      <c r="Q10" s="1"/>
      <c r="R10" s="146"/>
      <c r="S10" s="146"/>
    </row>
    <row r="11" spans="1:19" x14ac:dyDescent="0.2">
      <c r="A11" s="146"/>
      <c r="B11" s="32"/>
      <c r="C11" s="34"/>
      <c r="D11" s="78" t="s">
        <v>43</v>
      </c>
      <c r="E11" s="37" t="s">
        <v>21</v>
      </c>
      <c r="F11" s="38" t="s">
        <v>16</v>
      </c>
      <c r="G11" s="33"/>
      <c r="H11" s="92"/>
      <c r="I11" s="33"/>
      <c r="J11" s="224" t="s">
        <v>318</v>
      </c>
      <c r="K11" s="33"/>
      <c r="L11" s="34"/>
      <c r="M11" s="34"/>
      <c r="N11" s="34"/>
      <c r="O11" s="34"/>
      <c r="P11" s="92"/>
      <c r="Q11" s="1"/>
      <c r="R11" s="146"/>
      <c r="S11" s="146"/>
    </row>
    <row r="12" spans="1:19" s="80" customFormat="1" x14ac:dyDescent="0.2">
      <c r="A12" s="146"/>
      <c r="B12" s="76"/>
      <c r="C12" s="101"/>
      <c r="D12" s="87"/>
      <c r="E12" s="87"/>
      <c r="F12" s="88"/>
      <c r="G12" s="102"/>
      <c r="H12" s="92"/>
      <c r="I12" s="102"/>
      <c r="J12" s="224" t="s">
        <v>319</v>
      </c>
      <c r="K12" s="102"/>
      <c r="L12" s="101"/>
      <c r="M12" s="101"/>
      <c r="N12" s="101"/>
      <c r="O12" s="101"/>
      <c r="P12" s="92"/>
      <c r="Q12" s="81"/>
      <c r="R12" s="146"/>
      <c r="S12" s="146"/>
    </row>
    <row r="13" spans="1:19" x14ac:dyDescent="0.2">
      <c r="A13" s="146"/>
      <c r="B13" s="1"/>
      <c r="C13" s="33"/>
      <c r="D13" s="219" t="s">
        <v>40</v>
      </c>
      <c r="E13" s="211">
        <v>0.5</v>
      </c>
      <c r="F13" s="40" t="str">
        <f>IF(D13=0," ",VLOOKUP(D13,'DB E'!$A$5:$H$29,2,0))</f>
        <v>MJ</v>
      </c>
      <c r="G13" s="33"/>
      <c r="H13" s="389" t="str">
        <f>+Overzicht!R38</f>
        <v>Vergassing en methanol productie</v>
      </c>
      <c r="I13" s="33"/>
      <c r="J13" s="41">
        <f>SUMPRODUCT(L13:N13,L$33:N$33)*E13</f>
        <v>36.185166666666674</v>
      </c>
      <c r="K13" s="33"/>
      <c r="L13" s="198">
        <f>IF(D13=0,0,VLOOKUP(D13,'DB E'!$A$5:$H$29,5,0))</f>
        <v>66.45427777777779</v>
      </c>
      <c r="M13" s="199">
        <f>IF(D13=0,0,VLOOKUP(D13,'DB E'!$A$5:$H$29,6,0))</f>
        <v>0.20744444444444443</v>
      </c>
      <c r="N13" s="199">
        <f>IF(D13=0,0,VLOOKUP(D13,'DB E'!$A$5:$H$29,7,0))</f>
        <v>3.6111111111111109E-4</v>
      </c>
      <c r="O13" s="34"/>
      <c r="P13" s="50" t="s">
        <v>44</v>
      </c>
      <c r="Q13" s="1"/>
      <c r="R13" s="146"/>
      <c r="S13" s="146"/>
    </row>
    <row r="14" spans="1:19" x14ac:dyDescent="0.2">
      <c r="A14" s="146"/>
      <c r="B14" s="1"/>
      <c r="C14" s="33"/>
      <c r="D14" s="220"/>
      <c r="E14" s="212"/>
      <c r="F14" s="43" t="str">
        <f>IF(D14=0," ",VLOOKUP(D14,'DB E'!$A$5:$H$29,2,0))</f>
        <v xml:space="preserve"> </v>
      </c>
      <c r="G14" s="33"/>
      <c r="H14" s="390"/>
      <c r="I14" s="33"/>
      <c r="J14" s="44">
        <f>SUMPRODUCT(L14:N14,L$33:N$33)*E14</f>
        <v>0</v>
      </c>
      <c r="K14" s="33"/>
      <c r="L14" s="198">
        <f>IF(D14=0,0,VLOOKUP(D14,'DB E'!$A$5:$H$29,5,0))</f>
        <v>0</v>
      </c>
      <c r="M14" s="199">
        <f>IF(D14=0,0,VLOOKUP(D14,'DB E'!$A$5:$H$29,6,0))</f>
        <v>0</v>
      </c>
      <c r="N14" s="199">
        <f>IF(D14=0,0,VLOOKUP(D14,'DB E'!$A$5:$H$29,7,0))</f>
        <v>0</v>
      </c>
      <c r="O14" s="34"/>
      <c r="P14" s="50"/>
      <c r="Q14" s="1"/>
      <c r="R14" s="146"/>
      <c r="S14" s="146"/>
    </row>
    <row r="15" spans="1:19" x14ac:dyDescent="0.2">
      <c r="A15" s="146"/>
      <c r="B15" s="1"/>
      <c r="C15" s="33"/>
      <c r="D15" s="220"/>
      <c r="E15" s="212"/>
      <c r="F15" s="43" t="str">
        <f>IF(D15=0," ",VLOOKUP(D15,'DB E'!$A$5:$H$29,2,0))</f>
        <v xml:space="preserve"> </v>
      </c>
      <c r="G15" s="33"/>
      <c r="H15" s="390"/>
      <c r="I15" s="33"/>
      <c r="J15" s="44">
        <f>SUMPRODUCT(L15:N15,L$33:N$33)*E15</f>
        <v>0</v>
      </c>
      <c r="K15" s="33"/>
      <c r="L15" s="198">
        <f>IF(D15=0,0,VLOOKUP(D15,'DB E'!$A$5:$H$29,5,0))</f>
        <v>0</v>
      </c>
      <c r="M15" s="199">
        <f>IF(D15=0,0,VLOOKUP(D15,'DB E'!$A$5:$H$29,6,0))</f>
        <v>0</v>
      </c>
      <c r="N15" s="199">
        <f>IF(D15=0,0,VLOOKUP(D15,'DB E'!$A$5:$H$29,7,0))</f>
        <v>0</v>
      </c>
      <c r="O15" s="34"/>
      <c r="P15" s="50"/>
      <c r="Q15" s="1"/>
      <c r="R15" s="146"/>
      <c r="S15" s="146"/>
    </row>
    <row r="16" spans="1:19" x14ac:dyDescent="0.2">
      <c r="A16" s="146"/>
      <c r="B16" s="1"/>
      <c r="C16" s="33"/>
      <c r="D16" s="221"/>
      <c r="E16" s="213"/>
      <c r="F16" s="46" t="str">
        <f>IF(D16=0," ",VLOOKUP(D16,'DB E'!$A$5:$H$29,2,0))</f>
        <v xml:space="preserve"> </v>
      </c>
      <c r="G16" s="33"/>
      <c r="H16" s="390"/>
      <c r="I16" s="33"/>
      <c r="J16" s="47">
        <f>SUMPRODUCT(L16:N16,L$33:N$33)*E16</f>
        <v>0</v>
      </c>
      <c r="K16" s="33"/>
      <c r="L16" s="198">
        <f>IF(D16=0,0,VLOOKUP(D16,'DB E'!$A$5:$H$29,5,0))</f>
        <v>0</v>
      </c>
      <c r="M16" s="199">
        <f>IF(D16=0,0,VLOOKUP(D16,'DB E'!$A$5:$H$29,6,0))</f>
        <v>0</v>
      </c>
      <c r="N16" s="199">
        <f>IF(D16=0,0,VLOOKUP(D16,'DB E'!$A$5:$H$29,7,0))</f>
        <v>0</v>
      </c>
      <c r="O16" s="34"/>
      <c r="P16" s="50"/>
      <c r="Q16" s="1"/>
      <c r="R16" s="146"/>
      <c r="S16" s="146"/>
    </row>
    <row r="17" spans="1:19" x14ac:dyDescent="0.2">
      <c r="A17" s="146"/>
      <c r="B17" s="1"/>
      <c r="C17" s="34"/>
      <c r="D17" s="34"/>
      <c r="E17" s="34"/>
      <c r="F17" s="34"/>
      <c r="G17" s="33"/>
      <c r="H17" s="390"/>
      <c r="I17" s="34"/>
      <c r="J17" s="34"/>
      <c r="K17" s="34"/>
      <c r="L17" s="101"/>
      <c r="M17" s="101"/>
      <c r="N17" s="101"/>
      <c r="O17" s="34"/>
      <c r="P17" s="34"/>
      <c r="Q17" s="1"/>
      <c r="R17" s="146"/>
      <c r="S17" s="146"/>
    </row>
    <row r="18" spans="1:19" x14ac:dyDescent="0.2">
      <c r="A18" s="146"/>
      <c r="B18" s="1"/>
      <c r="C18" s="34"/>
      <c r="D18" s="34"/>
      <c r="E18" s="34"/>
      <c r="F18" s="34"/>
      <c r="G18" s="33"/>
      <c r="H18" s="390"/>
      <c r="I18" s="34"/>
      <c r="J18" s="34"/>
      <c r="K18" s="34"/>
      <c r="L18" s="101"/>
      <c r="M18" s="101"/>
      <c r="N18" s="101"/>
      <c r="O18" s="34"/>
      <c r="P18" s="34"/>
      <c r="Q18" s="1"/>
      <c r="R18" s="146"/>
      <c r="S18" s="146"/>
    </row>
    <row r="19" spans="1:19" x14ac:dyDescent="0.2">
      <c r="A19" s="146"/>
      <c r="B19" s="1"/>
      <c r="C19" s="33"/>
      <c r="D19" s="37" t="s">
        <v>27</v>
      </c>
      <c r="E19" s="37"/>
      <c r="F19" s="38"/>
      <c r="G19" s="33"/>
      <c r="H19" s="390"/>
      <c r="I19" s="34"/>
      <c r="J19" s="34"/>
      <c r="K19" s="34"/>
      <c r="L19" s="101"/>
      <c r="M19" s="101"/>
      <c r="N19" s="101"/>
      <c r="O19" s="34"/>
      <c r="P19" s="34"/>
      <c r="Q19" s="1"/>
      <c r="R19" s="146"/>
      <c r="S19" s="146"/>
    </row>
    <row r="20" spans="1:19" x14ac:dyDescent="0.2">
      <c r="A20" s="146"/>
      <c r="B20" s="1"/>
      <c r="C20" s="33"/>
      <c r="D20" s="219" t="s">
        <v>283</v>
      </c>
      <c r="E20" s="211">
        <v>0.1</v>
      </c>
      <c r="F20" s="89" t="str">
        <f>IF(D20=0," ",VLOOKUP(D20,'DB H'!$A$5:$H$33,2,0))</f>
        <v xml:space="preserve">kg  </v>
      </c>
      <c r="G20" s="33"/>
      <c r="H20" s="390"/>
      <c r="I20" s="33"/>
      <c r="J20" s="41">
        <f t="shared" ref="J20:J22" si="0">SUMPRODUCT(L20:N20,L$33:N$33)*E20</f>
        <v>27.133470000000003</v>
      </c>
      <c r="K20" s="33"/>
      <c r="L20" s="214">
        <f>IF(D20=0,0,VLOOKUP(D20,'DB H'!$A$5:$F$41,3,0))</f>
        <v>246.59010000000001</v>
      </c>
      <c r="M20" s="199">
        <f>IF(D20=0,0,VLOOKUP(D20,'DB H'!$A$5:$F$41,4,0))</f>
        <v>0.82520000000000004</v>
      </c>
      <c r="N20" s="199">
        <f>IF(D20=0,0,VLOOKUP(D20,'DB H'!$A$5:$F$41,5,0))</f>
        <v>5.4999999999999997E-3</v>
      </c>
      <c r="O20" s="34"/>
      <c r="P20" s="50"/>
      <c r="Q20" s="1"/>
      <c r="R20" s="146"/>
      <c r="S20" s="146"/>
    </row>
    <row r="21" spans="1:19" x14ac:dyDescent="0.2">
      <c r="A21" s="146"/>
      <c r="B21" s="1"/>
      <c r="C21" s="33"/>
      <c r="D21" s="220"/>
      <c r="E21" s="212"/>
      <c r="F21" s="90" t="str">
        <f>IF(D21=0," ",VLOOKUP(D21,'DB H'!$A$5:$H$33,2,0))</f>
        <v xml:space="preserve"> </v>
      </c>
      <c r="G21" s="33"/>
      <c r="H21" s="390"/>
      <c r="I21" s="33"/>
      <c r="J21" s="44">
        <f t="shared" si="0"/>
        <v>0</v>
      </c>
      <c r="K21" s="33"/>
      <c r="L21" s="214">
        <f>IF(D21=0,0,VLOOKUP(D21,'DB H'!$A$5:$F$41,3,0))</f>
        <v>0</v>
      </c>
      <c r="M21" s="199">
        <f>IF(D21=0,0,VLOOKUP(D21,'DB H'!$A$5:$F$41,4,0))</f>
        <v>0</v>
      </c>
      <c r="N21" s="199">
        <f>IF(D21=0,0,VLOOKUP(D21,'DB H'!$A$5:$F$41,5,0))</f>
        <v>0</v>
      </c>
      <c r="O21" s="34"/>
      <c r="P21" s="50"/>
      <c r="Q21" s="1"/>
      <c r="R21" s="146"/>
      <c r="S21" s="146"/>
    </row>
    <row r="22" spans="1:19" x14ac:dyDescent="0.2">
      <c r="A22" s="146"/>
      <c r="B22" s="1"/>
      <c r="C22" s="33"/>
      <c r="D22" s="221"/>
      <c r="E22" s="213"/>
      <c r="F22" s="91" t="str">
        <f>IF(D22=0," ",VLOOKUP(D22,'DB H'!$A$5:$H$33,2,0))</f>
        <v xml:space="preserve"> </v>
      </c>
      <c r="G22" s="33"/>
      <c r="H22" s="390"/>
      <c r="I22" s="33"/>
      <c r="J22" s="47">
        <f t="shared" si="0"/>
        <v>0</v>
      </c>
      <c r="K22" s="33"/>
      <c r="L22" s="214">
        <f>IF(D22=0,0,VLOOKUP(D22,'DB H'!$A$5:$F$41,3,0))</f>
        <v>0</v>
      </c>
      <c r="M22" s="199">
        <f>IF(D22=0,0,VLOOKUP(D22,'DB H'!$A$5:$F$41,4,0))</f>
        <v>0</v>
      </c>
      <c r="N22" s="199">
        <f>IF(D22=0,0,VLOOKUP(D22,'DB H'!$A$5:$F$41,5,0))</f>
        <v>0</v>
      </c>
      <c r="O22" s="34"/>
      <c r="P22" s="50"/>
      <c r="Q22" s="1"/>
      <c r="R22" s="146"/>
      <c r="S22" s="146"/>
    </row>
    <row r="23" spans="1:19" x14ac:dyDescent="0.2">
      <c r="A23" s="146"/>
      <c r="B23" s="1"/>
      <c r="C23" s="34"/>
      <c r="D23" s="34"/>
      <c r="E23" s="34"/>
      <c r="F23" s="34"/>
      <c r="G23" s="33"/>
      <c r="H23" s="390"/>
      <c r="I23" s="34"/>
      <c r="J23" s="34"/>
      <c r="K23" s="34"/>
      <c r="L23" s="101"/>
      <c r="M23" s="101"/>
      <c r="N23" s="101"/>
      <c r="O23" s="34"/>
      <c r="P23" s="34"/>
      <c r="Q23" s="1"/>
      <c r="R23" s="146"/>
      <c r="S23" s="146"/>
    </row>
    <row r="24" spans="1:19" x14ac:dyDescent="0.2">
      <c r="A24" s="146"/>
      <c r="B24" s="1"/>
      <c r="C24" s="34"/>
      <c r="D24" s="34"/>
      <c r="E24" s="34"/>
      <c r="F24" s="34"/>
      <c r="G24" s="33"/>
      <c r="H24" s="390"/>
      <c r="I24" s="34"/>
      <c r="J24" s="34"/>
      <c r="K24" s="34"/>
      <c r="L24" s="101"/>
      <c r="M24" s="101"/>
      <c r="N24" s="101"/>
      <c r="O24" s="34"/>
      <c r="P24" s="34"/>
      <c r="Q24" s="1"/>
      <c r="R24" s="146"/>
      <c r="S24" s="146"/>
    </row>
    <row r="25" spans="1:19" x14ac:dyDescent="0.2">
      <c r="A25" s="146"/>
      <c r="B25" s="1"/>
      <c r="C25" s="33"/>
      <c r="D25" s="37" t="s">
        <v>34</v>
      </c>
      <c r="E25" s="92"/>
      <c r="F25" s="38"/>
      <c r="G25" s="33"/>
      <c r="H25" s="390"/>
      <c r="I25" s="34"/>
      <c r="J25" s="34"/>
      <c r="K25" s="34"/>
      <c r="L25" s="101"/>
      <c r="M25" s="101"/>
      <c r="N25" s="101"/>
      <c r="O25" s="34"/>
      <c r="P25" s="34"/>
      <c r="Q25" s="1"/>
      <c r="R25" s="146"/>
      <c r="S25" s="146"/>
    </row>
    <row r="26" spans="1:19" x14ac:dyDescent="0.2">
      <c r="A26" s="146"/>
      <c r="B26" s="1"/>
      <c r="C26" s="33"/>
      <c r="D26" s="39"/>
      <c r="E26" s="92"/>
      <c r="F26" s="40"/>
      <c r="G26" s="33"/>
      <c r="H26" s="390"/>
      <c r="I26" s="33"/>
      <c r="J26" s="93">
        <f>SUMPRODUCT(K26:N26,K$45:N$45)</f>
        <v>0</v>
      </c>
      <c r="K26" s="33"/>
      <c r="L26" s="218"/>
      <c r="M26" s="215"/>
      <c r="N26" s="215"/>
      <c r="O26" s="34"/>
      <c r="P26" s="50" t="s">
        <v>35</v>
      </c>
      <c r="Q26" s="1"/>
      <c r="R26" s="146"/>
      <c r="S26" s="146"/>
    </row>
    <row r="27" spans="1:19" x14ac:dyDescent="0.2">
      <c r="A27" s="146"/>
      <c r="B27" s="1"/>
      <c r="C27" s="33"/>
      <c r="D27" s="42"/>
      <c r="E27" s="92"/>
      <c r="F27" s="43"/>
      <c r="G27" s="33"/>
      <c r="H27" s="390"/>
      <c r="I27" s="33"/>
      <c r="J27" s="94">
        <f t="shared" ref="J27:J29" si="1">SUMPRODUCT(K27:N27,K$45:N$45)</f>
        <v>0</v>
      </c>
      <c r="K27" s="33"/>
      <c r="L27" s="216"/>
      <c r="M27" s="217"/>
      <c r="N27" s="217"/>
      <c r="O27" s="34"/>
      <c r="P27" s="50"/>
      <c r="Q27" s="1"/>
      <c r="R27" s="146"/>
      <c r="S27" s="146"/>
    </row>
    <row r="28" spans="1:19" x14ac:dyDescent="0.2">
      <c r="A28" s="146"/>
      <c r="B28" s="1"/>
      <c r="C28" s="33"/>
      <c r="D28" s="42"/>
      <c r="E28" s="92"/>
      <c r="F28" s="43"/>
      <c r="G28" s="33"/>
      <c r="H28" s="390"/>
      <c r="I28" s="33"/>
      <c r="J28" s="94">
        <f t="shared" si="1"/>
        <v>0</v>
      </c>
      <c r="K28" s="33"/>
      <c r="L28" s="216"/>
      <c r="M28" s="217"/>
      <c r="N28" s="217"/>
      <c r="O28" s="34"/>
      <c r="P28" s="49"/>
      <c r="Q28" s="1"/>
      <c r="R28" s="146"/>
      <c r="S28" s="146"/>
    </row>
    <row r="29" spans="1:19" x14ac:dyDescent="0.2">
      <c r="A29" s="146"/>
      <c r="B29" s="1"/>
      <c r="C29" s="33"/>
      <c r="D29" s="45"/>
      <c r="E29" s="92"/>
      <c r="F29" s="46"/>
      <c r="G29" s="33"/>
      <c r="H29" s="391"/>
      <c r="I29" s="33"/>
      <c r="J29" s="95">
        <f t="shared" si="1"/>
        <v>0</v>
      </c>
      <c r="K29" s="33"/>
      <c r="L29" s="216"/>
      <c r="M29" s="217"/>
      <c r="N29" s="217"/>
      <c r="O29" s="34"/>
      <c r="P29" s="49"/>
      <c r="Q29" s="1"/>
      <c r="R29" s="146"/>
      <c r="S29" s="146"/>
    </row>
    <row r="30" spans="1:19" x14ac:dyDescent="0.2">
      <c r="A30" s="146"/>
      <c r="B30" s="1"/>
      <c r="C30" s="34"/>
      <c r="D30" s="34"/>
      <c r="E30" s="34"/>
      <c r="F30" s="34"/>
      <c r="G30" s="33"/>
      <c r="H30" s="34"/>
      <c r="I30" s="33"/>
      <c r="J30" s="34"/>
      <c r="K30" s="33"/>
      <c r="L30" s="34"/>
      <c r="M30" s="34"/>
      <c r="N30" s="34"/>
      <c r="O30" s="34"/>
      <c r="P30" s="34"/>
      <c r="Q30" s="1"/>
      <c r="R30" s="146"/>
      <c r="S30" s="146"/>
    </row>
    <row r="31" spans="1:19" x14ac:dyDescent="0.2">
      <c r="A31" s="146"/>
      <c r="B31" s="1"/>
      <c r="C31" s="34"/>
      <c r="D31" s="34"/>
      <c r="E31" s="34"/>
      <c r="F31" s="34"/>
      <c r="G31" s="34"/>
      <c r="H31" s="34"/>
      <c r="I31" s="34"/>
      <c r="J31" s="34"/>
      <c r="K31" s="33"/>
      <c r="L31" s="34"/>
      <c r="M31" s="34"/>
      <c r="N31" s="34"/>
      <c r="O31" s="34"/>
      <c r="P31" s="34"/>
      <c r="Q31" s="1"/>
      <c r="R31" s="146"/>
      <c r="S31" s="146"/>
    </row>
    <row r="32" spans="1:19" x14ac:dyDescent="0.2">
      <c r="A32" s="146"/>
      <c r="B32" s="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1"/>
      <c r="R32" s="146"/>
      <c r="S32" s="146"/>
    </row>
    <row r="33" spans="1:19" x14ac:dyDescent="0.2">
      <c r="A33" s="146"/>
      <c r="B33" s="1"/>
      <c r="C33" s="1"/>
      <c r="D33" s="84" t="s">
        <v>282</v>
      </c>
      <c r="E33" s="6"/>
      <c r="F33" s="1"/>
      <c r="G33" s="1"/>
      <c r="H33" s="1"/>
      <c r="I33" s="1"/>
      <c r="J33" s="1"/>
      <c r="K33" s="1"/>
      <c r="L33" s="11">
        <f>VLOOKUP(L9,GWP!$A$4:$B$53,2,0)</f>
        <v>1</v>
      </c>
      <c r="M33" s="11">
        <f>VLOOKUP(M9,GWP!$A$4:$B$53,2,0)</f>
        <v>28</v>
      </c>
      <c r="N33" s="11">
        <f>VLOOKUP(N9,GWP!$A$4:$B$53,2,0)</f>
        <v>298</v>
      </c>
      <c r="O33" s="1"/>
      <c r="P33" s="1"/>
      <c r="Q33" s="1"/>
      <c r="R33" s="146"/>
      <c r="S33" s="146"/>
    </row>
    <row r="34" spans="1:19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</row>
    <row r="35" spans="1:19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</row>
    <row r="36" spans="1:19" x14ac:dyDescent="0.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</row>
  </sheetData>
  <sheetProtection selectLockedCells="1" selectUnlockedCells="1"/>
  <mergeCells count="3">
    <mergeCell ref="L7:N8"/>
    <mergeCell ref="H13:H29"/>
    <mergeCell ref="B2:D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>
          <x14:formula1>
            <xm:f>'DB E'!$A$4:$A$16</xm:f>
          </x14:formula1>
          <xm:sqref>D13:D16</xm:sqref>
        </x14:dataValidation>
        <x14:dataValidation type="list" operator="equal" allowBlank="1">
          <x14:formula1>
            <xm:f>'DB H'!$A$4:$A$33</xm:f>
          </x14:formula1>
          <xm:sqref>D20:D22</xm:sqref>
        </x14:dataValidation>
        <x14:dataValidation type="list" operator="equal" allowBlank="1">
          <x14:formula1>
            <xm:f>'DB E'!$A$5:$A$16</xm:f>
          </x14:formula1>
          <x14:formula2>
            <xm:f>0</xm:f>
          </x14:formula2>
          <xm:sqref>D13:D16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Y39"/>
  <sheetViews>
    <sheetView zoomScale="80" zoomScaleNormal="80" workbookViewId="0">
      <selection activeCell="N30" sqref="N30"/>
    </sheetView>
  </sheetViews>
  <sheetFormatPr defaultColWidth="11.5703125" defaultRowHeight="12.75" x14ac:dyDescent="0.2"/>
  <cols>
    <col min="2" max="3" width="4.5703125" customWidth="1"/>
    <col min="4" max="4" width="60" customWidth="1"/>
    <col min="5" max="5" width="9.28515625" style="80" bestFit="1" customWidth="1"/>
    <col min="6" max="6" width="2.28515625" style="80" bestFit="1" customWidth="1"/>
    <col min="7" max="7" width="8.42578125" customWidth="1"/>
    <col min="8" max="8" width="6.7109375" customWidth="1"/>
    <col min="9" max="9" width="14.7109375" customWidth="1"/>
    <col min="10" max="10" width="6.5703125" customWidth="1"/>
    <col min="11" max="11" width="16.140625" bestFit="1" customWidth="1"/>
    <col min="12" max="12" width="4.7109375" customWidth="1"/>
    <col min="13" max="16" width="6.7109375" customWidth="1"/>
    <col min="17" max="17" width="46" customWidth="1"/>
    <col min="18" max="18" width="3.85546875" customWidth="1"/>
  </cols>
  <sheetData>
    <row r="1" spans="1:25" x14ac:dyDescent="0.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ht="20.100000000000001" customHeight="1" x14ac:dyDescent="0.2">
      <c r="A2" s="146"/>
      <c r="B2" s="357" t="s">
        <v>219</v>
      </c>
      <c r="C2" s="357"/>
      <c r="D2" s="357"/>
      <c r="E2" s="146"/>
      <c r="F2" s="146"/>
      <c r="G2" s="171"/>
      <c r="H2" s="146"/>
      <c r="I2" s="146"/>
      <c r="J2" s="146"/>
      <c r="K2" s="173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20.100000000000001" customHeight="1" x14ac:dyDescent="0.2">
      <c r="A3" s="146"/>
      <c r="B3" s="357"/>
      <c r="C3" s="357"/>
      <c r="D3" s="357"/>
      <c r="E3" s="146"/>
      <c r="F3" s="146"/>
      <c r="G3" s="82" t="s">
        <v>12</v>
      </c>
      <c r="H3" s="80"/>
      <c r="I3" s="80"/>
      <c r="K3" s="4">
        <f>SUM(K13:K23)/1000</f>
        <v>0.14082358345944646</v>
      </c>
      <c r="L3" s="85" t="s">
        <v>42</v>
      </c>
      <c r="M3" s="80"/>
      <c r="N3" s="80"/>
      <c r="O3" s="80"/>
      <c r="P3" s="80"/>
      <c r="Q3" s="146"/>
      <c r="R3" s="146"/>
      <c r="S3" s="146"/>
      <c r="T3" s="146"/>
      <c r="U3" s="146"/>
      <c r="V3" s="146"/>
      <c r="W3" s="146"/>
      <c r="X3" s="146"/>
      <c r="Y3" s="146"/>
    </row>
    <row r="4" spans="1:25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x14ac:dyDescent="0.2">
      <c r="A5" s="146"/>
      <c r="B5" s="81"/>
      <c r="C5" s="81"/>
      <c r="D5" s="86"/>
      <c r="E5" s="86"/>
      <c r="F5" s="86"/>
      <c r="G5" s="86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146"/>
      <c r="T5" s="146"/>
      <c r="U5" s="146"/>
      <c r="V5" s="146"/>
      <c r="W5" s="146"/>
      <c r="X5" s="146"/>
      <c r="Y5" s="146"/>
    </row>
    <row r="6" spans="1:25" x14ac:dyDescent="0.2">
      <c r="A6" s="146"/>
      <c r="B6" s="81"/>
      <c r="C6" s="102"/>
      <c r="D6" s="101"/>
      <c r="E6" s="101"/>
      <c r="F6" s="101"/>
      <c r="G6" s="101"/>
      <c r="H6" s="102"/>
      <c r="I6" s="102"/>
      <c r="J6" s="102"/>
      <c r="K6" s="101"/>
      <c r="L6" s="101"/>
      <c r="M6" s="92"/>
      <c r="N6" s="92"/>
      <c r="O6" s="92"/>
      <c r="P6" s="101"/>
      <c r="Q6" s="101"/>
      <c r="R6" s="81"/>
      <c r="S6" s="146"/>
      <c r="T6" s="146"/>
      <c r="U6" s="146"/>
      <c r="V6" s="146"/>
      <c r="W6" s="146"/>
      <c r="X6" s="146"/>
      <c r="Y6" s="146"/>
    </row>
    <row r="7" spans="1:25" x14ac:dyDescent="0.2">
      <c r="A7" s="146"/>
      <c r="B7" s="81"/>
      <c r="C7" s="102"/>
      <c r="D7" s="101"/>
      <c r="E7" s="101"/>
      <c r="F7" s="101"/>
      <c r="G7" s="101"/>
      <c r="H7" s="102"/>
      <c r="I7" s="102"/>
      <c r="J7" s="102"/>
      <c r="K7" s="101"/>
      <c r="L7" s="101"/>
      <c r="M7" s="385" t="s">
        <v>14</v>
      </c>
      <c r="N7" s="385"/>
      <c r="O7" s="385"/>
      <c r="P7" s="101"/>
      <c r="Q7" s="99" t="s">
        <v>22</v>
      </c>
      <c r="R7" s="81"/>
      <c r="S7" s="146"/>
      <c r="T7" s="146"/>
      <c r="U7" s="146"/>
      <c r="V7" s="146"/>
      <c r="W7" s="146"/>
      <c r="X7" s="146"/>
      <c r="Y7" s="146"/>
    </row>
    <row r="8" spans="1:25" x14ac:dyDescent="0.2">
      <c r="A8" s="146"/>
      <c r="B8" s="81"/>
      <c r="C8" s="102"/>
      <c r="D8" s="101"/>
      <c r="E8" s="101"/>
      <c r="F8" s="101"/>
      <c r="G8" s="101"/>
      <c r="H8" s="102"/>
      <c r="I8" s="102"/>
      <c r="J8" s="102"/>
      <c r="K8" s="101"/>
      <c r="L8" s="101"/>
      <c r="M8" s="385"/>
      <c r="N8" s="385"/>
      <c r="O8" s="385"/>
      <c r="P8" s="101"/>
      <c r="Q8" s="101"/>
      <c r="R8" s="81"/>
      <c r="S8" s="146"/>
      <c r="T8" s="146"/>
      <c r="U8" s="146"/>
      <c r="V8" s="146"/>
      <c r="W8" s="146"/>
      <c r="X8" s="146"/>
      <c r="Y8" s="146"/>
    </row>
    <row r="9" spans="1:25" x14ac:dyDescent="0.2">
      <c r="A9" s="146"/>
      <c r="B9" s="81"/>
      <c r="C9" s="102"/>
      <c r="D9" s="101"/>
      <c r="E9" s="101"/>
      <c r="F9" s="101"/>
      <c r="G9" s="101"/>
      <c r="H9" s="102"/>
      <c r="I9" s="102"/>
      <c r="J9" s="102"/>
      <c r="K9" s="101"/>
      <c r="L9" s="101"/>
      <c r="M9" s="96" t="s">
        <v>18</v>
      </c>
      <c r="N9" s="96" t="s">
        <v>19</v>
      </c>
      <c r="O9" s="96" t="s">
        <v>20</v>
      </c>
      <c r="P9" s="101"/>
      <c r="Q9" s="101"/>
      <c r="R9" s="81"/>
      <c r="S9" s="146"/>
      <c r="T9" s="146"/>
      <c r="U9" s="146"/>
      <c r="V9" s="146"/>
      <c r="W9" s="146"/>
      <c r="X9" s="146"/>
      <c r="Y9" s="146"/>
    </row>
    <row r="10" spans="1:25" x14ac:dyDescent="0.2">
      <c r="A10" s="146"/>
      <c r="B10" s="81"/>
      <c r="C10" s="102"/>
      <c r="D10" s="92"/>
      <c r="E10" s="92"/>
      <c r="F10" s="92"/>
      <c r="G10" s="92"/>
      <c r="H10" s="102"/>
      <c r="I10" s="102"/>
      <c r="J10" s="102"/>
      <c r="K10" s="101"/>
      <c r="L10" s="102"/>
      <c r="M10" s="96"/>
      <c r="N10" s="96"/>
      <c r="O10" s="96"/>
      <c r="P10" s="101"/>
      <c r="Q10" s="101"/>
      <c r="R10" s="81"/>
      <c r="S10" s="146"/>
      <c r="T10" s="146"/>
      <c r="U10" s="146"/>
      <c r="V10" s="146"/>
      <c r="W10" s="146"/>
      <c r="X10" s="146"/>
      <c r="Y10" s="146"/>
    </row>
    <row r="11" spans="1:25" x14ac:dyDescent="0.2">
      <c r="A11" s="146"/>
      <c r="B11" s="76"/>
      <c r="C11" s="101"/>
      <c r="D11" s="87" t="str">
        <f>+Overzicht!R19</f>
        <v>Chips transport over weg</v>
      </c>
      <c r="E11" s="87" t="s">
        <v>289</v>
      </c>
      <c r="F11" s="225"/>
      <c r="G11" s="87" t="s">
        <v>285</v>
      </c>
      <c r="H11" s="102"/>
      <c r="I11" s="392" t="s">
        <v>219</v>
      </c>
      <c r="J11" s="102"/>
      <c r="K11" s="227" t="s">
        <v>318</v>
      </c>
      <c r="L11" s="102"/>
      <c r="M11" s="101"/>
      <c r="N11" s="101"/>
      <c r="O11" s="101"/>
      <c r="P11" s="101"/>
      <c r="Q11" s="92"/>
      <c r="R11" s="81"/>
      <c r="S11" s="146"/>
      <c r="T11" s="146"/>
      <c r="U11" s="146"/>
      <c r="V11" s="146"/>
      <c r="W11" s="146"/>
      <c r="X11" s="146"/>
      <c r="Y11" s="146"/>
    </row>
    <row r="12" spans="1:25" s="80" customFormat="1" x14ac:dyDescent="0.2">
      <c r="A12" s="146"/>
      <c r="B12" s="76"/>
      <c r="C12" s="101"/>
      <c r="D12" s="189"/>
      <c r="E12" s="188" t="s">
        <v>290</v>
      </c>
      <c r="F12" s="87"/>
      <c r="G12" s="226" t="s">
        <v>291</v>
      </c>
      <c r="H12" s="102"/>
      <c r="I12" s="393"/>
      <c r="J12" s="102"/>
      <c r="K12" s="227" t="s">
        <v>320</v>
      </c>
      <c r="L12" s="102"/>
      <c r="M12" s="101"/>
      <c r="N12" s="101"/>
      <c r="O12" s="101"/>
      <c r="P12" s="101"/>
      <c r="Q12" s="92"/>
      <c r="R12" s="81"/>
      <c r="S12" s="146"/>
      <c r="T12" s="146"/>
      <c r="U12" s="146"/>
      <c r="V12" s="146"/>
      <c r="W12" s="146"/>
      <c r="X12" s="146"/>
      <c r="Y12" s="146"/>
    </row>
    <row r="13" spans="1:25" ht="12.75" customHeight="1" x14ac:dyDescent="0.2">
      <c r="A13" s="146"/>
      <c r="B13" s="81"/>
      <c r="C13" s="102"/>
      <c r="D13" s="123" t="s">
        <v>46</v>
      </c>
      <c r="E13" s="143">
        <f>+Massabalans!H16</f>
        <v>3.8546634571219145</v>
      </c>
      <c r="F13" s="123" t="s">
        <v>286</v>
      </c>
      <c r="G13" s="144">
        <v>50</v>
      </c>
      <c r="H13" s="102"/>
      <c r="I13" s="393"/>
      <c r="J13" s="102"/>
      <c r="K13" s="142">
        <f>SUMPRODUCT(M13:O13,M$27:O$27)*G13*E13/1000</f>
        <v>15.359429801678736</v>
      </c>
      <c r="L13" s="102"/>
      <c r="M13" s="97">
        <f>IF(D13="","",VLOOKUP(D13,'DB T'!$A$5:$F$17,3,0))</f>
        <v>79.129875005384605</v>
      </c>
      <c r="N13" s="98">
        <f>IF(D13="","",VLOOKUP(D13,'DB T'!$A$5:$F$17,4,0))</f>
        <v>3.5120769230769233E-3</v>
      </c>
      <c r="O13" s="98">
        <f>IF(D13="","",VLOOKUP(D13,'DB T'!$A$5:$F$17,5,0))</f>
        <v>1.5587307692307693E-3</v>
      </c>
      <c r="P13" s="101"/>
      <c r="Q13" s="100" t="s">
        <v>45</v>
      </c>
      <c r="R13" s="81"/>
      <c r="S13" s="146"/>
      <c r="T13" s="146"/>
      <c r="U13" s="146"/>
      <c r="V13" s="146"/>
      <c r="W13" s="146"/>
      <c r="X13" s="146"/>
      <c r="Y13" s="146"/>
    </row>
    <row r="14" spans="1:25" ht="12.75" customHeight="1" x14ac:dyDescent="0.2">
      <c r="A14" s="146"/>
      <c r="B14" s="81"/>
      <c r="C14" s="101"/>
      <c r="D14" s="101"/>
      <c r="E14" s="101"/>
      <c r="F14" s="101"/>
      <c r="G14" s="103"/>
      <c r="H14" s="102"/>
      <c r="I14" s="393"/>
      <c r="J14" s="102"/>
      <c r="K14" s="101"/>
      <c r="L14" s="101"/>
      <c r="M14" s="101"/>
      <c r="N14" s="101"/>
      <c r="O14" s="101"/>
      <c r="P14" s="101"/>
      <c r="Q14" s="101"/>
      <c r="R14" s="81"/>
      <c r="S14" s="146"/>
      <c r="T14" s="146"/>
      <c r="U14" s="146"/>
      <c r="V14" s="146"/>
      <c r="W14" s="146"/>
      <c r="X14" s="146"/>
      <c r="Y14" s="146"/>
    </row>
    <row r="15" spans="1:25" ht="12.75" customHeight="1" x14ac:dyDescent="0.2">
      <c r="A15" s="146"/>
      <c r="B15" s="81"/>
      <c r="C15" s="101"/>
      <c r="D15" s="101"/>
      <c r="E15" s="101"/>
      <c r="F15" s="101"/>
      <c r="G15" s="103"/>
      <c r="H15" s="102"/>
      <c r="I15" s="393"/>
      <c r="J15" s="102"/>
      <c r="K15" s="101"/>
      <c r="L15" s="101"/>
      <c r="M15" s="101"/>
      <c r="N15" s="101"/>
      <c r="O15" s="101"/>
      <c r="P15" s="101"/>
      <c r="Q15" s="101"/>
      <c r="R15" s="81"/>
      <c r="S15" s="146"/>
      <c r="T15" s="146"/>
      <c r="U15" s="146"/>
      <c r="V15" s="146"/>
      <c r="W15" s="146"/>
      <c r="X15" s="146"/>
      <c r="Y15" s="146"/>
    </row>
    <row r="16" spans="1:25" s="80" customFormat="1" ht="12.75" customHeight="1" x14ac:dyDescent="0.2">
      <c r="A16" s="146"/>
      <c r="B16" s="81"/>
      <c r="C16" s="101"/>
      <c r="D16" s="87" t="str">
        <f>+Overzicht!R30</f>
        <v>Pellet transport over weg</v>
      </c>
      <c r="E16" s="87" t="s">
        <v>289</v>
      </c>
      <c r="F16" s="225"/>
      <c r="G16" s="87" t="s">
        <v>285</v>
      </c>
      <c r="H16" s="102"/>
      <c r="I16" s="393"/>
      <c r="J16" s="102"/>
      <c r="K16" s="101"/>
      <c r="L16" s="101"/>
      <c r="M16" s="101"/>
      <c r="N16" s="101"/>
      <c r="O16" s="101"/>
      <c r="P16" s="101"/>
      <c r="Q16" s="101"/>
      <c r="R16" s="81"/>
      <c r="S16" s="146"/>
      <c r="T16" s="146"/>
      <c r="U16" s="146"/>
      <c r="V16" s="146"/>
      <c r="W16" s="146"/>
      <c r="X16" s="146"/>
      <c r="Y16" s="146"/>
    </row>
    <row r="17" spans="1:25" ht="12.75" customHeight="1" x14ac:dyDescent="0.2">
      <c r="A17" s="146"/>
      <c r="B17" s="81"/>
      <c r="C17" s="102"/>
      <c r="D17" s="189"/>
      <c r="E17" s="188" t="s">
        <v>290</v>
      </c>
      <c r="F17" s="87"/>
      <c r="G17" s="226" t="s">
        <v>291</v>
      </c>
      <c r="H17" s="102"/>
      <c r="I17" s="393"/>
      <c r="J17" s="102"/>
      <c r="K17" s="101"/>
      <c r="L17" s="101"/>
      <c r="M17" s="101"/>
      <c r="N17" s="101"/>
      <c r="O17" s="101"/>
      <c r="P17" s="101"/>
      <c r="Q17" s="101"/>
      <c r="R17" s="81"/>
      <c r="S17" s="146"/>
      <c r="T17" s="146"/>
      <c r="U17" s="146"/>
      <c r="V17" s="146"/>
      <c r="W17" s="146"/>
      <c r="X17" s="146"/>
      <c r="Y17" s="146"/>
    </row>
    <row r="18" spans="1:25" ht="12.75" customHeight="1" x14ac:dyDescent="0.2">
      <c r="A18" s="146"/>
      <c r="B18" s="81"/>
      <c r="C18" s="102"/>
      <c r="D18" s="123" t="s">
        <v>46</v>
      </c>
      <c r="E18" s="143">
        <f>+Massabalans!H25</f>
        <v>2.1170880549583284</v>
      </c>
      <c r="F18" s="123" t="s">
        <v>286</v>
      </c>
      <c r="G18" s="144">
        <v>150</v>
      </c>
      <c r="H18" s="102"/>
      <c r="I18" s="393"/>
      <c r="J18" s="102"/>
      <c r="K18" s="142">
        <f>SUMPRODUCT(M18:O18,M$27:O$27)*G18*E18/1000</f>
        <v>25.307474226336772</v>
      </c>
      <c r="L18" s="102"/>
      <c r="M18" s="97">
        <f>IF(D18="","",VLOOKUP(D18,'DB T'!$A$5:$F$38,3,0))</f>
        <v>79.129875005384605</v>
      </c>
      <c r="N18" s="98">
        <f>IF(D18="","",VLOOKUP(D18,'DB T'!$A$5:$F$38,4,0))</f>
        <v>3.5120769230769233E-3</v>
      </c>
      <c r="O18" s="98">
        <f>IF(D18="","",VLOOKUP(D18,'DB T'!$A$5:$F$38,5,0))</f>
        <v>1.5587307692307693E-3</v>
      </c>
      <c r="P18" s="101"/>
      <c r="Q18" s="100"/>
      <c r="R18" s="81"/>
      <c r="S18" s="146"/>
      <c r="T18" s="146"/>
      <c r="U18" s="146"/>
      <c r="V18" s="146"/>
      <c r="W18" s="146"/>
      <c r="X18" s="146"/>
      <c r="Y18" s="146"/>
    </row>
    <row r="19" spans="1:25" ht="12.75" customHeight="1" x14ac:dyDescent="0.2">
      <c r="A19" s="146"/>
      <c r="B19" s="81"/>
      <c r="C19" s="101"/>
      <c r="D19" s="101"/>
      <c r="E19" s="101"/>
      <c r="F19" s="101"/>
      <c r="G19" s="103"/>
      <c r="H19" s="102"/>
      <c r="I19" s="393"/>
      <c r="J19" s="102"/>
      <c r="K19" s="101"/>
      <c r="L19" s="101"/>
      <c r="M19" s="101"/>
      <c r="N19" s="101"/>
      <c r="O19" s="101"/>
      <c r="P19" s="101"/>
      <c r="Q19" s="101"/>
      <c r="R19" s="81"/>
      <c r="S19" s="146"/>
      <c r="T19" s="146"/>
      <c r="U19" s="146"/>
      <c r="V19" s="146"/>
      <c r="W19" s="146"/>
      <c r="X19" s="146"/>
      <c r="Y19" s="146"/>
    </row>
    <row r="20" spans="1:25" ht="12.75" customHeight="1" x14ac:dyDescent="0.2">
      <c r="A20" s="146"/>
      <c r="B20" s="81"/>
      <c r="C20" s="101"/>
      <c r="D20" s="101"/>
      <c r="E20" s="101"/>
      <c r="F20" s="101"/>
      <c r="G20" s="103"/>
      <c r="H20" s="102"/>
      <c r="I20" s="393"/>
      <c r="J20" s="102"/>
      <c r="K20" s="101"/>
      <c r="L20" s="101"/>
      <c r="M20" s="101"/>
      <c r="N20" s="101"/>
      <c r="O20" s="101"/>
      <c r="P20" s="101"/>
      <c r="Q20" s="101"/>
      <c r="R20" s="81"/>
      <c r="S20" s="146"/>
      <c r="T20" s="146"/>
      <c r="U20" s="146"/>
      <c r="V20" s="146"/>
      <c r="W20" s="146"/>
      <c r="X20" s="146"/>
      <c r="Y20" s="146"/>
    </row>
    <row r="21" spans="1:25" s="80" customFormat="1" ht="12.75" customHeight="1" x14ac:dyDescent="0.2">
      <c r="A21" s="146"/>
      <c r="B21" s="81"/>
      <c r="C21" s="101"/>
      <c r="D21" s="87" t="str">
        <f>+Overzicht!R34</f>
        <v>Pellet transport zeeschip</v>
      </c>
      <c r="E21" s="87" t="s">
        <v>289</v>
      </c>
      <c r="F21" s="225"/>
      <c r="G21" s="87" t="s">
        <v>285</v>
      </c>
      <c r="H21" s="102"/>
      <c r="I21" s="393"/>
      <c r="J21" s="102"/>
      <c r="K21" s="101"/>
      <c r="L21" s="101"/>
      <c r="M21" s="101"/>
      <c r="N21" s="101"/>
      <c r="O21" s="101"/>
      <c r="P21" s="101"/>
      <c r="Q21" s="101"/>
      <c r="R21" s="81"/>
      <c r="S21" s="146"/>
      <c r="T21" s="146"/>
      <c r="U21" s="146"/>
      <c r="V21" s="146"/>
      <c r="W21" s="146"/>
      <c r="X21" s="146"/>
      <c r="Y21" s="146"/>
    </row>
    <row r="22" spans="1:25" ht="12.75" customHeight="1" x14ac:dyDescent="0.2">
      <c r="A22" s="146"/>
      <c r="B22" s="81"/>
      <c r="C22" s="102"/>
      <c r="D22" s="189"/>
      <c r="E22" s="188" t="s">
        <v>290</v>
      </c>
      <c r="F22" s="87"/>
      <c r="G22" s="226" t="s">
        <v>291</v>
      </c>
      <c r="H22" s="102"/>
      <c r="I22" s="393"/>
      <c r="J22" s="102"/>
      <c r="K22" s="101"/>
      <c r="L22" s="101"/>
      <c r="M22" s="101"/>
      <c r="N22" s="101"/>
      <c r="O22" s="101"/>
      <c r="P22" s="101"/>
      <c r="Q22" s="101"/>
      <c r="R22" s="81"/>
      <c r="S22" s="146"/>
      <c r="T22" s="146"/>
      <c r="U22" s="146"/>
      <c r="V22" s="146"/>
      <c r="W22" s="146"/>
      <c r="X22" s="146"/>
      <c r="Y22" s="146"/>
    </row>
    <row r="23" spans="1:25" ht="12.75" customHeight="1" x14ac:dyDescent="0.2">
      <c r="A23" s="146"/>
      <c r="B23" s="81"/>
      <c r="C23" s="102"/>
      <c r="D23" s="123" t="s">
        <v>321</v>
      </c>
      <c r="E23" s="143">
        <f>+Massabalans!H25</f>
        <v>2.1170880549583284</v>
      </c>
      <c r="F23" s="123" t="s">
        <v>286</v>
      </c>
      <c r="G23" s="228">
        <v>5000</v>
      </c>
      <c r="H23" s="102"/>
      <c r="I23" s="394"/>
      <c r="J23" s="102"/>
      <c r="K23" s="142">
        <f>SUMPRODUCT(M23:O23,M$27:O$27)*G23*E23/1000</f>
        <v>100.15667943143094</v>
      </c>
      <c r="L23" s="102"/>
      <c r="M23" s="97">
        <f>IF(D23="","",VLOOKUP(D23,'DB T'!$A$19:$F$35,3,0))</f>
        <v>9.4617395999999996</v>
      </c>
      <c r="N23" s="98">
        <f>IF(D23="","",VLOOKUP(D23,'DB T'!$A$19:$F$35,4,0))</f>
        <v>0</v>
      </c>
      <c r="O23" s="98">
        <f>IF(D23="","",VLOOKUP(D23,'DB T'!$A$19:$F$35,5,0))</f>
        <v>0</v>
      </c>
      <c r="P23" s="101"/>
      <c r="Q23" s="100"/>
      <c r="R23" s="81"/>
      <c r="S23" s="146"/>
      <c r="T23" s="146"/>
      <c r="U23" s="146"/>
      <c r="V23" s="146"/>
      <c r="W23" s="146"/>
      <c r="X23" s="146"/>
      <c r="Y23" s="146"/>
    </row>
    <row r="24" spans="1:25" ht="12.75" customHeight="1" x14ac:dyDescent="0.2">
      <c r="A24" s="146"/>
      <c r="B24" s="81"/>
      <c r="C24" s="101"/>
      <c r="D24" s="101"/>
      <c r="E24" s="101"/>
      <c r="F24" s="101"/>
      <c r="G24" s="101"/>
      <c r="H24" s="102"/>
      <c r="I24" s="101"/>
      <c r="J24" s="102"/>
      <c r="K24" s="101"/>
      <c r="L24" s="102"/>
      <c r="M24" s="101"/>
      <c r="N24" s="101"/>
      <c r="O24" s="101"/>
      <c r="P24" s="101"/>
      <c r="Q24" s="101"/>
      <c r="R24" s="81"/>
      <c r="S24" s="146"/>
      <c r="T24" s="146"/>
      <c r="U24" s="146"/>
      <c r="V24" s="146"/>
      <c r="W24" s="146"/>
      <c r="X24" s="146"/>
      <c r="Y24" s="146"/>
    </row>
    <row r="25" spans="1:25" ht="12.75" customHeight="1" x14ac:dyDescent="0.2">
      <c r="A25" s="146"/>
      <c r="B25" s="81"/>
      <c r="C25" s="101"/>
      <c r="D25" s="101"/>
      <c r="E25" s="101"/>
      <c r="F25" s="101"/>
      <c r="G25" s="101"/>
      <c r="H25" s="101"/>
      <c r="I25" s="101"/>
      <c r="J25" s="101"/>
      <c r="K25" s="101"/>
      <c r="L25" s="102"/>
      <c r="M25" s="101"/>
      <c r="N25" s="101"/>
      <c r="O25" s="101"/>
      <c r="P25" s="101"/>
      <c r="Q25" s="101"/>
      <c r="R25" s="81"/>
      <c r="S25" s="146"/>
      <c r="T25" s="146"/>
      <c r="U25" s="146"/>
      <c r="V25" s="146"/>
      <c r="W25" s="146"/>
      <c r="X25" s="146"/>
      <c r="Y25" s="146"/>
    </row>
    <row r="26" spans="1:25" x14ac:dyDescent="0.2">
      <c r="A26" s="146"/>
      <c r="B26" s="8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81"/>
      <c r="S26" s="146"/>
      <c r="T26" s="146"/>
      <c r="U26" s="146"/>
      <c r="V26" s="146"/>
      <c r="W26" s="146"/>
      <c r="X26" s="146"/>
      <c r="Y26" s="146"/>
    </row>
    <row r="27" spans="1:25" x14ac:dyDescent="0.2">
      <c r="A27" s="146"/>
      <c r="B27" s="81"/>
      <c r="C27" s="81"/>
      <c r="D27" s="84" t="s">
        <v>282</v>
      </c>
      <c r="E27" s="84"/>
      <c r="F27" s="84"/>
      <c r="G27" s="84"/>
      <c r="H27" s="81"/>
      <c r="I27" s="81"/>
      <c r="J27" s="81"/>
      <c r="K27" s="81"/>
      <c r="L27" s="81"/>
      <c r="M27" s="11">
        <f>VLOOKUP(M9,GWP!$A$4:$B$53,2,0)</f>
        <v>1</v>
      </c>
      <c r="N27" s="11">
        <f>VLOOKUP(N9,GWP!$A$4:$B$53,2,0)</f>
        <v>28</v>
      </c>
      <c r="O27" s="11">
        <f>VLOOKUP(O9,GWP!$A$4:$B$53,2,0)</f>
        <v>298</v>
      </c>
      <c r="P27" s="81"/>
      <c r="Q27" s="81"/>
      <c r="R27" s="81"/>
      <c r="S27" s="146"/>
      <c r="T27" s="146"/>
      <c r="U27" s="146"/>
      <c r="V27" s="146"/>
      <c r="W27" s="146"/>
      <c r="X27" s="146"/>
      <c r="Y27" s="146"/>
    </row>
    <row r="28" spans="1:25" x14ac:dyDescent="0.2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</row>
    <row r="29" spans="1:25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</row>
    <row r="30" spans="1:25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</row>
    <row r="31" spans="1:25" x14ac:dyDescent="0.2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</row>
    <row r="32" spans="1:25" x14ac:dyDescent="0.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</row>
    <row r="33" spans="1:25" x14ac:dyDescent="0.2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</row>
    <row r="34" spans="1:25" x14ac:dyDescent="0.2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</row>
    <row r="35" spans="1:25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</row>
    <row r="36" spans="1:25" x14ac:dyDescent="0.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</row>
    <row r="37" spans="1:25" x14ac:dyDescent="0.2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</row>
    <row r="38" spans="1:25" x14ac:dyDescent="0.2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</row>
    <row r="39" spans="1:25" x14ac:dyDescent="0.2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</row>
  </sheetData>
  <sheetProtection selectLockedCells="1" selectUnlockedCells="1"/>
  <mergeCells count="3">
    <mergeCell ref="M7:O8"/>
    <mergeCell ref="B2:D3"/>
    <mergeCell ref="I11:I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>
          <x14:formula1>
            <xm:f>'DB T'!$A$19:$A$35</xm:f>
          </x14:formula1>
          <xm:sqref>D23 F23</xm:sqref>
        </x14:dataValidation>
        <x14:dataValidation type="list" operator="equal" allowBlank="1">
          <x14:formula1>
            <xm:f>'DB T'!$A$5:$A$17</xm:f>
          </x14:formula1>
          <xm:sqref>F13 F18 D18 D13</xm:sqref>
        </x14:dataValidation>
        <x14:dataValidation type="list" operator="equal" allowBlank="1">
          <x14:formula1>
            <xm:f>'DB T'!$A$5:$A$38</xm:f>
          </x14:formula1>
          <x14:formula2>
            <xm:f>0</xm:f>
          </x14:formula2>
          <xm:sqref>D13 D18 D23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Document" ma:contentTypeID="0x01010032D923E531974EABBC32AD71A762C58D00D2425473D9DE461DB1C714AC4872504A00E9995C5CAA8F2646A18688333ABFED5B" ma:contentTypeVersion="3" ma:contentTypeDescription="Een nieuw document maken." ma:contentTypeScope="" ma:versionID="058c8f81256bd1be14981edb8b79bf5f">
  <xsd:schema xmlns:xsd="http://www.w3.org/2001/XMLSchema" xmlns:xs="http://www.w3.org/2001/XMLSchema" xmlns:p="http://schemas.microsoft.com/office/2006/metadata/properties" xmlns:ns2="850f1e76-e290-4779-b859-23d729297c51" targetNamespace="http://schemas.microsoft.com/office/2006/metadata/properties" ma:root="true" ma:fieldsID="1b66af9e3d40ee9f124e707e43739130" ns2:_="">
    <xsd:import namespace="850f1e76-e290-4779-b859-23d729297c51"/>
    <xsd:element name="properties">
      <xsd:complexType>
        <xsd:sequence>
          <xsd:element name="documentManagement">
            <xsd:complexType>
              <xsd:all>
                <xsd:element ref="ns2:SureECM_ProjectName" minOccurs="0"/>
                <xsd:element ref="ns2:SureECM_ProjectNumber" minOccurs="0"/>
                <xsd:element ref="ns2:SureECM_ClientName" minOccurs="0"/>
                <xsd:element ref="ns2:SureECM_ProjectLeader" minOccurs="0"/>
                <xsd:element ref="ns2:SureECM_ProjectFaseTaxHTField0" minOccurs="0"/>
                <xsd:element ref="ns2:acf0689dc3b949abb655ab78c2e0f99c" minOccurs="0"/>
                <xsd:element ref="ns2:TaxCatchAll" minOccurs="0"/>
                <xsd:element ref="ns2:TaxCatchAllLabel" minOccurs="0"/>
                <xsd:element ref="ns2:lca88ee71ce7428c86da6846b19763e3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f1e76-e290-4779-b859-23d729297c51" elementFormDefault="qualified">
    <xsd:import namespace="http://schemas.microsoft.com/office/2006/documentManagement/types"/>
    <xsd:import namespace="http://schemas.microsoft.com/office/infopath/2007/PartnerControls"/>
    <xsd:element name="SureECM_ProjectName" ma:index="8" nillable="true" ma:displayName="Projectnaam" ma:internalName="SureECM_ProjectName">
      <xsd:simpleType>
        <xsd:restriction base="dms:Text"/>
      </xsd:simpleType>
    </xsd:element>
    <xsd:element name="SureECM_ProjectNumber" ma:index="9" nillable="true" ma:displayName="Projectnummer" ma:internalName="SureECM_ProjectNumber">
      <xsd:simpleType>
        <xsd:restriction base="dms:Text">
          <xsd:maxLength value="255"/>
        </xsd:restriction>
      </xsd:simpleType>
    </xsd:element>
    <xsd:element name="SureECM_ClientName" ma:index="10" nillable="true" ma:displayName="Opdrachtgever" ma:SharePointGroup="0" ma:internalName="SureECM_ClientNam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reECM_ProjectLeader" ma:index="11" nillable="true" ma:displayName="Projectleider" ma:internalName="SureECM_ProjectLead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reECM_ProjectFaseTaxHTField0" ma:index="12" nillable="true" ma:taxonomy="true" ma:internalName="SureECM_ProjectFaseTaxHTField0" ma:taxonomyFieldName="SureECM_ProjectFase" ma:displayName="Projectfase" ma:readOnly="false" ma:default="1;#1|344ddbc6-b8ca-4407-8593-4a569d0d2a68" ma:fieldId="{aaf7d00f-ef44-4e4f-9bfe-6e1c6b2262e1}" ma:sspId="b15848ff-ca16-4813-bad8-a92d09325781" ma:termSetId="daef2c36-05f6-4ec3-a3df-8d68228409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f0689dc3b949abb655ab78c2e0f99c" ma:index="14" nillable="true" ma:taxonomy="true" ma:internalName="acf0689dc3b949abb655ab78c2e0f99c" ma:taxonomyFieldName="Sector" ma:displayName="Sector" ma:default="" ma:fieldId="{acf0689d-c3b9-49ab-b655-ab78c2e0f99c}" ma:sspId="b15848ff-ca16-4813-bad8-a92d09325781" ma:termSetId="5e03380a-e66b-435b-ab66-f20a0a2d71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description="" ma:hidden="true" ma:list="{1e57b386-4126-48bc-a3f5-290e3ee48192}" ma:internalName="TaxCatchAll" ma:showField="CatchAllData" ma:web="754bc673-84d8-4405-99dd-4d974a6ca4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description="" ma:hidden="true" ma:list="{1e57b386-4126-48bc-a3f5-290e3ee48192}" ma:internalName="TaxCatchAllLabel" ma:readOnly="true" ma:showField="CatchAllDataLabel" ma:web="754bc673-84d8-4405-99dd-4d974a6ca4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a88ee71ce7428c86da6846b19763e3" ma:index="18" nillable="true" ma:taxonomy="true" ma:internalName="lca88ee71ce7428c86da6846b19763e3" ma:taxonomyFieldName="Thema" ma:displayName="Thema" ma:default="" ma:fieldId="{5ca88ee7-1ce7-428c-86da-6846b19763e3}" ma:taxonomyMulti="true" ma:sspId="b15848ff-ca16-4813-bad8-a92d09325781" ma:termSetId="5ebe3af2-8dfb-4688-8412-0cb710041c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Ondernemingstrefwoorden" ma:fieldId="{23f27201-bee3-471e-b2e7-b64fd8b7ca38}" ma:taxonomyMulti="true" ma:sspId="39e35c83-584b-4c74-802e-2bf240529e8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0f1e76-e290-4779-b859-23d729297c51">
      <Value>5</Value>
      <Value>4</Value>
      <Value>1</Value>
    </TaxCatchAll>
    <SureECM_ProjectNumber xmlns="850f1e76-e290-4779-b859-23d729297c51">3.H16</SureECM_ProjectNumber>
    <SureECM_ClientName xmlns="850f1e76-e290-4779-b859-23d729297c51">
      <UserInfo>
        <DisplayName/>
        <AccountId xsi:nil="true"/>
        <AccountType/>
      </UserInfo>
    </SureECM_ClientName>
    <lca88ee71ce7428c86da6846b19763e3 xmlns="850f1e76-e290-4779-b859-23d729297c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Biomassa</TermName>
          <TermId xmlns="http://schemas.microsoft.com/office/infopath/2007/PartnerControls">be993b1d-76c3-4ff6-a71a-badc599f9ad3</TermId>
        </TermInfo>
      </Terms>
    </lca88ee71ce7428c86da6846b19763e3>
    <SureECM_ProjectName xmlns="850f1e76-e290-4779-b859-23d729297c51">Vervanging van fossiele grondstoffen door biobased grondstoffen</SureECM_ProjectName>
    <TaxKeywordTaxHTField xmlns="850f1e76-e290-4779-b859-23d729297c51">
      <Terms xmlns="http://schemas.microsoft.com/office/infopath/2007/PartnerControls"/>
    </TaxKeywordTaxHTField>
    <acf0689dc3b949abb655ab78c2e0f99c xmlns="850f1e76-e290-4779-b859-23d729297c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Energie</TermName>
          <TermId xmlns="http://schemas.microsoft.com/office/infopath/2007/PartnerControls">efcf7378-11f7-46b5-9f6b-a9b724849c23</TermId>
        </TermInfo>
      </Terms>
    </acf0689dc3b949abb655ab78c2e0f99c>
    <SureECM_ProjectFaseTaxHTField0 xmlns="850f1e76-e290-4779-b859-23d729297c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</TermName>
          <TermId xmlns="http://schemas.microsoft.com/office/infopath/2007/PartnerControls">344ddbc6-b8ca-4407-8593-4a569d0d2a68</TermId>
        </TermInfo>
      </Terms>
    </SureECM_ProjectFaseTaxHTField0>
    <SureECM_ProjectLeader xmlns="850f1e76-e290-4779-b859-23d729297c51">
      <UserInfo>
        <DisplayName>Harry Croezen (CE Delft)</DisplayName>
        <AccountId>18</AccountId>
        <AccountType/>
      </UserInfo>
    </SureECM_ProjectLea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b15848ff-ca16-4813-bad8-a92d09325781" ContentTypeId="0x01010032D923E531974EABBC32AD71A762C58D00D2425473D9DE461DB1C714AC4872504A" PreviousValue="false"/>
</file>

<file path=customXml/itemProps1.xml><?xml version="1.0" encoding="utf-8"?>
<ds:datastoreItem xmlns:ds="http://schemas.openxmlformats.org/officeDocument/2006/customXml" ds:itemID="{AC417BF5-0457-46C9-BD52-7B4E5EA8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f1e76-e290-4779-b859-23d729297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269429-B495-4791-BACE-65491CEDF93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B64B3AB-B95E-4AAA-9DC8-AC28C41947CF}">
  <ds:schemaRefs>
    <ds:schemaRef ds:uri="http://purl.org/dc/terms/"/>
    <ds:schemaRef ds:uri="http://purl.org/dc/dcmitype/"/>
    <ds:schemaRef ds:uri="http://www.w3.org/XML/1998/namespace"/>
    <ds:schemaRef ds:uri="850f1e76-e290-4779-b859-23d729297c51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3AD6A2D-71EB-4677-967B-712836519F8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5E402ED-6DA2-4709-A27E-368769B6ACF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Voorblad</vt:lpstr>
      <vt:lpstr>Overzicht</vt:lpstr>
      <vt:lpstr>Resultaten</vt:lpstr>
      <vt:lpstr>Massabalans</vt:lpstr>
      <vt:lpstr>Bosbouw</vt:lpstr>
      <vt:lpstr>Bewerking 1</vt:lpstr>
      <vt:lpstr>Bewerking 2</vt:lpstr>
      <vt:lpstr>Productie</vt:lpstr>
      <vt:lpstr>Transport</vt:lpstr>
      <vt:lpstr>Allocatie en resultaat</vt:lpstr>
      <vt:lpstr>DB E</vt:lpstr>
      <vt:lpstr>DB M1</vt:lpstr>
      <vt:lpstr>DB M2</vt:lpstr>
      <vt:lpstr>DB H</vt:lpstr>
      <vt:lpstr>DB T</vt:lpstr>
      <vt:lpstr>GWP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Ingrid van den Tempel-Horváth</cp:lastModifiedBy>
  <dcterms:created xsi:type="dcterms:W3CDTF">2015-11-06T10:32:37Z</dcterms:created>
  <dcterms:modified xsi:type="dcterms:W3CDTF">2016-07-21T07:29:53Z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ureECM_ProjectLeader">
    <vt:lpwstr>Harry Croezen (CE Delft)</vt:lpwstr>
  </property>
  <property fmtid="{D5CDD505-2E9C-101B-9397-08002B2CF9AE}" pid="3" name="Sector">
    <vt:lpwstr>4;#Energie|efcf7378-11f7-46b5-9f6b-a9b724849c23</vt:lpwstr>
  </property>
  <property fmtid="{D5CDD505-2E9C-101B-9397-08002B2CF9AE}" pid="4" name="TaxKeyword">
    <vt:lpwstr/>
  </property>
  <property fmtid="{D5CDD505-2E9C-101B-9397-08002B2CF9AE}" pid="5" name="SureECM_ProjectFase">
    <vt:lpwstr>1;#1|344ddbc6-b8ca-4407-8593-4a569d0d2a68</vt:lpwstr>
  </property>
  <property fmtid="{D5CDD505-2E9C-101B-9397-08002B2CF9AE}" pid="6" name="Klant">
    <vt:lpwstr>RVO - Dick Heemskerk</vt:lpwstr>
  </property>
  <property fmtid="{D5CDD505-2E9C-101B-9397-08002B2CF9AE}" pid="7" name="Thema">
    <vt:lpwstr>5;#Biomassa|be993b1d-76c3-4ff6-a71a-badc599f9ad3</vt:lpwstr>
  </property>
  <property fmtid="{D5CDD505-2E9C-101B-9397-08002B2CF9AE}" pid="8" name="ContentTypeId">
    <vt:lpwstr>0x01010032D923E531974EABBC32AD71A762C58D00D2425473D9DE461DB1C714AC4872504A00E9995C5CAA8F2646A18688333ABFED5B</vt:lpwstr>
  </property>
</Properties>
</file>