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3510" yWindow="2415" windowWidth="16380" windowHeight="8190" tabRatio="505" firstSheet="1" activeTab="5"/>
  </bookViews>
  <sheets>
    <sheet name="Voorblad" sheetId="18" r:id="rId1"/>
    <sheet name="Overzicht" sheetId="1" r:id="rId2"/>
    <sheet name="Resultaten" sheetId="15" r:id="rId3"/>
    <sheet name="Massabalans" sheetId="12" r:id="rId4"/>
    <sheet name="Nutriëntenbalans" sheetId="13" r:id="rId5"/>
    <sheet name="Landbouw" sheetId="2" r:id="rId6"/>
    <sheet name="Bewerking 1" sheetId="3" r:id="rId7"/>
    <sheet name="Productie" sheetId="4" r:id="rId8"/>
    <sheet name="Transport" sheetId="16" r:id="rId9"/>
    <sheet name="Allocatie en resultaat" sheetId="14" r:id="rId10"/>
    <sheet name="DB E" sheetId="6" r:id="rId11"/>
    <sheet name="DB M1" sheetId="7" r:id="rId12"/>
    <sheet name="DB M2" sheetId="8" r:id="rId13"/>
    <sheet name="DB H" sheetId="9" r:id="rId14"/>
    <sheet name="DB T" sheetId="10" r:id="rId15"/>
    <sheet name="GWP" sheetId="11" r:id="rId16"/>
  </sheets>
  <externalReferences>
    <externalReference r:id="rId17"/>
    <externalReference r:id="rId18"/>
    <externalReference r:id="rId19"/>
  </externalReferences>
  <definedNames>
    <definedName name="_xlnm._FilterDatabase" localSheetId="4" hidden="1">Nutriëntenbalans!$E$22:$H$28</definedName>
    <definedName name="_xlnm.Criteria" localSheetId="4">Nutriëntenbalans!$G$6:$G$6</definedName>
  </definedNames>
  <calcPr calcId="145621"/>
</workbook>
</file>

<file path=xl/calcChain.xml><?xml version="1.0" encoding="utf-8"?>
<calcChain xmlns="http://schemas.openxmlformats.org/spreadsheetml/2006/main">
  <c r="J13" i="2" l="1"/>
  <c r="O3" i="2"/>
  <c r="M18" i="16" l="1"/>
  <c r="Q29" i="1"/>
  <c r="Q26" i="1"/>
  <c r="E12" i="15"/>
  <c r="E11" i="15"/>
  <c r="E8" i="15"/>
  <c r="E10" i="15"/>
  <c r="E9" i="15"/>
  <c r="H12" i="15"/>
  <c r="O18" i="16"/>
  <c r="N18" i="16"/>
  <c r="O13" i="16"/>
  <c r="N13" i="16"/>
  <c r="M13" i="16"/>
  <c r="D16" i="16"/>
  <c r="D11" i="16"/>
  <c r="L28" i="2"/>
  <c r="L27" i="2"/>
  <c r="M28" i="2"/>
  <c r="N28" i="2"/>
  <c r="M29" i="2"/>
  <c r="N29" i="2"/>
  <c r="M30" i="2"/>
  <c r="N30" i="2"/>
  <c r="N27" i="2"/>
  <c r="M27" i="2"/>
  <c r="L30" i="2"/>
  <c r="L29" i="2"/>
  <c r="L35" i="2"/>
  <c r="M35" i="2"/>
  <c r="N35" i="2"/>
  <c r="L36" i="2"/>
  <c r="M36" i="2"/>
  <c r="N36" i="2"/>
  <c r="N34" i="2"/>
  <c r="M34" i="2"/>
  <c r="L34" i="2"/>
  <c r="M21" i="2"/>
  <c r="F27" i="2"/>
  <c r="N22" i="2"/>
  <c r="M22" i="2"/>
  <c r="L22" i="2"/>
  <c r="N21" i="2"/>
  <c r="L21" i="2"/>
  <c r="N23" i="2"/>
  <c r="M23" i="2"/>
  <c r="L23" i="2"/>
  <c r="O24" i="16"/>
  <c r="N24" i="16"/>
  <c r="M24" i="16"/>
  <c r="AA14" i="14" l="1"/>
  <c r="Z15" i="14" s="1"/>
  <c r="Z29" i="14"/>
  <c r="X29" i="14"/>
  <c r="Y14" i="14"/>
  <c r="X15" i="14" s="1"/>
  <c r="N29" i="4"/>
  <c r="M29" i="4"/>
  <c r="L29" i="4"/>
  <c r="N28" i="4"/>
  <c r="M28" i="4"/>
  <c r="L28" i="4"/>
  <c r="N27" i="4"/>
  <c r="M27" i="4"/>
  <c r="L27" i="4"/>
  <c r="N26" i="4"/>
  <c r="M26" i="4"/>
  <c r="L26" i="4"/>
  <c r="N21" i="4"/>
  <c r="M21" i="4"/>
  <c r="L21" i="4"/>
  <c r="N20" i="4"/>
  <c r="M20" i="4"/>
  <c r="L20" i="4"/>
  <c r="M33" i="4"/>
  <c r="F22" i="4"/>
  <c r="F21" i="4"/>
  <c r="F20" i="4"/>
  <c r="F16" i="4"/>
  <c r="F15" i="4"/>
  <c r="F14" i="4"/>
  <c r="F13" i="4"/>
  <c r="E13" i="4"/>
  <c r="N21" i="3"/>
  <c r="M21" i="3"/>
  <c r="L21" i="3"/>
  <c r="N20" i="3"/>
  <c r="M20" i="3"/>
  <c r="L20" i="3"/>
  <c r="F22" i="3"/>
  <c r="F21" i="3"/>
  <c r="F20" i="3"/>
  <c r="N29" i="3"/>
  <c r="M29" i="3"/>
  <c r="L29" i="3"/>
  <c r="N28" i="3"/>
  <c r="M28" i="3"/>
  <c r="L28" i="3"/>
  <c r="J28" i="3" s="1"/>
  <c r="N27" i="3"/>
  <c r="M27" i="3"/>
  <c r="L27" i="3"/>
  <c r="N26" i="3"/>
  <c r="M26" i="3"/>
  <c r="L26" i="3"/>
  <c r="J26" i="3" s="1"/>
  <c r="F16" i="3"/>
  <c r="F15" i="3"/>
  <c r="F14" i="3"/>
  <c r="F13" i="3"/>
  <c r="M33" i="3"/>
  <c r="L14" i="3"/>
  <c r="M14" i="3"/>
  <c r="N14" i="3"/>
  <c r="L15" i="3"/>
  <c r="M15" i="3"/>
  <c r="N15" i="3"/>
  <c r="L16" i="3"/>
  <c r="M16" i="3"/>
  <c r="N16" i="3"/>
  <c r="AB45" i="13"/>
  <c r="AE44" i="13"/>
  <c r="AE45" i="13" s="1"/>
  <c r="AC44" i="13"/>
  <c r="AI43" i="13"/>
  <c r="AF43" i="13"/>
  <c r="AC43" i="13"/>
  <c r="AI42" i="13"/>
  <c r="AF42" i="13"/>
  <c r="AC42" i="13"/>
  <c r="Y41" i="13"/>
  <c r="Y40" i="13"/>
  <c r="AH36" i="13"/>
  <c r="AE36" i="13"/>
  <c r="M29" i="13" s="1"/>
  <c r="AB36" i="13"/>
  <c r="I37" i="13" s="1"/>
  <c r="AI35" i="13"/>
  <c r="AF35" i="13"/>
  <c r="AC35" i="13"/>
  <c r="X35" i="13"/>
  <c r="X42" i="13" s="1"/>
  <c r="X43" i="13" s="1"/>
  <c r="AI34" i="13"/>
  <c r="AF34" i="13"/>
  <c r="AC34" i="13"/>
  <c r="Y34" i="13"/>
  <c r="AI33" i="13"/>
  <c r="AI36" i="13" s="1"/>
  <c r="AF33" i="13"/>
  <c r="AC33" i="13"/>
  <c r="AC36" i="13" s="1"/>
  <c r="Y33" i="13"/>
  <c r="G52" i="13"/>
  <c r="L14" i="13"/>
  <c r="J26" i="4" l="1"/>
  <c r="J28" i="4"/>
  <c r="J27" i="4"/>
  <c r="J29" i="4"/>
  <c r="J27" i="3"/>
  <c r="J29" i="3"/>
  <c r="E15" i="14"/>
  <c r="E21" i="14" s="1"/>
  <c r="Y35" i="13"/>
  <c r="X36" i="13"/>
  <c r="Y36" i="13"/>
  <c r="AF36" i="13"/>
  <c r="AC45" i="13"/>
  <c r="I47" i="13" s="1"/>
  <c r="AF44" i="13"/>
  <c r="AF45" i="13" s="1"/>
  <c r="Y42" i="13"/>
  <c r="Y43" i="13" s="1"/>
  <c r="AH44" i="13"/>
  <c r="I48" i="13" l="1"/>
  <c r="E18" i="14"/>
  <c r="AH45" i="13"/>
  <c r="AI44" i="13"/>
  <c r="AI45" i="13" s="1"/>
  <c r="H16" i="13" l="1"/>
  <c r="G24" i="13" s="1"/>
  <c r="G26" i="13"/>
  <c r="F15" i="13"/>
  <c r="AA14" i="13"/>
  <c r="Q13" i="13" s="1"/>
  <c r="O14" i="13"/>
  <c r="O15" i="13" s="1"/>
  <c r="N14" i="13"/>
  <c r="H14" i="13"/>
  <c r="G25" i="13" s="1"/>
  <c r="G14" i="13"/>
  <c r="F14" i="13" s="1"/>
  <c r="G13" i="13"/>
  <c r="F13" i="13" s="1"/>
  <c r="AA12" i="13"/>
  <c r="T11" i="12"/>
  <c r="T62" i="12"/>
  <c r="T63" i="12"/>
  <c r="V42" i="12"/>
  <c r="V36" i="12"/>
  <c r="V37" i="12" s="1"/>
  <c r="V41" i="12" s="1"/>
  <c r="F12" i="15"/>
  <c r="U32" i="12"/>
  <c r="U33" i="12" s="1"/>
  <c r="Y27" i="12"/>
  <c r="Y25" i="12"/>
  <c r="T12" i="12" l="1"/>
  <c r="F16" i="13" s="1"/>
  <c r="L15" i="13" s="1"/>
  <c r="N15" i="13" s="1"/>
  <c r="AA16" i="13"/>
  <c r="P14" i="13"/>
  <c r="Q14" i="13" s="1"/>
  <c r="N12" i="13"/>
  <c r="P12" i="13" s="1"/>
  <c r="Q12" i="13" s="1"/>
  <c r="H24" i="13"/>
  <c r="L27" i="13" s="1"/>
  <c r="N30" i="13" s="1"/>
  <c r="G16" i="13"/>
  <c r="F26" i="13" s="1"/>
  <c r="F39" i="13" s="1"/>
  <c r="H39" i="13" s="1"/>
  <c r="J39" i="13" s="1"/>
  <c r="O49" i="13" s="1"/>
  <c r="H25" i="13"/>
  <c r="H26" i="13"/>
  <c r="P15" i="13"/>
  <c r="Q15" i="13" s="1"/>
  <c r="F24" i="13"/>
  <c r="F37" i="13" s="1"/>
  <c r="V26" i="12"/>
  <c r="Y26" i="12" s="1"/>
  <c r="V29" i="12"/>
  <c r="Y29" i="12" s="1"/>
  <c r="U64" i="12"/>
  <c r="V28" i="12"/>
  <c r="Y28" i="12" s="1"/>
  <c r="V31" i="12"/>
  <c r="Y31" i="12" s="1"/>
  <c r="V43" i="12"/>
  <c r="V44" i="12" s="1"/>
  <c r="V47" i="12" s="1"/>
  <c r="W30" i="12" s="1"/>
  <c r="W33" i="12" s="1"/>
  <c r="H21" i="12"/>
  <c r="V38" i="12"/>
  <c r="V32" i="12"/>
  <c r="Y32" i="12" s="1"/>
  <c r="M28" i="14" l="1"/>
  <c r="I2" i="3"/>
  <c r="H10" i="12"/>
  <c r="P49" i="13"/>
  <c r="E29" i="2" s="1"/>
  <c r="Q16" i="13"/>
  <c r="L28" i="13" s="1"/>
  <c r="L29" i="13" s="1"/>
  <c r="F25" i="13"/>
  <c r="F38" i="13" s="1"/>
  <c r="H38" i="13" s="1"/>
  <c r="J38" i="13" s="1"/>
  <c r="O48" i="13" s="1"/>
  <c r="Y30" i="12"/>
  <c r="P16" i="13"/>
  <c r="F50" i="13" s="1"/>
  <c r="G50" i="13" s="1"/>
  <c r="L40" i="2" s="1"/>
  <c r="Y33" i="12"/>
  <c r="L21" i="12" s="1"/>
  <c r="Q28" i="14" s="1"/>
  <c r="F11" i="15"/>
  <c r="V33" i="12"/>
  <c r="V48" i="12"/>
  <c r="X30" i="12" s="1"/>
  <c r="X33" i="12" s="1"/>
  <c r="E13" i="16" l="1"/>
  <c r="K13" i="16" s="1"/>
  <c r="E18" i="16"/>
  <c r="K18" i="16" s="1"/>
  <c r="I20" i="14" s="1"/>
  <c r="F10" i="15"/>
  <c r="F9" i="15"/>
  <c r="M14" i="14"/>
  <c r="E14" i="14" s="1"/>
  <c r="O2" i="2"/>
  <c r="H52" i="13"/>
  <c r="K10" i="12"/>
  <c r="P14" i="14" s="1"/>
  <c r="E29" i="14"/>
  <c r="F29" i="14" s="1"/>
  <c r="E28" i="14"/>
  <c r="F28" i="14" s="1"/>
  <c r="E22" i="2"/>
  <c r="P48" i="13"/>
  <c r="E28" i="2" s="1"/>
  <c r="F48" i="13"/>
  <c r="G48" i="13" s="1"/>
  <c r="N29" i="13"/>
  <c r="N31" i="13" s="1"/>
  <c r="G37" i="13" s="1"/>
  <c r="H37" i="13" s="1"/>
  <c r="J37" i="13" s="1"/>
  <c r="O47" i="13" s="1"/>
  <c r="H50" i="13"/>
  <c r="K50" i="13" s="1"/>
  <c r="L10" i="12"/>
  <c r="Q14" i="14" s="1"/>
  <c r="H11" i="15" l="1"/>
  <c r="F15" i="14"/>
  <c r="H8" i="15" s="1"/>
  <c r="F21" i="14"/>
  <c r="F18" i="14"/>
  <c r="E20" i="14"/>
  <c r="F20" i="14" s="1"/>
  <c r="E17" i="14"/>
  <c r="F17" i="14" s="1"/>
  <c r="F14" i="14"/>
  <c r="G10" i="15"/>
  <c r="J20" i="14"/>
  <c r="K3" i="16"/>
  <c r="I17" i="14"/>
  <c r="H48" i="13"/>
  <c r="J48" i="13" s="1"/>
  <c r="K48" i="13" s="1"/>
  <c r="E21" i="2"/>
  <c r="P47" i="13"/>
  <c r="E27" i="2" s="1"/>
  <c r="F47" i="13"/>
  <c r="H47" i="13" s="1"/>
  <c r="G9" i="15" l="1"/>
  <c r="J17" i="14"/>
  <c r="K17" i="14"/>
  <c r="H9" i="15"/>
  <c r="K20" i="14"/>
  <c r="H10" i="15"/>
  <c r="E20" i="2"/>
  <c r="J47" i="13"/>
  <c r="K47" i="13" s="1"/>
  <c r="G47" i="13"/>
  <c r="F8" i="15"/>
  <c r="N20" i="2"/>
  <c r="M20" i="2"/>
  <c r="L20" i="2"/>
  <c r="N16" i="2"/>
  <c r="M16" i="2"/>
  <c r="L16" i="2"/>
  <c r="N15" i="2"/>
  <c r="M15" i="2"/>
  <c r="L15" i="2"/>
  <c r="N14" i="2"/>
  <c r="M14" i="2"/>
  <c r="L14" i="2"/>
  <c r="F35" i="2"/>
  <c r="F36" i="2"/>
  <c r="F34" i="2"/>
  <c r="F20" i="2"/>
  <c r="F14" i="2"/>
  <c r="F15" i="2"/>
  <c r="F16" i="2"/>
  <c r="F13" i="2"/>
  <c r="J49" i="13" l="1"/>
  <c r="K49" i="13" s="1"/>
  <c r="K51" i="13" s="1"/>
  <c r="N41" i="2"/>
  <c r="E13" i="3"/>
  <c r="E5" i="6"/>
  <c r="L13" i="2" s="1"/>
  <c r="F5" i="6"/>
  <c r="M13" i="2" s="1"/>
  <c r="G5" i="6"/>
  <c r="N13" i="2" s="1"/>
  <c r="E6" i="6"/>
  <c r="F6" i="6"/>
  <c r="G6" i="6"/>
  <c r="E7" i="6"/>
  <c r="F7" i="6"/>
  <c r="G7" i="6"/>
  <c r="E8" i="6"/>
  <c r="F8" i="6"/>
  <c r="G8" i="6"/>
  <c r="E10" i="6"/>
  <c r="F10" i="6"/>
  <c r="G10" i="6"/>
  <c r="E11" i="6"/>
  <c r="F11" i="6"/>
  <c r="G11" i="6"/>
  <c r="E13" i="6"/>
  <c r="F13" i="6"/>
  <c r="G13" i="6"/>
  <c r="E14" i="6"/>
  <c r="F14" i="6"/>
  <c r="G14" i="6"/>
  <c r="E15" i="6"/>
  <c r="F15" i="6"/>
  <c r="G15" i="6"/>
  <c r="E16" i="6"/>
  <c r="F16" i="6"/>
  <c r="G16" i="6"/>
  <c r="B7" i="11"/>
  <c r="B8" i="11"/>
  <c r="B9" i="11"/>
  <c r="B11" i="11"/>
  <c r="B12" i="11"/>
  <c r="B13" i="11"/>
  <c r="L47" i="2"/>
  <c r="J15" i="2" s="1"/>
  <c r="M47" i="2"/>
  <c r="B4" i="11"/>
  <c r="N47" i="2" l="1"/>
  <c r="N33" i="4"/>
  <c r="N33" i="3"/>
  <c r="B6" i="11"/>
  <c r="L33" i="4"/>
  <c r="L33" i="3"/>
  <c r="N16" i="4"/>
  <c r="N15" i="4"/>
  <c r="N14" i="4"/>
  <c r="N13" i="4"/>
  <c r="N13" i="3"/>
  <c r="M16" i="4"/>
  <c r="M15" i="4"/>
  <c r="M14" i="4"/>
  <c r="M13" i="4"/>
  <c r="M13" i="3"/>
  <c r="L16" i="4"/>
  <c r="J16" i="4" s="1"/>
  <c r="L15" i="4"/>
  <c r="J15" i="4" s="1"/>
  <c r="L14" i="4"/>
  <c r="J14" i="4" s="1"/>
  <c r="L13" i="4"/>
  <c r="J13" i="4" s="1"/>
  <c r="L13" i="3"/>
  <c r="J14" i="2"/>
  <c r="J43" i="2"/>
  <c r="J41" i="2"/>
  <c r="J42" i="2"/>
  <c r="J40" i="2"/>
  <c r="J34" i="2"/>
  <c r="J30" i="2"/>
  <c r="J21" i="2"/>
  <c r="J36" i="2"/>
  <c r="J27" i="2"/>
  <c r="J23" i="2"/>
  <c r="J35" i="2"/>
  <c r="J28" i="2"/>
  <c r="J22" i="2"/>
  <c r="J29" i="2"/>
  <c r="J16" i="2"/>
  <c r="J20" i="2"/>
  <c r="J16" i="3"/>
  <c r="J15" i="3"/>
  <c r="J14" i="3"/>
  <c r="J13" i="3"/>
  <c r="J22" i="3" l="1"/>
  <c r="J21" i="3"/>
  <c r="J20" i="3"/>
  <c r="J22" i="4"/>
  <c r="J21" i="4"/>
  <c r="J20" i="4"/>
  <c r="I3" i="4" s="1"/>
  <c r="H34" i="14" s="1"/>
  <c r="I34" i="14" s="1"/>
  <c r="I3" i="3"/>
  <c r="H28" i="14" s="1"/>
  <c r="I28" i="14" s="1"/>
  <c r="G11" i="15" s="1"/>
  <c r="G12" i="15" l="1"/>
  <c r="K34" i="14"/>
  <c r="J34" i="14"/>
  <c r="J28" i="14"/>
  <c r="K28" i="14"/>
  <c r="H14" i="14"/>
  <c r="I14" i="14" s="1"/>
  <c r="J14" i="14" l="1"/>
  <c r="J36" i="14" s="1"/>
  <c r="K14" i="14"/>
  <c r="G8" i="15"/>
  <c r="J8" i="15" s="1"/>
  <c r="J9" i="15" s="1"/>
  <c r="J10" i="15" s="1"/>
  <c r="J11" i="15" s="1"/>
  <c r="J12" i="15" s="1"/>
  <c r="J15" i="15" s="1"/>
  <c r="K36" i="14" l="1"/>
</calcChain>
</file>

<file path=xl/comments1.xml><?xml version="1.0" encoding="utf-8"?>
<comments xmlns="http://schemas.openxmlformats.org/spreadsheetml/2006/main">
  <authors>
    <author>croezen &amp; van rooijen</author>
    <author>Croezen</author>
    <author>Gebruiker</author>
  </authors>
  <commentList>
    <comment ref="E24" authorId="0">
      <text>
        <r>
          <rPr>
            <b/>
            <sz val="9"/>
            <color indexed="81"/>
            <rFont val="Tahoma"/>
            <family val="2"/>
          </rPr>
          <t>croezen &amp; van rooijen:</t>
        </r>
        <r>
          <rPr>
            <sz val="9"/>
            <color indexed="81"/>
            <rFont val="Tahoma"/>
            <family val="2"/>
          </rPr>
          <t xml:space="preserve">
Beacon artikel
</t>
        </r>
      </text>
    </comment>
    <comment ref="V25" authorId="1">
      <text>
        <r>
          <rPr>
            <b/>
            <sz val="8"/>
            <color indexed="81"/>
            <rFont val="Tahoma"/>
            <family val="2"/>
          </rPr>
          <t>Croezen:</t>
        </r>
        <r>
          <rPr>
            <sz val="8"/>
            <color indexed="81"/>
            <rFont val="Tahoma"/>
            <family val="2"/>
          </rPr>
          <t xml:space="preserve">
Uit bovenste tabel op blz 47 van Ensus 2007
</t>
        </r>
      </text>
    </comment>
    <comment ref="V27" authorId="1">
      <text>
        <r>
          <rPr>
            <b/>
            <sz val="8"/>
            <color indexed="81"/>
            <rFont val="Tahoma"/>
            <family val="2"/>
          </rPr>
          <t>Croezen:</t>
        </r>
        <r>
          <rPr>
            <sz val="8"/>
            <color indexed="81"/>
            <rFont val="Tahoma"/>
            <family val="2"/>
          </rPr>
          <t xml:space="preserve">
Uit bovenste tabel op blz 47 van Ensus 2007
</t>
        </r>
      </text>
    </comment>
    <comment ref="V30" authorId="1">
      <text>
        <r>
          <rPr>
            <b/>
            <sz val="8"/>
            <color indexed="81"/>
            <rFont val="Tahoma"/>
            <family val="2"/>
          </rPr>
          <t>Croezen:</t>
        </r>
        <r>
          <rPr>
            <sz val="8"/>
            <color indexed="81"/>
            <rFont val="Tahoma"/>
            <family val="2"/>
          </rPr>
          <t xml:space="preserve">
Uit bovenste tabel op blz 47 van Ensus 2007
</t>
        </r>
      </text>
    </comment>
    <comment ref="S50" authorId="2">
      <text>
        <r>
          <rPr>
            <b/>
            <sz val="9"/>
            <color indexed="81"/>
            <rFont val="Tahoma"/>
            <family val="2"/>
          </rPr>
          <t>Gebruiker:</t>
        </r>
        <r>
          <rPr>
            <sz val="9"/>
            <color indexed="81"/>
            <rFont val="Tahoma"/>
            <family val="2"/>
          </rPr>
          <t xml:space="preserve">
Economic and technical analysis of ethanol dry milling_model description
Rhys T. Dale and Wallace E. Tyner
April 2006, Agricultural Economics Department Purdue University
http://ageconsearch.umn.edu/handle/28674</t>
        </r>
      </text>
    </comment>
    <comment ref="T62" authorId="0">
      <text>
        <r>
          <rPr>
            <b/>
            <sz val="9"/>
            <color indexed="81"/>
            <rFont val="Tahoma"/>
            <family val="2"/>
          </rPr>
          <t>croezen &amp; van rooijen:</t>
        </r>
        <r>
          <rPr>
            <sz val="9"/>
            <color indexed="81"/>
            <rFont val="Tahoma"/>
            <family val="2"/>
          </rPr>
          <t xml:space="preserve">
Beacon artikel
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E13" authorId="0">
      <text>
        <r>
          <rPr>
            <sz val="10"/>
            <rFont val="Arial"/>
            <family val="2"/>
          </rPr>
          <t>0.91 MJ = 0.0254 liter</t>
        </r>
      </text>
    </comment>
    <comment ref="N41" authorId="0">
      <text>
        <r>
          <rPr>
            <sz val="10"/>
            <rFont val="Arial"/>
            <family val="2"/>
          </rPr>
          <t xml:space="preserve">Emissiefactor N2O / kg N is 1.425% voor organische stof en gewasresten. Gewicht N2O/N is 44/28. 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X14" authorId="0">
      <text>
        <r>
          <rPr>
            <sz val="10"/>
            <rFont val="Arial"/>
            <family val="2"/>
          </rPr>
          <t>Stookwaarde gecorrigeerd voor enthalpie van vochtgehalte</t>
        </r>
      </text>
    </comment>
  </commentList>
</comments>
</file>

<file path=xl/sharedStrings.xml><?xml version="1.0" encoding="utf-8"?>
<sst xmlns="http://schemas.openxmlformats.org/spreadsheetml/2006/main" count="813" uniqueCount="466">
  <si>
    <t>Ketenschakel</t>
  </si>
  <si>
    <t>Proces</t>
  </si>
  <si>
    <t>Allocatie</t>
  </si>
  <si>
    <t xml:space="preserve">Teelt </t>
  </si>
  <si>
    <t xml:space="preserve">Transport </t>
  </si>
  <si>
    <t>Bewerking 1</t>
  </si>
  <si>
    <t>Ethanol productie</t>
  </si>
  <si>
    <t xml:space="preserve">Productie </t>
  </si>
  <si>
    <t>Etheen productie</t>
  </si>
  <si>
    <t xml:space="preserve">Allocatie basis : </t>
  </si>
  <si>
    <t>Massabalans (kg output / kg eindproduct)</t>
  </si>
  <si>
    <t>kg tarwe / kg etheen</t>
  </si>
  <si>
    <t>Totaal (emissie factor per kg tussenproduct)</t>
  </si>
  <si>
    <t>kg CO2 equivalent / kg tarwe</t>
  </si>
  <si>
    <t>Emissies per eenheid input / activiteit</t>
  </si>
  <si>
    <t>Energie landbouw</t>
  </si>
  <si>
    <t>Eenheid</t>
  </si>
  <si>
    <t>CO2 (LULUCF)</t>
  </si>
  <si>
    <t>CO2</t>
  </si>
  <si>
    <t>CH4</t>
  </si>
  <si>
    <t>N2O</t>
  </si>
  <si>
    <t>Hoeveelheid</t>
  </si>
  <si>
    <t>Opmerkingen</t>
  </si>
  <si>
    <t>Diesel</t>
  </si>
  <si>
    <t>Kunstmest (droog klimaat)</t>
  </si>
  <si>
    <t>Kunstmest (nat klimaat / irrigatie)</t>
  </si>
  <si>
    <t>Calcium ammonium nitrate (CAN)</t>
  </si>
  <si>
    <t>Oogst in Nederland, dus nat klimaat</t>
  </si>
  <si>
    <t xml:space="preserve">Triple superphosphate (TSP) </t>
  </si>
  <si>
    <t>Hulpstoffen (overig)</t>
  </si>
  <si>
    <t>Pesticides</t>
  </si>
  <si>
    <t>Seeds- wheat</t>
  </si>
  <si>
    <t xml:space="preserve">Afname bodemorganische stof </t>
  </si>
  <si>
    <t>Bij tarwe teelt in NL enige afbraak van bodem org stof</t>
  </si>
  <si>
    <t>kg ethanol / kg etheen</t>
  </si>
  <si>
    <t>kg CO2 equivalent / kg ethanol</t>
  </si>
  <si>
    <t>Energie ethanol</t>
  </si>
  <si>
    <t>Natural gas (marginal supply)</t>
  </si>
  <si>
    <t>Process emissies</t>
  </si>
  <si>
    <t>Geen procesemissies</t>
  </si>
  <si>
    <t>kg etheen / kg etheen</t>
  </si>
  <si>
    <t>kg CO2 equivalent / kg etheen</t>
  </si>
  <si>
    <t>Truck (40 ton) for dry product (Diesel)</t>
  </si>
  <si>
    <t>Inland bulk carrier 8.8 kt (diesel)</t>
  </si>
  <si>
    <t>Standaard data voor energiedragers</t>
  </si>
  <si>
    <t>Emissies in gram  per eenheid,  verbranding en productieketen</t>
  </si>
  <si>
    <t>Emissies in gram per MJ,  verbranding en productieketen</t>
  </si>
  <si>
    <t>MJ in/uit</t>
  </si>
  <si>
    <t>Energiedrager</t>
  </si>
  <si>
    <t>Dichtheid (kg / eenheid)</t>
  </si>
  <si>
    <t>LHV (MJ/kg)</t>
  </si>
  <si>
    <t>[overig...]</t>
  </si>
  <si>
    <t>MJ fossil/MJ</t>
  </si>
  <si>
    <t>liter</t>
  </si>
  <si>
    <t>Gasoline</t>
  </si>
  <si>
    <t>Fuel oil (1.8% S)</t>
  </si>
  <si>
    <t>Fuel oil (3.5% S)</t>
  </si>
  <si>
    <t>Ethanol</t>
  </si>
  <si>
    <t>Methanol</t>
  </si>
  <si>
    <t>MJ</t>
  </si>
  <si>
    <t>Methane</t>
  </si>
  <si>
    <t>LPG</t>
  </si>
  <si>
    <t>Electricity EU mix (10-20 kV)</t>
  </si>
  <si>
    <t>kWh</t>
  </si>
  <si>
    <t>Electricity EU mix (0.4 kV)</t>
  </si>
  <si>
    <t>Electricity Canada</t>
  </si>
  <si>
    <t>Standaard data voor kunstmest (nat klimaat)</t>
  </si>
  <si>
    <t>Emissies in gram per eenheid, totaal</t>
  </si>
  <si>
    <t>Emissies in gram per eenheid, productieketen</t>
  </si>
  <si>
    <t>Hulpstof</t>
  </si>
  <si>
    <t>N2O direct</t>
  </si>
  <si>
    <t>Synthetic N-fertiliser (kg N)</t>
  </si>
  <si>
    <t>kg N</t>
  </si>
  <si>
    <r>
      <t>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-fertiliser (kg P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</t>
    </r>
    <r>
      <rPr>
        <vertAlign val="subscript"/>
        <sz val="10"/>
        <rFont val="Arial"/>
        <family val="2"/>
      </rPr>
      <t>5</t>
    </r>
    <r>
      <rPr>
        <sz val="10"/>
        <rFont val="Arial"/>
        <family val="2"/>
      </rPr>
      <t>)</t>
    </r>
  </si>
  <si>
    <t>kg P2O5</t>
  </si>
  <si>
    <r>
      <t>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O-fertiliser (kg K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O)</t>
    </r>
  </si>
  <si>
    <t>kg K2O</t>
  </si>
  <si>
    <t>CaO-fertiliser (calculated as kg CaO)</t>
  </si>
  <si>
    <t>kg CaO</t>
  </si>
  <si>
    <r>
      <t>CaO-fertiliser (calculated as kg CaCO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</t>
    </r>
  </si>
  <si>
    <t>kg CaCO3</t>
  </si>
  <si>
    <t>Ammonium nitrate (AN)</t>
  </si>
  <si>
    <t>Ammonium sulphate (AS)</t>
  </si>
  <si>
    <t>Ammonium nitrate sulphate (ANS)</t>
  </si>
  <si>
    <t>Anhydrous ammonia</t>
  </si>
  <si>
    <t>Calcium nitrate (CN)</t>
  </si>
  <si>
    <t>Urea</t>
  </si>
  <si>
    <t>Urea ammonium nitrate (UAN)</t>
  </si>
  <si>
    <r>
      <t>Rock phosphate 21%P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O</t>
    </r>
    <r>
      <rPr>
        <vertAlign val="subscript"/>
        <sz val="8"/>
        <rFont val="Trebuchet MS"/>
        <family val="2"/>
      </rPr>
      <t>5</t>
    </r>
    <r>
      <rPr>
        <sz val="8"/>
        <rFont val="Trebuchet MS"/>
        <family val="2"/>
      </rPr>
      <t xml:space="preserve"> 23%SO</t>
    </r>
    <r>
      <rPr>
        <vertAlign val="subscript"/>
        <sz val="8"/>
        <rFont val="Trebuchet MS"/>
        <family val="2"/>
      </rPr>
      <t>3</t>
    </r>
  </si>
  <si>
    <r>
      <t>Mono ammonium phosphate (MAP) 11%N 52%P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O</t>
    </r>
    <r>
      <rPr>
        <vertAlign val="subscript"/>
        <sz val="8"/>
        <rFont val="Trebuchet MS"/>
        <family val="2"/>
      </rPr>
      <t>5</t>
    </r>
  </si>
  <si>
    <t>Di-Ammonium-Phosphate (DAP) 18%N 46%P2O5</t>
  </si>
  <si>
    <t>Muriate of Potash (MOP) 60%K2O</t>
  </si>
  <si>
    <t>Conversiefactor</t>
  </si>
  <si>
    <t>Standaard data voor kunstmest (droog klimaat)</t>
  </si>
  <si>
    <t>Standaard data voor hulpstoffen (chemicalien)</t>
  </si>
  <si>
    <t>Acetic acid</t>
  </si>
  <si>
    <t xml:space="preserve">kg  </t>
  </si>
  <si>
    <t>Ammonia</t>
  </si>
  <si>
    <t>alpha-amylase</t>
  </si>
  <si>
    <t>Antioxidant BHT (butylated hydroxytoluene)</t>
  </si>
  <si>
    <t>Citric acid</t>
  </si>
  <si>
    <t>gluco-amylase</t>
  </si>
  <si>
    <t>Hexane</t>
  </si>
  <si>
    <t>n-Hexane</t>
  </si>
  <si>
    <t>Fuller's earth</t>
  </si>
  <si>
    <t>Hydrochloric acid (HCl)</t>
  </si>
  <si>
    <t>Hydrogen (for HVO)</t>
  </si>
  <si>
    <t>Isobutene</t>
  </si>
  <si>
    <t>Limestone</t>
  </si>
  <si>
    <t>Lubricants</t>
  </si>
  <si>
    <t>Nitrogen</t>
  </si>
  <si>
    <r>
      <t>Phosphoric acid (H</t>
    </r>
    <r>
      <rPr>
        <vertAlign val="subscript"/>
        <sz val="8"/>
        <rFont val="Trebuchet MS"/>
        <family val="2"/>
      </rPr>
      <t>3</t>
    </r>
    <r>
      <rPr>
        <sz val="8"/>
        <rFont val="Trebuchet MS"/>
        <family val="2"/>
      </rPr>
      <t>PO</t>
    </r>
    <r>
      <rPr>
        <vertAlign val="subscript"/>
        <sz val="8"/>
        <rFont val="Trebuchet MS"/>
        <family val="2"/>
      </rPr>
      <t>4</t>
    </r>
    <r>
      <rPr>
        <sz val="8"/>
        <rFont val="Trebuchet MS"/>
        <family val="2"/>
      </rPr>
      <t>)</t>
    </r>
  </si>
  <si>
    <t>Potassium hydroxide (KOH)</t>
  </si>
  <si>
    <t>Pure CaO for processes</t>
  </si>
  <si>
    <r>
      <t>Sodium carbonate (Na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CO</t>
    </r>
    <r>
      <rPr>
        <vertAlign val="subscript"/>
        <sz val="8"/>
        <rFont val="Trebuchet MS"/>
        <family val="2"/>
      </rPr>
      <t>3</t>
    </r>
    <r>
      <rPr>
        <sz val="8"/>
        <rFont val="Trebuchet MS"/>
        <family val="2"/>
      </rPr>
      <t>)</t>
    </r>
  </si>
  <si>
    <t>Sodium hydroxide (NaOH)</t>
  </si>
  <si>
    <t>Sodium methylate (Na(CH3O))</t>
  </si>
  <si>
    <t>Sodium silicate (37% in water)</t>
  </si>
  <si>
    <r>
      <t>Sulphuric acid (H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SO</t>
    </r>
    <r>
      <rPr>
        <vertAlign val="subscript"/>
        <sz val="8"/>
        <rFont val="Trebuchet MS"/>
        <family val="2"/>
      </rPr>
      <t>4</t>
    </r>
    <r>
      <rPr>
        <sz val="8"/>
        <rFont val="Trebuchet MS"/>
        <family val="2"/>
      </rPr>
      <t>)</t>
    </r>
  </si>
  <si>
    <t>Zeolith</t>
  </si>
  <si>
    <t>Sodium methylate</t>
  </si>
  <si>
    <t>Seeds- sugarbeet</t>
  </si>
  <si>
    <t>Standaard data voor transportmiddelen</t>
  </si>
  <si>
    <t>Emissies in gram  per eenheid</t>
  </si>
  <si>
    <t>Tranportmiddel</t>
  </si>
  <si>
    <t>tonkm</t>
  </si>
  <si>
    <t>Truck (40 ton) for chips (and similar size dry product) (Diesel)</t>
  </si>
  <si>
    <t>Truck (40 ton) for pellets (Diesel)</t>
  </si>
  <si>
    <t>Truck (40 ton) for liquids (Diesel)</t>
  </si>
  <si>
    <t>Truck (40 ton) for manure (Diesel)</t>
  </si>
  <si>
    <t>Truck (40 ton) for biowaste (Diesel)</t>
  </si>
  <si>
    <t>Truck (40 ton) for sugar cane transport</t>
  </si>
  <si>
    <t>Truck (20 ton) for Jatropha seed transport (Diesel)</t>
  </si>
  <si>
    <t>Truck (12 ton) for FFB transport (Diesel)</t>
  </si>
  <si>
    <t>Dumpster truck MB2213 for filter mud transport</t>
  </si>
  <si>
    <t>Tanker truck MB2318 for vinasse transport</t>
  </si>
  <si>
    <t>Tanker truck MB2318 for cane seed transport</t>
  </si>
  <si>
    <t>Tanker truck with water cannons for vinasse transport</t>
  </si>
  <si>
    <t>Ocean bulk carrier Panamax (Fuel oil)</t>
  </si>
  <si>
    <t>Inland ship for oil transport, 1.2 kt (diesel)</t>
  </si>
  <si>
    <t xml:space="preserve">Chemical tanker for vegetable oil transport </t>
  </si>
  <si>
    <t>Product tanker 22.56 kt (Fuel oil)</t>
  </si>
  <si>
    <t>Product tanker 15 kt (Fuel oil)</t>
  </si>
  <si>
    <t>Product tanker 12.617 kt (Fuel oil)</t>
  </si>
  <si>
    <r>
      <t>Bulk Carrier "Handysize" - wood chips (Fuel oil) with bulk density 220 kg/m</t>
    </r>
    <r>
      <rPr>
        <vertAlign val="superscript"/>
        <sz val="8"/>
        <color indexed="8"/>
        <rFont val="Trebuchet MS"/>
        <family val="2"/>
      </rPr>
      <t>3</t>
    </r>
  </si>
  <si>
    <r>
      <t>Bulk Carrier "Supramax" - wood chips (Fuel oil) with bulk density 220 kg/m</t>
    </r>
    <r>
      <rPr>
        <vertAlign val="superscript"/>
        <sz val="8"/>
        <color indexed="8"/>
        <rFont val="Trebuchet MS"/>
        <family val="2"/>
      </rPr>
      <t>3</t>
    </r>
  </si>
  <si>
    <r>
      <t>Bulk Carrier "Handysize" - pellets (Fuel oil) with bulk density 650 kg/m</t>
    </r>
    <r>
      <rPr>
        <vertAlign val="superscript"/>
        <sz val="8"/>
        <color indexed="8"/>
        <rFont val="Trebuchet MS"/>
        <family val="2"/>
      </rPr>
      <t>3</t>
    </r>
  </si>
  <si>
    <r>
      <t>Bulk Carrier "Supramax" - pellets (Fuel oil) with bulk density 650 kg/m</t>
    </r>
    <r>
      <rPr>
        <vertAlign val="superscript"/>
        <sz val="8"/>
        <color indexed="8"/>
        <rFont val="Trebuchet MS"/>
        <family val="2"/>
      </rPr>
      <t>3</t>
    </r>
  </si>
  <si>
    <r>
      <t>Bulk Carrier "Handysize" - agri-residues with low bulk density (125 kg/m</t>
    </r>
    <r>
      <rPr>
        <vertAlign val="superscript"/>
        <sz val="8"/>
        <rFont val="Trebuchet MS"/>
        <family val="2"/>
      </rPr>
      <t>3</t>
    </r>
    <r>
      <rPr>
        <sz val="8"/>
        <rFont val="Trebuchet MS"/>
        <family val="2"/>
      </rPr>
      <t>)</t>
    </r>
  </si>
  <si>
    <r>
      <t>Bulk Carrier "Supramax" - agri-residues with low bulk density (125 kg/m</t>
    </r>
    <r>
      <rPr>
        <vertAlign val="superscript"/>
        <sz val="8"/>
        <rFont val="Trebuchet MS"/>
        <family val="2"/>
      </rPr>
      <t>3</t>
    </r>
    <r>
      <rPr>
        <sz val="8"/>
        <rFont val="Trebuchet MS"/>
        <family val="2"/>
      </rPr>
      <t>)</t>
    </r>
  </si>
  <si>
    <r>
      <t>Bulk Carrier "Handysize" - agri-residues with high bulk density (300 kg/m</t>
    </r>
    <r>
      <rPr>
        <vertAlign val="superscript"/>
        <sz val="8"/>
        <rFont val="Trebuchet MS"/>
        <family val="2"/>
      </rPr>
      <t>3</t>
    </r>
    <r>
      <rPr>
        <sz val="8"/>
        <rFont val="Trebuchet MS"/>
        <family val="2"/>
      </rPr>
      <t>)</t>
    </r>
  </si>
  <si>
    <r>
      <t>Bulk Carrier "Supramax" - agri-residues with high bulk density (300 kg/m</t>
    </r>
    <r>
      <rPr>
        <vertAlign val="superscript"/>
        <sz val="8"/>
        <rFont val="Trebuchet MS"/>
        <family val="2"/>
      </rPr>
      <t>3</t>
    </r>
    <r>
      <rPr>
        <sz val="8"/>
        <rFont val="Trebuchet MS"/>
        <family val="2"/>
      </rPr>
      <t>)</t>
    </r>
  </si>
  <si>
    <t>Bulk Carrier "Handysize" - PKM</t>
  </si>
  <si>
    <t>Bulk Carrier "Supramax" - PKM</t>
  </si>
  <si>
    <t>Local (10 km) pipeline</t>
  </si>
  <si>
    <t>Freight train USA (diesel)</t>
  </si>
  <si>
    <t>Rail (Electric, MV)</t>
  </si>
  <si>
    <t>IPCC 2007 (Fourth assessment report)</t>
  </si>
  <si>
    <t>Broeikasgas</t>
  </si>
  <si>
    <t xml:space="preserve">kg CO2-equivalent / kg </t>
  </si>
  <si>
    <t>CO2 (fossiel)</t>
  </si>
  <si>
    <t>CO2 (biotisch)</t>
  </si>
  <si>
    <t>CH4 (fossiel)</t>
  </si>
  <si>
    <t>CH4 (biotisch)</t>
  </si>
  <si>
    <t>Methane biogenic</t>
  </si>
  <si>
    <t xml:space="preserve">Methane fossil </t>
  </si>
  <si>
    <t>1,1,1-trichloroethane</t>
  </si>
  <si>
    <t>Carbon dioxide</t>
  </si>
  <si>
    <t>CFC-11</t>
  </si>
  <si>
    <t>CFC-113</t>
  </si>
  <si>
    <t>CFC-114</t>
  </si>
  <si>
    <t>CFC-115</t>
  </si>
  <si>
    <t>CFC-12</t>
  </si>
  <si>
    <t>CFC-13</t>
  </si>
  <si>
    <t>Dichloromethane</t>
  </si>
  <si>
    <t>Dinitrogen oxide</t>
  </si>
  <si>
    <t>HALON-1211</t>
  </si>
  <si>
    <t>HALON-1301</t>
  </si>
  <si>
    <t>HALON-2402</t>
  </si>
  <si>
    <t>HCFC-123</t>
  </si>
  <si>
    <t>HCFC-124</t>
  </si>
  <si>
    <t>HCFC-141b</t>
  </si>
  <si>
    <t>HCFC-142b</t>
  </si>
  <si>
    <t xml:space="preserve">HCFC-22 </t>
  </si>
  <si>
    <t>HCFC-225ca</t>
  </si>
  <si>
    <t>HCFC-225cb</t>
  </si>
  <si>
    <t>HFC-125</t>
  </si>
  <si>
    <t>HFC-134a</t>
  </si>
  <si>
    <t>HFC-143a</t>
  </si>
  <si>
    <t>HFC-152a</t>
  </si>
  <si>
    <t>HFC-227ea</t>
  </si>
  <si>
    <t>HFC-23</t>
  </si>
  <si>
    <t>HFC-236fa</t>
  </si>
  <si>
    <t>HFC-32</t>
  </si>
  <si>
    <t>HFC-43-10mee</t>
  </si>
  <si>
    <t>Methyl Chloride</t>
  </si>
  <si>
    <t>methylbromide</t>
  </si>
  <si>
    <t>Perfluorobutane</t>
  </si>
  <si>
    <t>Perfluorocyclobutane</t>
  </si>
  <si>
    <t>Perfluoroethane</t>
  </si>
  <si>
    <t>Perfluorohexane</t>
  </si>
  <si>
    <t>Perfluoromethane</t>
  </si>
  <si>
    <t>Perfluoropropane</t>
  </si>
  <si>
    <t>Sulphur hexafluoride</t>
  </si>
  <si>
    <t>Tetrachloromethane</t>
  </si>
  <si>
    <t>Teelt van tarwe</t>
  </si>
  <si>
    <t>Stro</t>
  </si>
  <si>
    <t>Wortels</t>
  </si>
  <si>
    <t>N-kunstmest</t>
  </si>
  <si>
    <r>
      <t>P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O</t>
    </r>
    <r>
      <rPr>
        <vertAlign val="subscript"/>
        <sz val="8"/>
        <rFont val="Trebuchet MS"/>
        <family val="2"/>
      </rPr>
      <t>5</t>
    </r>
    <r>
      <rPr>
        <sz val="8"/>
        <rFont val="Trebuchet MS"/>
        <family val="2"/>
      </rPr>
      <t>-kunstmest</t>
    </r>
  </si>
  <si>
    <r>
      <t>K</t>
    </r>
    <r>
      <rPr>
        <vertAlign val="subscript"/>
        <sz val="8"/>
        <rFont val="Trebuchet MS"/>
        <family val="2"/>
      </rPr>
      <t>2</t>
    </r>
    <r>
      <rPr>
        <sz val="8"/>
        <rFont val="Trebuchet MS"/>
        <family val="2"/>
      </rPr>
      <t>O-kunstmest</t>
    </r>
  </si>
  <si>
    <t>pesticiden</t>
  </si>
  <si>
    <t>kg zaden</t>
  </si>
  <si>
    <t>Transport over weg</t>
  </si>
  <si>
    <t>km</t>
  </si>
  <si>
    <t>Transport binnenvaart</t>
  </si>
  <si>
    <t>Ethanol-productie</t>
  </si>
  <si>
    <t>Bostel + gist</t>
  </si>
  <si>
    <t>Stoom uit WKC</t>
  </si>
  <si>
    <t>Aardgas</t>
  </si>
  <si>
    <t>Landbouw</t>
  </si>
  <si>
    <t>Transport</t>
  </si>
  <si>
    <t>Bewerking1</t>
  </si>
  <si>
    <t>Productie</t>
  </si>
  <si>
    <t>Etheen-productie</t>
  </si>
  <si>
    <t>N2O emissie uit bodem-organische stof en gewasrest</t>
  </si>
  <si>
    <t>Directe emissies</t>
  </si>
  <si>
    <t>Vul in deze kolommen uw gegevens in</t>
  </si>
  <si>
    <t xml:space="preserve"> (waarden per kg product van betreffende schakel)</t>
  </si>
  <si>
    <t>Landbouwschakel</t>
  </si>
  <si>
    <t>kg/kg etheen</t>
  </si>
  <si>
    <t>kg etheen</t>
  </si>
  <si>
    <t>slope</t>
  </si>
  <si>
    <t>inter cept</t>
  </si>
  <si>
    <t>Samenstelling eiwitarme tarwe</t>
  </si>
  <si>
    <t>Ethanolproductie (uit a.r. korrels)</t>
  </si>
  <si>
    <t>Droge stof</t>
  </si>
  <si>
    <t>as received'</t>
  </si>
  <si>
    <t>ethanol</t>
  </si>
  <si>
    <t>DG</t>
  </si>
  <si>
    <t>water</t>
  </si>
  <si>
    <t>eiwit</t>
  </si>
  <si>
    <t>vet/olie</t>
  </si>
  <si>
    <t>zetmeel</t>
  </si>
  <si>
    <t>cellulose</t>
  </si>
  <si>
    <t>hemicellulose</t>
  </si>
  <si>
    <t>suikers</t>
  </si>
  <si>
    <t>lignine</t>
  </si>
  <si>
    <t>as</t>
  </si>
  <si>
    <t>Zetmeel naar suikers</t>
  </si>
  <si>
    <t>Suikers naar ethanol</t>
  </si>
  <si>
    <t>Procesboom</t>
  </si>
  <si>
    <t>toegevoegd aan water</t>
  </si>
  <si>
    <t>omgezet aan zetmeel</t>
  </si>
  <si>
    <t>geeft aan suikers</t>
  </si>
  <si>
    <t>totaal suikers</t>
  </si>
  <si>
    <t>-  uit zetmeel</t>
  </si>
  <si>
    <t>-  al in graan</t>
  </si>
  <si>
    <t>geproduceerd</t>
  </si>
  <si>
    <t>-  ethanol</t>
  </si>
  <si>
    <t>-  CO2</t>
  </si>
  <si>
    <t>hiervan gefermenteerd</t>
  </si>
  <si>
    <t>Total conversion rates in commercial ethanol production are generally between 75 and 85% of the theoretical yields.</t>
  </si>
  <si>
    <t>Schatten ethanol behoefte dehydrogenatie</t>
  </si>
  <si>
    <t>Selectivity</t>
  </si>
  <si>
    <t>molmassaverhouding</t>
  </si>
  <si>
    <t>ethanol behoefte</t>
  </si>
  <si>
    <t>Invulbare procesparameters ethanolproductie</t>
  </si>
  <si>
    <t>Schatten ethanol productie per eenheid graan</t>
  </si>
  <si>
    <t>Selectiviteit dehydrogenatie</t>
  </si>
  <si>
    <t>Invulbare procesparameters etheenproductie</t>
  </si>
  <si>
    <t>Invulbare procesparameters graanteelt</t>
  </si>
  <si>
    <t>Opbrengst per hectare</t>
  </si>
  <si>
    <t>ton a.r./ha</t>
  </si>
  <si>
    <t>Deze analyse</t>
  </si>
  <si>
    <t>-  opbrengst verse tarwe</t>
  </si>
  <si>
    <t>ton/ha</t>
  </si>
  <si>
    <t>= % d.s. bovengronds</t>
  </si>
  <si>
    <t>droge stof</t>
  </si>
  <si>
    <t>stro</t>
  </si>
  <si>
    <t>ton/ha, d.s.</t>
  </si>
  <si>
    <t>wortel</t>
  </si>
  <si>
    <t>Schatten gewasresten graanteelt</t>
  </si>
  <si>
    <r>
      <t>R</t>
    </r>
    <r>
      <rPr>
        <vertAlign val="subscript"/>
        <sz val="8"/>
        <color theme="1" tint="0.499984740745262"/>
        <rFont val="Trebuchet MS"/>
        <family val="2"/>
      </rPr>
      <t>BG-BIO(T)</t>
    </r>
  </si>
  <si>
    <t>Massabalans</t>
  </si>
  <si>
    <t>Nutrientengehaltes en opbrengsten per gewasfractie</t>
  </si>
  <si>
    <t>Productfractie</t>
  </si>
  <si>
    <t>Organische stof balans</t>
  </si>
  <si>
    <t>aanvoer verse massa, kg/ha</t>
  </si>
  <si>
    <t>Humificatiecoëfficiënt</t>
  </si>
  <si>
    <t>bodemorganische stof balans</t>
  </si>
  <si>
    <t>C-gehalte</t>
  </si>
  <si>
    <t>koolstof in bodemorganische stof, kg/ha</t>
  </si>
  <si>
    <t>stikstof, kg/ha</t>
  </si>
  <si>
    <t>Aannames N uit bodemorganische stof</t>
  </si>
  <si>
    <t>wortels</t>
  </si>
  <si>
    <t>graan</t>
  </si>
  <si>
    <t>zie: http://www.kennisakker.nl/kenniscentrum/document/30-vragen-en-antwoorden-over-bodemvruchtbaarheid</t>
  </si>
  <si>
    <t>(- = afbraak, + = opbouw)</t>
  </si>
  <si>
    <t>In bodem aanwezig, kg organische stof/ha</t>
  </si>
  <si>
    <t>Afbraak per jaar</t>
  </si>
  <si>
    <t>Gehaltes d.s.</t>
  </si>
  <si>
    <t>-  afgebroken</t>
  </si>
  <si>
    <t xml:space="preserve">N </t>
  </si>
  <si>
    <t>-  toegevoegd</t>
  </si>
  <si>
    <t>gehalte C</t>
  </si>
  <si>
    <t>P2O5</t>
  </si>
  <si>
    <t>a)  stro</t>
  </si>
  <si>
    <t>C ÷ N - verhouding</t>
  </si>
  <si>
    <t>K2O</t>
  </si>
  <si>
    <t>b)  wortel</t>
  </si>
  <si>
    <t>Standard C ÷ N ratio</t>
  </si>
  <si>
    <t>Zie IPCC</t>
  </si>
  <si>
    <t>opbrengst, ton d.s./ha</t>
  </si>
  <si>
    <t>N vrijkomend</t>
  </si>
  <si>
    <t>Hoeveelheid nutriënten, kg/ha</t>
  </si>
  <si>
    <t>Afgevoerd of vastgelegd(+), aangevoerd of vrijkomend(-)</t>
  </si>
  <si>
    <t>werkings-coefficient</t>
  </si>
  <si>
    <t>benodigde gift</t>
  </si>
  <si>
    <t>Stikstofbalans in bodem, kg/ha</t>
  </si>
  <si>
    <t>Balans in bodem</t>
  </si>
  <si>
    <t>Lot:</t>
  </si>
  <si>
    <t>blijft achter</t>
  </si>
  <si>
    <t>-  bijgift gewasrest</t>
  </si>
  <si>
    <t>-  uit afbraak bodemorganische stof</t>
  </si>
  <si>
    <t xml:space="preserve">netto over, geen compensatie voor nodig </t>
  </si>
  <si>
    <t>nodig voor achtergelaten gewasresten</t>
  </si>
  <si>
    <t>te compenseren met (kunst)mest</t>
  </si>
  <si>
    <t>Behoefte aan kunstmest, kg/ha</t>
  </si>
  <si>
    <t>Nutrientenbehoefte. Kg/ha</t>
  </si>
  <si>
    <t>kunstmest-gift</t>
  </si>
  <si>
    <t>afgevoerd</t>
  </si>
  <si>
    <t>bodembalans</t>
  </si>
  <si>
    <t>som</t>
  </si>
  <si>
    <t>hoeveelheid toegevoerd</t>
  </si>
  <si>
    <t>emissiefactor</t>
  </si>
  <si>
    <t>emissie</t>
  </si>
  <si>
    <t>Benodigde gift</t>
  </si>
  <si>
    <t>kg/ha</t>
  </si>
  <si>
    <t>kg/kg tarwe</t>
  </si>
  <si>
    <t>kg N2O/kg etheen</t>
  </si>
  <si>
    <t>kg CO2-eq/kg etheen</t>
  </si>
  <si>
    <t>kg/ton graan</t>
  </si>
  <si>
    <t>N uit kunstmest</t>
  </si>
  <si>
    <t>N uit bodembalans</t>
  </si>
  <si>
    <t>CO2-emissie</t>
  </si>
  <si>
    <t>Per hectare, ton product</t>
  </si>
  <si>
    <t>graan, n.s.</t>
  </si>
  <si>
    <t>etheen</t>
  </si>
  <si>
    <t>Stikstofefficientie, zie bijvoorbeeld</t>
  </si>
  <si>
    <t xml:space="preserve">http://themasites.pbl.nl/balansvandeleefomgeving/2012/integraal-stikstof/trend-stikstofefficientie-van-de-landbouwsector-nederland-versus-eu </t>
  </si>
  <si>
    <t>http://www.cbs.nl/NR/rdonlyres/66F168B9-7628-4FDE-AD09-20BA7CF31364/0/2012benuttingstikstoffosforlandbouwart.pdf.</t>
  </si>
  <si>
    <t>afgevoer, te compenseren</t>
  </si>
  <si>
    <t>Nutriëntenbalans</t>
  </si>
  <si>
    <t>Actergrondinformatie</t>
  </si>
  <si>
    <t>Keuzes</t>
  </si>
  <si>
    <t>Nitrogen intricacies</t>
  </si>
  <si>
    <t>Droog klimaat, geen irrigatie</t>
  </si>
  <si>
    <t xml:space="preserve">Fertilizer  </t>
  </si>
  <si>
    <t>kunstmest</t>
  </si>
  <si>
    <t xml:space="preserve"> gewasresten, afgebroken bodemorganische stof, compost, groenbemester, overige dierlijke mest</t>
  </si>
  <si>
    <t>Dierlijke mest van rundvee, varkens en kippen</t>
  </si>
  <si>
    <t>efficiency</t>
  </si>
  <si>
    <t>stikstofbalans</t>
  </si>
  <si>
    <t>N2O-emissie</t>
  </si>
  <si>
    <t>-  N2O direct</t>
  </si>
  <si>
    <t>direct</t>
  </si>
  <si>
    <t>-  NH3 evap</t>
  </si>
  <si>
    <t>NH3, verdampt</t>
  </si>
  <si>
    <t>indirect</t>
  </si>
  <si>
    <t>-  NO3 leach</t>
  </si>
  <si>
    <t>NO3, uitgespoeld</t>
  </si>
  <si>
    <t>net efficiency</t>
  </si>
  <si>
    <t>voor gewas beschikbaar</t>
  </si>
  <si>
    <t>Manure and other green fert efficiency</t>
  </si>
  <si>
    <t>Nat klimaat of irrigatie</t>
  </si>
  <si>
    <t>Is klimaat nat?</t>
  </si>
  <si>
    <t>ja</t>
  </si>
  <si>
    <t>nee</t>
  </si>
  <si>
    <t>Droge stof gehalte graan</t>
  </si>
  <si>
    <t>Sulphuric acid (H2SO4)</t>
  </si>
  <si>
    <t>Ethanolproductie</t>
  </si>
  <si>
    <t>Etheenproductie</t>
  </si>
  <si>
    <t>Waarde graanconcentraat</t>
  </si>
  <si>
    <t>Waarde ethanol</t>
  </si>
  <si>
    <t>Invulbare kostprijzen ethanolproductie</t>
  </si>
  <si>
    <t>Invulbare kost[prijzen graanteelt</t>
  </si>
  <si>
    <t>Stro = bijproduct?</t>
  </si>
  <si>
    <t>economische allocatiefactor</t>
  </si>
  <si>
    <t>energetische allocatiefactor</t>
  </si>
  <si>
    <t>kg CO2/kg etheen</t>
  </si>
  <si>
    <t>d.s. gehalte</t>
  </si>
  <si>
    <t>LHV d.s.</t>
  </si>
  <si>
    <t>hoofdproduct</t>
  </si>
  <si>
    <t>bijproduct</t>
  </si>
  <si>
    <t>kg d.s./kg etheen</t>
  </si>
  <si>
    <t>kg n.s./kg etheen</t>
  </si>
  <si>
    <t>economische</t>
  </si>
  <si>
    <t>allocatie</t>
  </si>
  <si>
    <t>energetische</t>
  </si>
  <si>
    <t>geen</t>
  </si>
  <si>
    <t>Allocatie en resultaat</t>
  </si>
  <si>
    <t>Resultaat</t>
  </si>
  <si>
    <t>kg CO2 equivalent / kg methanol</t>
  </si>
  <si>
    <t>Hoeveel-</t>
  </si>
  <si>
    <t>Afstand</t>
  </si>
  <si>
    <t xml:space="preserve">g CO2-eq / kg </t>
  </si>
  <si>
    <t>heid (kg)</t>
  </si>
  <si>
    <t>(km)</t>
  </si>
  <si>
    <t>eindproduct</t>
  </si>
  <si>
    <t>X</t>
  </si>
  <si>
    <t>Karakterisatiefactoren</t>
  </si>
  <si>
    <t>Waarde graan, € per kg</t>
  </si>
  <si>
    <t>Waarde stro, € per kg</t>
  </si>
  <si>
    <t>allocatiefactor</t>
  </si>
  <si>
    <t>kg CO2/</t>
  </si>
  <si>
    <t>deze</t>
  </si>
  <si>
    <t>overall</t>
  </si>
  <si>
    <t>kg tussen</t>
  </si>
  <si>
    <t>schakel</t>
  </si>
  <si>
    <t>product</t>
  </si>
  <si>
    <t>K2O-fertiliser (kg K2O)</t>
  </si>
  <si>
    <t>P2O5-fertiliser (kg P2O5)</t>
  </si>
  <si>
    <t>tussenproduct</t>
  </si>
  <si>
    <t>Massa factor kg / kg etheen</t>
  </si>
  <si>
    <t>Transport met binnenvaart</t>
  </si>
  <si>
    <r>
      <t>CO</t>
    </r>
    <r>
      <rPr>
        <b/>
        <vertAlign val="subscript"/>
        <sz val="10"/>
        <color indexed="9"/>
        <rFont val="Trebuchet MS"/>
        <family val="2"/>
      </rPr>
      <t>2</t>
    </r>
    <r>
      <rPr>
        <b/>
        <sz val="10"/>
        <color indexed="9"/>
        <rFont val="Trebuchet MS"/>
        <family val="2"/>
      </rPr>
      <t xml:space="preserve"> waarde </t>
    </r>
  </si>
  <si>
    <r>
      <t>kg CO</t>
    </r>
    <r>
      <rPr>
        <b/>
        <vertAlign val="subscript"/>
        <sz val="10"/>
        <color indexed="9"/>
        <rFont val="Trebuchet MS"/>
        <family val="2"/>
      </rPr>
      <t>2</t>
    </r>
    <r>
      <rPr>
        <b/>
        <sz val="10"/>
        <color indexed="9"/>
        <rFont val="Trebuchet MS"/>
        <family val="2"/>
      </rPr>
      <t>-eq / kg etheen</t>
    </r>
  </si>
  <si>
    <r>
      <t>CO</t>
    </r>
    <r>
      <rPr>
        <b/>
        <vertAlign val="subscript"/>
        <sz val="10"/>
        <rFont val="Trebuchet MS"/>
        <family val="2"/>
      </rPr>
      <t>2</t>
    </r>
    <r>
      <rPr>
        <b/>
        <sz val="10"/>
        <rFont val="Trebuchet MS"/>
        <family val="2"/>
      </rPr>
      <t xml:space="preserve"> waarde (cumulatief) kg CO</t>
    </r>
    <r>
      <rPr>
        <b/>
        <vertAlign val="subscript"/>
        <sz val="10"/>
        <rFont val="Trebuchet MS"/>
        <family val="2"/>
      </rPr>
      <t>2</t>
    </r>
    <r>
      <rPr>
        <b/>
        <sz val="10"/>
        <rFont val="Trebuchet MS"/>
        <family val="2"/>
      </rPr>
      <t>-eq / kg etheen</t>
    </r>
  </si>
  <si>
    <t>Toelichting</t>
  </si>
  <si>
    <t xml:space="preserve">Deze spreadsheet geeft een voorbeeld voor de berekening van de CO2-waarde van etheen geproduceerd op basis van wintertarwe. </t>
  </si>
  <si>
    <t>De structuur van de spreadsheet volgt de beschrijving in de handleiding CO2-waarde methodiek:</t>
  </si>
  <si>
    <t xml:space="preserve">teelt van wintertarwe. </t>
  </si>
  <si>
    <r>
      <t xml:space="preserve">U kunt de in </t>
    </r>
    <r>
      <rPr>
        <b/>
        <sz val="10"/>
        <color rgb="FFFF0000"/>
        <rFont val="Arial"/>
        <family val="2"/>
      </rPr>
      <t>vet en rood</t>
    </r>
    <r>
      <rPr>
        <sz val="10"/>
        <rFont val="Arial"/>
        <family val="2"/>
      </rPr>
      <t xml:space="preserve"> opgemaakte cellen in kolom E variëren</t>
    </r>
  </si>
  <si>
    <t>afgevoerd, te compenseren</t>
  </si>
  <si>
    <r>
      <rPr>
        <sz val="8"/>
        <color theme="1" tint="0.499984740745262"/>
        <rFont val="Trebuchet MS"/>
        <family val="2"/>
      </rPr>
      <t>U kunt volstaan met het invullen van de cellen met de cellen in kolom E met de in</t>
    </r>
    <r>
      <rPr>
        <sz val="8"/>
        <rFont val="Trebuchet MS"/>
        <family val="2"/>
      </rPr>
      <t xml:space="preserve"> </t>
    </r>
    <r>
      <rPr>
        <b/>
        <sz val="8"/>
        <color rgb="FFFF0000"/>
        <rFont val="Trebuchet MS"/>
        <family val="2"/>
      </rPr>
      <t>vet en rood</t>
    </r>
    <r>
      <rPr>
        <sz val="8"/>
        <color theme="1" tint="0.499984740745262"/>
        <rFont val="Trebuchet MS"/>
        <family val="2"/>
      </rPr>
      <t xml:space="preserve"> opgemaakte cijfers.</t>
    </r>
  </si>
  <si>
    <t>Voor het gemak zijn zaken als massabalansen over chemische reacties, samenhang tussen samenstelling van het graan en de hoeveelheid suikers die per eenheid graan kan worden vrijgemaakt alvast opgenomen.</t>
  </si>
  <si>
    <t>nat klimaat: meer neerslag dan verdamping, gedeeltelijke uitspoeling van stikstof als nitraat</t>
  </si>
  <si>
    <t>Selecteer hier de gebruikte transportmiddelen</t>
  </si>
  <si>
    <t>vul hier de afgelegde afstand in</t>
  </si>
  <si>
    <t xml:space="preserve">U kunt in dit werkblad opgeven welke andere hulpstoffen en energiedragers worden gebruikt </t>
  </si>
  <si>
    <t>en hoe groot het verbruik is.</t>
  </si>
  <si>
    <t xml:space="preserve">Door de keuze bepaalt u de indirecte emissies gerelateerd aan de productie van kunstmest. </t>
  </si>
  <si>
    <t>nutrientenbalans'.</t>
  </si>
  <si>
    <t xml:space="preserve">De benodigde hoeveelheden kunt u niet variëren, die worden berekend in werkblad </t>
  </si>
  <si>
    <t xml:space="preserve">-  In het werkblad 'landbouw' kan worden opgegeven welke typen kunstmest worden toegepast. </t>
  </si>
  <si>
    <t xml:space="preserve">-  In het werkblad 'nutriëntenbalans' bepaalt u vervolgens de balans van nutrienten over de </t>
  </si>
  <si>
    <t>-  U bepaalt eerst in het werkblad 'massabalans' de massabalans over de keten</t>
  </si>
  <si>
    <t xml:space="preserve">-  Vervolgens kunt u in de werkbladen 'bewerking 1', 'productie' en 'transport' afstanden, gebruik </t>
  </si>
  <si>
    <r>
      <t xml:space="preserve">van energie en gebruik van hulpstoffen varieren, zie weer de cellen met tekstopmaak </t>
    </r>
    <r>
      <rPr>
        <b/>
        <sz val="10"/>
        <color rgb="FFFF0000"/>
        <rFont val="Trebuchet MS"/>
        <family val="2"/>
      </rPr>
      <t>rood en vet</t>
    </r>
    <r>
      <rPr>
        <sz val="10"/>
        <rFont val="Trebuchet MS"/>
        <family val="2"/>
      </rPr>
      <t>.</t>
    </r>
  </si>
  <si>
    <t>-  In werkblad 'allocatie en resultaat' kunt u tenslotte de prijzen van hoofdproducten en bij-</t>
  </si>
  <si>
    <t>producten opgeven en aangeven of stro wat u betreft een bijproduct of restproduct is.</t>
  </si>
  <si>
    <r>
      <t xml:space="preserve">In dit werkblad kunt u ook weer de in </t>
    </r>
    <r>
      <rPr>
        <b/>
        <sz val="8"/>
        <color rgb="FFFF0000"/>
        <rFont val="Trebuchet MS"/>
        <family val="2"/>
      </rPr>
      <t>rood en vet</t>
    </r>
    <r>
      <rPr>
        <sz val="8"/>
        <color theme="1" tint="0.499984740745262"/>
        <rFont val="Trebuchet MS"/>
        <family val="2"/>
      </rPr>
      <t xml:space="preserve"> opgemaakte cellen varieren. Varaiable zijn de nutrientengehaltes van hoofdproduct, gewasresten en bijproducten, soort klimaat (nat/droog) en de bestemming van het bijproduct stro.</t>
    </r>
  </si>
  <si>
    <t xml:space="preserve">De voor energetische allocatie benodigde stookwaarde van hoofdproducten en bijproducten </t>
  </si>
  <si>
    <t>zijn als vaste waarde opgenomen.</t>
  </si>
  <si>
    <t>Zoals aangegeven in de handleiding: stro is een restproduct volgens de Renewable Energy Directive</t>
  </si>
  <si>
    <t>De gehanteerde ketenstructuur of procesboom is al ingevoerd, zie ook hiernaast</t>
  </si>
  <si>
    <t>energetisch</t>
  </si>
  <si>
    <r>
      <t>Ongealloceerde emissie kg CO</t>
    </r>
    <r>
      <rPr>
        <b/>
        <vertAlign val="subscript"/>
        <sz val="10"/>
        <rFont val="Trebuchet MS"/>
        <family val="2"/>
      </rPr>
      <t>2</t>
    </r>
    <r>
      <rPr>
        <b/>
        <sz val="10"/>
        <rFont val="Trebuchet MS"/>
        <family val="2"/>
      </rPr>
      <t>-eq / kg etheen</t>
    </r>
  </si>
  <si>
    <t xml:space="preserve"> voorbeeld grondstofketen voor de berekening van de CO2-waarde van etheen geproduceerd op basis van wintertarwe</t>
  </si>
  <si>
    <t>RVO, CO2-waarde methodiek</t>
  </si>
  <si>
    <r>
      <t>Voorbeeld grondstofketen voor de berekening van de CO</t>
    </r>
    <r>
      <rPr>
        <b/>
        <vertAlign val="subscript"/>
        <sz val="12"/>
        <rFont val="Arial"/>
        <family val="2"/>
      </rPr>
      <t>2</t>
    </r>
    <r>
      <rPr>
        <b/>
        <sz val="12"/>
        <rFont val="Arial"/>
        <family val="2"/>
      </rPr>
      <t>-waarde van etheen geproduceerd op basis van wintertarwe</t>
    </r>
  </si>
  <si>
    <t>Standaardwaarde</t>
  </si>
  <si>
    <t>Biograce I / RED</t>
  </si>
  <si>
    <t>kg CO2-eq/ton tarwe</t>
  </si>
  <si>
    <t>Biograce I / RED standaardwaarde?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</si>
</sst>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 &quot;€&quot;\ * #,##0.00_ ;_ &quot;€&quot;\ * \-#,##0.00_ ;_ &quot;€&quot;\ * &quot;-&quot;??_ ;_ @_ "/>
    <numFmt numFmtId="164" formatCode="0.000"/>
    <numFmt numFmtId="165" formatCode="0.0000"/>
    <numFmt numFmtId="166" formatCode="0.0"/>
    <numFmt numFmtId="167" formatCode="0.00000"/>
    <numFmt numFmtId="168" formatCode="0.0%"/>
    <numFmt numFmtId="169" formatCode="0.0000E+00"/>
    <numFmt numFmtId="170" formatCode="#,##0.0"/>
  </numFmts>
  <fonts count="70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color indexed="12"/>
      <name val="Arial"/>
      <family val="2"/>
    </font>
    <font>
      <vertAlign val="subscript"/>
      <sz val="10"/>
      <name val="Arial"/>
      <family val="2"/>
    </font>
    <font>
      <vertAlign val="subscript"/>
      <sz val="8"/>
      <name val="Arial"/>
      <family val="2"/>
    </font>
    <font>
      <sz val="8"/>
      <name val="Arial"/>
      <family val="2"/>
    </font>
    <font>
      <vertAlign val="subscript"/>
      <sz val="8"/>
      <name val="Trebuchet MS"/>
      <family val="2"/>
    </font>
    <font>
      <sz val="8"/>
      <name val="Trebuchet MS"/>
      <family val="2"/>
    </font>
    <font>
      <vertAlign val="superscript"/>
      <sz val="8"/>
      <color indexed="8"/>
      <name val="Trebuchet MS"/>
      <family val="2"/>
    </font>
    <font>
      <vertAlign val="superscript"/>
      <sz val="8"/>
      <name val="Trebuchet MS"/>
      <family val="2"/>
    </font>
    <font>
      <sz val="10"/>
      <name val="Arial"/>
      <family val="2"/>
    </font>
    <font>
      <sz val="8"/>
      <color theme="1"/>
      <name val="Trebuchet MS"/>
      <family val="2"/>
    </font>
    <font>
      <b/>
      <sz val="8"/>
      <name val="Trebuchet MS"/>
      <family val="2"/>
    </font>
    <font>
      <sz val="10"/>
      <color theme="1"/>
      <name val="Trebuchet MS"/>
      <family val="2"/>
    </font>
    <font>
      <b/>
      <sz val="10"/>
      <color theme="0"/>
      <name val="Arial"/>
      <family val="2"/>
    </font>
    <font>
      <u/>
      <sz val="10"/>
      <color theme="10"/>
      <name val="Arial"/>
      <family val="2"/>
    </font>
    <font>
      <sz val="8"/>
      <color theme="0" tint="-0.499984740745262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10"/>
      <color rgb="FF0070C0"/>
      <name val="Arial"/>
      <family val="2"/>
    </font>
    <font>
      <b/>
      <sz val="10"/>
      <color theme="1"/>
      <name val="Trebuchet MS"/>
      <family val="2"/>
    </font>
    <font>
      <b/>
      <sz val="14"/>
      <name val="Arial"/>
      <family val="2"/>
    </font>
    <font>
      <b/>
      <sz val="8"/>
      <color theme="1"/>
      <name val="Trebuchet MS"/>
      <family val="2"/>
    </font>
    <font>
      <b/>
      <sz val="8"/>
      <color theme="1" tint="0.34998626667073579"/>
      <name val="Trebuchet MS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 tint="0.499984740745262"/>
      <name val="Arial"/>
      <family val="2"/>
    </font>
    <font>
      <sz val="8"/>
      <color theme="1" tint="0.499984740745262"/>
      <name val="Trebuchet MS"/>
      <family val="2"/>
    </font>
    <font>
      <b/>
      <i/>
      <sz val="8"/>
      <color theme="1" tint="0.499984740745262"/>
      <name val="Trebuchet MS"/>
      <family val="2"/>
    </font>
    <font>
      <vertAlign val="subscript"/>
      <sz val="8"/>
      <color theme="1" tint="0.499984740745262"/>
      <name val="Trebuchet MS"/>
      <family val="2"/>
    </font>
    <font>
      <i/>
      <sz val="8"/>
      <color theme="1" tint="0.499984740745262"/>
      <name val="Trebuchet MS"/>
      <family val="2"/>
    </font>
    <font>
      <sz val="8"/>
      <color theme="0" tint="-0.499984740745262"/>
      <name val="Trebuchet MS"/>
      <family val="2"/>
    </font>
    <font>
      <sz val="11"/>
      <color theme="0" tint="-0.499984740745262"/>
      <name val="Calibri"/>
      <family val="2"/>
      <scheme val="minor"/>
    </font>
    <font>
      <i/>
      <sz val="8"/>
      <color theme="0" tint="-0.499984740745262"/>
      <name val="Trebuchet MS"/>
      <family val="2"/>
    </font>
    <font>
      <u/>
      <sz val="8"/>
      <color theme="10"/>
      <name val="Trebuchet MS"/>
      <family val="2"/>
    </font>
    <font>
      <sz val="8"/>
      <color theme="1" tint="0.499984740745262"/>
      <name val="Arial"/>
      <family val="2"/>
    </font>
    <font>
      <b/>
      <sz val="8"/>
      <color rgb="FFFF0000"/>
      <name val="Trebuchet MS"/>
      <family val="2"/>
    </font>
    <font>
      <b/>
      <sz val="14"/>
      <color theme="2" tint="-0.499984740745262"/>
      <name val="Arial"/>
      <family val="2"/>
    </font>
    <font>
      <b/>
      <sz val="10"/>
      <color rgb="FF0070C0"/>
      <name val="Trebuchet MS"/>
      <family val="2"/>
    </font>
    <font>
      <sz val="8"/>
      <color indexed="22"/>
      <name val="Trebuchet MS"/>
      <family val="2"/>
    </font>
    <font>
      <i/>
      <sz val="8"/>
      <name val="Trebuchet MS"/>
      <family val="2"/>
    </font>
    <font>
      <sz val="11"/>
      <color rgb="FF0070C0"/>
      <name val="Trebuchet MS"/>
      <family val="2"/>
    </font>
    <font>
      <b/>
      <sz val="11"/>
      <color rgb="FF0070C0"/>
      <name val="Trebuchet MS"/>
      <family val="2"/>
    </font>
    <font>
      <sz val="10"/>
      <color theme="2" tint="-0.499984740745262"/>
      <name val="Arial"/>
      <family val="2"/>
    </font>
    <font>
      <b/>
      <sz val="10"/>
      <color rgb="FFFF0000"/>
      <name val="Arial"/>
      <family val="2"/>
    </font>
    <font>
      <sz val="10"/>
      <color theme="2" tint="-0.749992370372631"/>
      <name val="Arial"/>
      <family val="2"/>
    </font>
    <font>
      <i/>
      <sz val="10"/>
      <color theme="2" tint="-0.499984740745262"/>
      <name val="Arial"/>
      <family val="2"/>
    </font>
    <font>
      <sz val="8"/>
      <color theme="2" tint="-0.499984740745262"/>
      <name val="Trebuchet MS"/>
      <family val="2"/>
    </font>
    <font>
      <i/>
      <sz val="10"/>
      <color theme="0" tint="-0.499984740745262"/>
      <name val="Arial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sz val="10"/>
      <color indexed="9"/>
      <name val="Trebuchet MS"/>
      <family val="2"/>
    </font>
    <font>
      <b/>
      <vertAlign val="subscript"/>
      <sz val="10"/>
      <color indexed="9"/>
      <name val="Trebuchet MS"/>
      <family val="2"/>
    </font>
    <font>
      <b/>
      <vertAlign val="subscript"/>
      <sz val="10"/>
      <name val="Trebuchet MS"/>
      <family val="2"/>
    </font>
    <font>
      <b/>
      <sz val="12"/>
      <name val="Trebuchet MS"/>
      <family val="2"/>
    </font>
    <font>
      <b/>
      <sz val="12"/>
      <color rgb="FF002060"/>
      <name val="Trebuchet MS"/>
      <family val="2"/>
    </font>
    <font>
      <b/>
      <sz val="10"/>
      <color rgb="FF002060"/>
      <name val="Arial"/>
      <family val="2"/>
    </font>
    <font>
      <b/>
      <sz val="11"/>
      <color rgb="FFFF0000"/>
      <name val="Trebuchet MS"/>
      <family val="2"/>
    </font>
    <font>
      <b/>
      <sz val="10"/>
      <color rgb="FFFF0000"/>
      <name val="Trebuchet MS"/>
      <family val="2"/>
    </font>
    <font>
      <b/>
      <sz val="20"/>
      <name val="Arial"/>
      <family val="2"/>
    </font>
    <font>
      <b/>
      <sz val="12"/>
      <name val="Arial"/>
      <family val="2"/>
    </font>
    <font>
      <b/>
      <vertAlign val="subscript"/>
      <sz val="12"/>
      <name val="Arial"/>
      <family val="2"/>
    </font>
    <font>
      <b/>
      <sz val="11"/>
      <name val="Arial"/>
      <family val="2"/>
    </font>
    <font>
      <b/>
      <sz val="14"/>
      <color rgb="FFFF0000"/>
      <name val="Arial"/>
      <family val="2"/>
    </font>
    <font>
      <sz val="10"/>
      <color theme="0" tint="-0.49998474074526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23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52"/>
        <bgColor indexed="53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47710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23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B9E4FF"/>
        <bgColor indexed="64"/>
      </patternFill>
    </fill>
    <fill>
      <patternFill patternType="solid">
        <fgColor rgb="FFE1F4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666666"/>
        <bgColor indexed="23"/>
      </patternFill>
    </fill>
    <fill>
      <patternFill patternType="solid">
        <fgColor rgb="FF666666"/>
        <bgColor indexed="64"/>
      </patternFill>
    </fill>
    <fill>
      <patternFill patternType="solid">
        <fgColor theme="0" tint="-4.9989318521683403E-2"/>
        <bgColor indexed="23"/>
      </patternFill>
    </fill>
    <fill>
      <patternFill patternType="solid">
        <fgColor theme="0"/>
        <bgColor indexed="2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2"/>
      </top>
      <bottom style="medium">
        <color indexed="64"/>
      </bottom>
      <diagonal/>
    </border>
    <border>
      <left/>
      <right/>
      <top style="thin">
        <color indexed="62"/>
      </top>
      <bottom style="medium">
        <color indexed="64"/>
      </bottom>
      <diagonal/>
    </border>
    <border>
      <left/>
      <right style="thin">
        <color indexed="64"/>
      </right>
      <top style="thin">
        <color indexed="62"/>
      </top>
      <bottom style="medium">
        <color indexed="64"/>
      </bottom>
      <diagonal/>
    </border>
    <border>
      <left/>
      <right style="thin">
        <color rgb="FF009EE0"/>
      </right>
      <top/>
      <bottom/>
      <diagonal/>
    </border>
    <border>
      <left style="thin">
        <color rgb="FF009EE0"/>
      </left>
      <right/>
      <top style="thin">
        <color rgb="FF009EE0"/>
      </top>
      <bottom/>
      <diagonal/>
    </border>
    <border>
      <left/>
      <right/>
      <top style="thin">
        <color rgb="FF009EE0"/>
      </top>
      <bottom/>
      <diagonal/>
    </border>
    <border>
      <left/>
      <right style="thin">
        <color rgb="FF009EE0"/>
      </right>
      <top style="thin">
        <color rgb="FF009EE0"/>
      </top>
      <bottom/>
      <diagonal/>
    </border>
    <border>
      <left style="thin">
        <color rgb="FF009EE0"/>
      </left>
      <right/>
      <top/>
      <bottom/>
      <diagonal/>
    </border>
    <border>
      <left style="thin">
        <color rgb="FF009EE0"/>
      </left>
      <right/>
      <top/>
      <bottom style="thin">
        <color rgb="FF009EE0"/>
      </bottom>
      <diagonal/>
    </border>
    <border>
      <left/>
      <right/>
      <top/>
      <bottom style="thin">
        <color rgb="FF009EE0"/>
      </bottom>
      <diagonal/>
    </border>
    <border>
      <left/>
      <right style="thin">
        <color rgb="FF009EE0"/>
      </right>
      <top/>
      <bottom style="thin">
        <color rgb="FF009EE0"/>
      </bottom>
      <diagonal/>
    </border>
    <border>
      <left style="thin">
        <color rgb="FF009EE0"/>
      </left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thin">
        <color rgb="FF009EE0"/>
      </left>
      <right style="thin">
        <color rgb="FF009EE0"/>
      </right>
      <top style="thin">
        <color rgb="FF009EE0"/>
      </top>
      <bottom/>
      <diagonal/>
    </border>
    <border>
      <left style="thin">
        <color rgb="FF009EE0"/>
      </left>
      <right style="thin">
        <color rgb="FF009EE0"/>
      </right>
      <top/>
      <bottom style="thin">
        <color rgb="FF009EE0"/>
      </bottom>
      <diagonal/>
    </border>
    <border>
      <left style="thin">
        <color rgb="FF009EE0"/>
      </left>
      <right/>
      <top style="thin">
        <color rgb="FF009EE0"/>
      </top>
      <bottom style="thin">
        <color rgb="FF009EE0"/>
      </bottom>
      <diagonal/>
    </border>
    <border>
      <left/>
      <right/>
      <top style="thin">
        <color rgb="FF009EE0"/>
      </top>
      <bottom style="thin">
        <color rgb="FF009EE0"/>
      </bottom>
      <diagonal/>
    </border>
    <border>
      <left/>
      <right style="thin">
        <color rgb="FF009EE0"/>
      </right>
      <top style="thin">
        <color rgb="FF009EE0"/>
      </top>
      <bottom style="thin">
        <color rgb="FF009EE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0" fontId="16" fillId="0" borderId="0" applyNumberFormat="0" applyFill="0" applyBorder="0" applyAlignment="0" applyProtection="0"/>
    <xf numFmtId="9" fontId="11" fillId="0" borderId="0" applyFont="0" applyFill="0" applyBorder="0" applyAlignment="0" applyProtection="0"/>
    <xf numFmtId="0" fontId="26" fillId="0" borderId="0"/>
    <xf numFmtId="9" fontId="26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521">
    <xf numFmtId="0" fontId="0" fillId="0" borderId="0" xfId="0"/>
    <xf numFmtId="0" fontId="0" fillId="2" borderId="0" xfId="0" applyFill="1"/>
    <xf numFmtId="0" fontId="1" fillId="0" borderId="0" xfId="0" applyFont="1"/>
    <xf numFmtId="2" fontId="0" fillId="0" borderId="0" xfId="0" applyNumberFormat="1"/>
    <xf numFmtId="164" fontId="0" fillId="0" borderId="0" xfId="0" applyNumberFormat="1"/>
    <xf numFmtId="0" fontId="2" fillId="2" borderId="0" xfId="0" applyFont="1" applyFill="1"/>
    <xf numFmtId="0" fontId="3" fillId="0" borderId="0" xfId="0" applyFont="1"/>
    <xf numFmtId="0" fontId="1" fillId="2" borderId="0" xfId="0" applyFont="1" applyFill="1"/>
    <xf numFmtId="0" fontId="0" fillId="0" borderId="0" xfId="0" applyFill="1"/>
    <xf numFmtId="0" fontId="0" fillId="0" borderId="0" xfId="0" applyFont="1"/>
    <xf numFmtId="0" fontId="0" fillId="4" borderId="1" xfId="0" applyFill="1" applyBorder="1"/>
    <xf numFmtId="0" fontId="1" fillId="5" borderId="1" xfId="0" applyFont="1" applyFill="1" applyBorder="1"/>
    <xf numFmtId="0" fontId="1" fillId="4" borderId="1" xfId="0" applyFont="1" applyFill="1" applyBorder="1"/>
    <xf numFmtId="0" fontId="1" fillId="6" borderId="1" xfId="0" applyFont="1" applyFill="1" applyBorder="1"/>
    <xf numFmtId="164" fontId="0" fillId="6" borderId="1" xfId="0" applyNumberFormat="1" applyFill="1" applyBorder="1"/>
    <xf numFmtId="0" fontId="0" fillId="6" borderId="1" xfId="0" applyFill="1" applyBorder="1"/>
    <xf numFmtId="165" fontId="0" fillId="5" borderId="1" xfId="0" applyNumberFormat="1" applyFill="1" applyBorder="1"/>
    <xf numFmtId="2" fontId="0" fillId="5" borderId="1" xfId="0" applyNumberFormat="1" applyFill="1" applyBorder="1"/>
    <xf numFmtId="164" fontId="0" fillId="4" borderId="1" xfId="0" applyNumberFormat="1" applyFill="1" applyBorder="1"/>
    <xf numFmtId="167" fontId="0" fillId="6" borderId="1" xfId="0" applyNumberFormat="1" applyFill="1" applyBorder="1"/>
    <xf numFmtId="0" fontId="0" fillId="5" borderId="1" xfId="0" applyFill="1" applyBorder="1"/>
    <xf numFmtId="0" fontId="0" fillId="4" borderId="1" xfId="0" applyFont="1" applyFill="1" applyBorder="1"/>
    <xf numFmtId="0" fontId="0" fillId="5" borderId="1" xfId="0" applyFont="1" applyFill="1" applyBorder="1"/>
    <xf numFmtId="0" fontId="0" fillId="7" borderId="0" xfId="0" applyFont="1" applyFill="1"/>
    <xf numFmtId="49" fontId="0" fillId="0" borderId="0" xfId="0" applyNumberFormat="1" applyFont="1"/>
    <xf numFmtId="0" fontId="12" fillId="8" borderId="7" xfId="0" applyFont="1" applyFill="1" applyBorder="1"/>
    <xf numFmtId="0" fontId="12" fillId="8" borderId="3" xfId="0" applyFont="1" applyFill="1" applyBorder="1"/>
    <xf numFmtId="0" fontId="12" fillId="8" borderId="8" xfId="0" applyFont="1" applyFill="1" applyBorder="1"/>
    <xf numFmtId="0" fontId="12" fillId="8" borderId="9" xfId="0" applyFont="1" applyFill="1" applyBorder="1"/>
    <xf numFmtId="0" fontId="12" fillId="8" borderId="0" xfId="0" applyFont="1" applyFill="1" applyBorder="1"/>
    <xf numFmtId="0" fontId="12" fillId="8" borderId="10" xfId="0" applyFont="1" applyFill="1" applyBorder="1"/>
    <xf numFmtId="0" fontId="12" fillId="8" borderId="0" xfId="0" applyFont="1" applyFill="1" applyBorder="1" applyAlignment="1">
      <alignment horizontal="center" vertical="center"/>
    </xf>
    <xf numFmtId="0" fontId="12" fillId="8" borderId="11" xfId="0" applyFont="1" applyFill="1" applyBorder="1"/>
    <xf numFmtId="0" fontId="12" fillId="8" borderId="12" xfId="0" applyFont="1" applyFill="1" applyBorder="1"/>
    <xf numFmtId="0" fontId="12" fillId="8" borderId="13" xfId="0" applyFont="1" applyFill="1" applyBorder="1"/>
    <xf numFmtId="0" fontId="12" fillId="8" borderId="0" xfId="0" applyFont="1" applyFill="1" applyBorder="1" applyAlignment="1">
      <alignment vertical="center"/>
    </xf>
    <xf numFmtId="0" fontId="1" fillId="0" borderId="0" xfId="0" applyFont="1" applyBorder="1" applyAlignment="1">
      <alignment horizontal="center"/>
    </xf>
    <xf numFmtId="0" fontId="15" fillId="2" borderId="0" xfId="0" applyFont="1" applyFill="1"/>
    <xf numFmtId="0" fontId="0" fillId="2" borderId="0" xfId="0" applyFill="1" applyBorder="1"/>
    <xf numFmtId="0" fontId="0" fillId="14" borderId="6" xfId="0" applyFont="1" applyFill="1" applyBorder="1"/>
    <xf numFmtId="0" fontId="0" fillId="14" borderId="5" xfId="0" applyFont="1" applyFill="1" applyBorder="1"/>
    <xf numFmtId="164" fontId="0" fillId="14" borderId="4" xfId="0" applyNumberFormat="1" applyFont="1" applyFill="1" applyBorder="1"/>
    <xf numFmtId="166" fontId="17" fillId="15" borderId="0" xfId="0" applyNumberFormat="1" applyFont="1" applyFill="1"/>
    <xf numFmtId="3" fontId="17" fillId="15" borderId="0" xfId="0" applyNumberFormat="1" applyFont="1" applyFill="1"/>
    <xf numFmtId="0" fontId="17" fillId="15" borderId="0" xfId="0" applyFont="1" applyFill="1" applyBorder="1"/>
    <xf numFmtId="2" fontId="0" fillId="14" borderId="4" xfId="0" applyNumberFormat="1" applyFont="1" applyFill="1" applyBorder="1"/>
    <xf numFmtId="2" fontId="0" fillId="14" borderId="6" xfId="0" applyNumberFormat="1" applyFont="1" applyFill="1" applyBorder="1"/>
    <xf numFmtId="2" fontId="0" fillId="14" borderId="5" xfId="0" applyNumberFormat="1" applyFont="1" applyFill="1" applyBorder="1"/>
    <xf numFmtId="0" fontId="1" fillId="16" borderId="0" xfId="0" applyFont="1" applyFill="1"/>
    <xf numFmtId="3" fontId="17" fillId="15" borderId="0" xfId="0" applyNumberFormat="1" applyFont="1" applyFill="1" applyAlignment="1">
      <alignment horizontal="right"/>
    </xf>
    <xf numFmtId="0" fontId="18" fillId="17" borderId="4" xfId="0" applyFont="1" applyFill="1" applyBorder="1"/>
    <xf numFmtId="0" fontId="18" fillId="17" borderId="6" xfId="0" applyFont="1" applyFill="1" applyBorder="1"/>
    <xf numFmtId="0" fontId="18" fillId="17" borderId="5" xfId="0" applyFont="1" applyFill="1" applyBorder="1"/>
    <xf numFmtId="3" fontId="0" fillId="18" borderId="4" xfId="0" applyNumberFormat="1" applyFont="1" applyFill="1" applyBorder="1"/>
    <xf numFmtId="3" fontId="0" fillId="18" borderId="6" xfId="0" applyNumberFormat="1" applyFont="1" applyFill="1" applyBorder="1"/>
    <xf numFmtId="3" fontId="0" fillId="18" borderId="5" xfId="0" applyNumberFormat="1" applyFont="1" applyFill="1" applyBorder="1"/>
    <xf numFmtId="0" fontId="0" fillId="8" borderId="0" xfId="0" applyFill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0" fillId="8" borderId="0" xfId="0" applyFont="1" applyFill="1" applyAlignment="1">
      <alignment horizontal="right"/>
    </xf>
    <xf numFmtId="3" fontId="0" fillId="8" borderId="0" xfId="0" applyNumberFormat="1" applyFont="1" applyFill="1"/>
    <xf numFmtId="166" fontId="0" fillId="8" borderId="0" xfId="0" applyNumberFormat="1" applyFont="1" applyFill="1"/>
    <xf numFmtId="3" fontId="17" fillId="8" borderId="0" xfId="0" applyNumberFormat="1" applyFont="1" applyFill="1"/>
    <xf numFmtId="166" fontId="17" fillId="8" borderId="0" xfId="0" applyNumberFormat="1" applyFont="1" applyFill="1"/>
    <xf numFmtId="0" fontId="1" fillId="15" borderId="0" xfId="0" applyFont="1" applyFill="1" applyBorder="1"/>
    <xf numFmtId="0" fontId="19" fillId="15" borderId="0" xfId="0" applyFont="1" applyFill="1" applyBorder="1"/>
    <xf numFmtId="0" fontId="1" fillId="15" borderId="0" xfId="0" applyFont="1" applyFill="1" applyBorder="1" applyAlignment="1">
      <alignment horizontal="left"/>
    </xf>
    <xf numFmtId="0" fontId="0" fillId="8" borderId="0" xfId="0" applyFont="1" applyFill="1"/>
    <xf numFmtId="0" fontId="17" fillId="8" borderId="0" xfId="0" applyFont="1" applyFill="1"/>
    <xf numFmtId="166" fontId="0" fillId="8" borderId="0" xfId="0" applyNumberFormat="1" applyFill="1"/>
    <xf numFmtId="0" fontId="0" fillId="8" borderId="0" xfId="0" applyFill="1" applyAlignment="1">
      <alignment horizontal="right"/>
    </xf>
    <xf numFmtId="0" fontId="0" fillId="8" borderId="0" xfId="0" applyFont="1" applyFill="1" applyBorder="1" applyAlignment="1">
      <alignment horizontal="left"/>
    </xf>
    <xf numFmtId="0" fontId="3" fillId="19" borderId="0" xfId="0" applyFont="1" applyFill="1" applyAlignment="1">
      <alignment horizontal="right"/>
    </xf>
    <xf numFmtId="0" fontId="0" fillId="19" borderId="0" xfId="0" applyFont="1" applyFill="1" applyAlignment="1">
      <alignment horizontal="right"/>
    </xf>
    <xf numFmtId="0" fontId="22" fillId="8" borderId="0" xfId="0" applyFont="1" applyFill="1"/>
    <xf numFmtId="0" fontId="0" fillId="0" borderId="0" xfId="0" applyAlignment="1"/>
    <xf numFmtId="0" fontId="12" fillId="8" borderId="0" xfId="0" applyFont="1" applyFill="1" applyBorder="1" applyAlignment="1"/>
    <xf numFmtId="0" fontId="12" fillId="11" borderId="0" xfId="0" applyFont="1" applyFill="1" applyBorder="1" applyAlignment="1">
      <alignment horizontal="center" vertical="center"/>
    </xf>
    <xf numFmtId="0" fontId="12" fillId="12" borderId="0" xfId="0" applyFont="1" applyFill="1" applyBorder="1" applyAlignment="1">
      <alignment horizontal="center" vertical="center"/>
    </xf>
    <xf numFmtId="0" fontId="12" fillId="8" borderId="12" xfId="0" applyFont="1" applyFill="1" applyBorder="1" applyAlignment="1"/>
    <xf numFmtId="0" fontId="23" fillId="10" borderId="0" xfId="0" applyFont="1" applyFill="1" applyBorder="1" applyAlignment="1">
      <alignment vertical="center"/>
    </xf>
    <xf numFmtId="0" fontId="12" fillId="10" borderId="0" xfId="0" applyFont="1" applyFill="1" applyBorder="1"/>
    <xf numFmtId="0" fontId="12" fillId="20" borderId="10" xfId="0" applyFont="1" applyFill="1" applyBorder="1"/>
    <xf numFmtId="0" fontId="12" fillId="10" borderId="8" xfId="0" applyFont="1" applyFill="1" applyBorder="1"/>
    <xf numFmtId="0" fontId="12" fillId="10" borderId="10" xfId="0" applyFont="1" applyFill="1" applyBorder="1"/>
    <xf numFmtId="0" fontId="12" fillId="20" borderId="13" xfId="0" applyFont="1" applyFill="1" applyBorder="1"/>
    <xf numFmtId="0" fontId="0" fillId="21" borderId="0" xfId="0" applyFill="1"/>
    <xf numFmtId="0" fontId="0" fillId="22" borderId="0" xfId="0" applyFill="1"/>
    <xf numFmtId="2" fontId="12" fillId="20" borderId="11" xfId="0" applyNumberFormat="1" applyFont="1" applyFill="1" applyBorder="1"/>
    <xf numFmtId="0" fontId="1" fillId="8" borderId="0" xfId="0" applyFont="1" applyFill="1"/>
    <xf numFmtId="0" fontId="1" fillId="21" borderId="0" xfId="0" applyFont="1" applyFill="1"/>
    <xf numFmtId="0" fontId="31" fillId="22" borderId="0" xfId="0" applyFont="1" applyFill="1"/>
    <xf numFmtId="10" fontId="0" fillId="22" borderId="0" xfId="0" applyNumberFormat="1" applyFill="1"/>
    <xf numFmtId="0" fontId="31" fillId="0" borderId="0" xfId="0" applyFont="1"/>
    <xf numFmtId="0" fontId="0" fillId="0" borderId="0" xfId="0" applyFont="1" applyAlignment="1"/>
    <xf numFmtId="0" fontId="32" fillId="15" borderId="3" xfId="4" applyFont="1" applyFill="1" applyBorder="1" applyAlignment="1">
      <alignment horizontal="center" vertical="center" wrapText="1"/>
    </xf>
    <xf numFmtId="0" fontId="32" fillId="15" borderId="8" xfId="4" applyFont="1" applyFill="1" applyBorder="1" applyAlignment="1">
      <alignment horizontal="center" vertical="center" wrapText="1"/>
    </xf>
    <xf numFmtId="0" fontId="35" fillId="15" borderId="0" xfId="0" applyFont="1" applyFill="1" applyBorder="1" applyAlignment="1">
      <alignment vertical="top"/>
    </xf>
    <xf numFmtId="9" fontId="32" fillId="15" borderId="0" xfId="6" applyFont="1" applyFill="1" applyBorder="1"/>
    <xf numFmtId="0" fontId="33" fillId="22" borderId="14" xfId="0" applyFont="1" applyFill="1" applyBorder="1" applyAlignment="1">
      <alignment vertical="top"/>
    </xf>
    <xf numFmtId="0" fontId="32" fillId="15" borderId="17" xfId="0" quotePrefix="1" applyFont="1" applyFill="1" applyBorder="1" applyAlignment="1"/>
    <xf numFmtId="0" fontId="32" fillId="15" borderId="17" xfId="0" applyFont="1" applyFill="1" applyBorder="1" applyAlignment="1"/>
    <xf numFmtId="0" fontId="32" fillId="15" borderId="19" xfId="0" applyFont="1" applyFill="1" applyBorder="1" applyAlignment="1">
      <alignment horizontal="left" indent="2"/>
    </xf>
    <xf numFmtId="9" fontId="32" fillId="15" borderId="21" xfId="6" applyFont="1" applyFill="1" applyBorder="1"/>
    <xf numFmtId="0" fontId="32" fillId="15" borderId="17" xfId="0" applyFont="1" applyFill="1" applyBorder="1"/>
    <xf numFmtId="0" fontId="32" fillId="15" borderId="0" xfId="0" applyFont="1" applyFill="1" applyBorder="1"/>
    <xf numFmtId="0" fontId="32" fillId="15" borderId="17" xfId="0" quotePrefix="1" applyFont="1" applyFill="1" applyBorder="1"/>
    <xf numFmtId="166" fontId="32" fillId="15" borderId="0" xfId="0" applyNumberFormat="1" applyFont="1" applyFill="1" applyBorder="1"/>
    <xf numFmtId="0" fontId="32" fillId="15" borderId="0" xfId="0" quotePrefix="1" applyFont="1" applyFill="1" applyBorder="1"/>
    <xf numFmtId="9" fontId="32" fillId="15" borderId="0" xfId="3" applyFont="1" applyFill="1" applyBorder="1"/>
    <xf numFmtId="9" fontId="32" fillId="15" borderId="0" xfId="0" applyNumberFormat="1" applyFont="1" applyFill="1" applyBorder="1"/>
    <xf numFmtId="0" fontId="32" fillId="15" borderId="25" xfId="4" applyFont="1" applyFill="1" applyBorder="1" applyAlignment="1">
      <alignment horizontal="center" vertical="center" wrapText="1"/>
    </xf>
    <xf numFmtId="2" fontId="32" fillId="15" borderId="26" xfId="4" applyNumberFormat="1" applyFont="1" applyFill="1" applyBorder="1" applyAlignment="1">
      <alignment horizontal="center" vertical="center"/>
    </xf>
    <xf numFmtId="2" fontId="32" fillId="15" borderId="27" xfId="4" applyNumberFormat="1" applyFont="1" applyFill="1" applyBorder="1" applyAlignment="1">
      <alignment horizontal="center" vertical="center"/>
    </xf>
    <xf numFmtId="9" fontId="32" fillId="15" borderId="28" xfId="5" applyFont="1" applyFill="1" applyBorder="1" applyAlignment="1">
      <alignment horizontal="center" vertical="center"/>
    </xf>
    <xf numFmtId="0" fontId="0" fillId="23" borderId="0" xfId="0" applyFill="1"/>
    <xf numFmtId="0" fontId="31" fillId="23" borderId="0" xfId="0" applyFont="1" applyFill="1"/>
    <xf numFmtId="0" fontId="0" fillId="23" borderId="0" xfId="0" applyFont="1" applyFill="1"/>
    <xf numFmtId="0" fontId="12" fillId="0" borderId="0" xfId="0" applyFont="1"/>
    <xf numFmtId="0" fontId="12" fillId="8" borderId="0" xfId="0" applyFont="1" applyFill="1"/>
    <xf numFmtId="0" fontId="23" fillId="8" borderId="0" xfId="0" applyFont="1" applyFill="1"/>
    <xf numFmtId="0" fontId="36" fillId="9" borderId="0" xfId="0" applyFont="1" applyFill="1"/>
    <xf numFmtId="0" fontId="37" fillId="9" borderId="0" xfId="0" applyFont="1" applyFill="1"/>
    <xf numFmtId="0" fontId="12" fillId="8" borderId="0" xfId="0" quotePrefix="1" applyFont="1" applyFill="1"/>
    <xf numFmtId="3" fontId="36" fillId="9" borderId="0" xfId="0" applyNumberFormat="1" applyFont="1" applyFill="1"/>
    <xf numFmtId="9" fontId="36" fillId="9" borderId="0" xfId="0" applyNumberFormat="1" applyFont="1" applyFill="1"/>
    <xf numFmtId="0" fontId="12" fillId="8" borderId="37" xfId="0" applyFont="1" applyFill="1" applyBorder="1" applyAlignment="1"/>
    <xf numFmtId="168" fontId="12" fillId="8" borderId="37" xfId="3" applyNumberFormat="1" applyFont="1" applyFill="1" applyBorder="1"/>
    <xf numFmtId="0" fontId="12" fillId="25" borderId="37" xfId="0" quotePrefix="1" applyFont="1" applyFill="1" applyBorder="1"/>
    <xf numFmtId="0" fontId="12" fillId="25" borderId="37" xfId="0" applyFont="1" applyFill="1" applyBorder="1"/>
    <xf numFmtId="3" fontId="12" fillId="25" borderId="37" xfId="0" applyNumberFormat="1" applyFont="1" applyFill="1" applyBorder="1"/>
    <xf numFmtId="9" fontId="12" fillId="25" borderId="37" xfId="0" applyNumberFormat="1" applyFont="1" applyFill="1" applyBorder="1"/>
    <xf numFmtId="1" fontId="12" fillId="25" borderId="37" xfId="0" applyNumberFormat="1" applyFont="1" applyFill="1" applyBorder="1"/>
    <xf numFmtId="0" fontId="12" fillId="25" borderId="37" xfId="0" applyFont="1" applyFill="1" applyBorder="1" applyAlignment="1">
      <alignment horizontal="left" indent="1"/>
    </xf>
    <xf numFmtId="0" fontId="12" fillId="8" borderId="37" xfId="0" quotePrefix="1" applyFont="1" applyFill="1" applyBorder="1"/>
    <xf numFmtId="3" fontId="12" fillId="8" borderId="37" xfId="0" applyNumberFormat="1" applyFont="1" applyFill="1" applyBorder="1"/>
    <xf numFmtId="0" fontId="12" fillId="8" borderId="37" xfId="0" applyFont="1" applyFill="1" applyBorder="1"/>
    <xf numFmtId="1" fontId="12" fillId="8" borderId="37" xfId="0" applyNumberFormat="1" applyFont="1" applyFill="1" applyBorder="1"/>
    <xf numFmtId="0" fontId="12" fillId="8" borderId="37" xfId="0" applyFont="1" applyFill="1" applyBorder="1" applyAlignment="1">
      <alignment horizontal="left" indent="1"/>
    </xf>
    <xf numFmtId="2" fontId="12" fillId="25" borderId="37" xfId="0" applyNumberFormat="1" applyFont="1" applyFill="1" applyBorder="1"/>
    <xf numFmtId="9" fontId="12" fillId="8" borderId="37" xfId="0" applyNumberFormat="1" applyFont="1" applyFill="1" applyBorder="1"/>
    <xf numFmtId="0" fontId="38" fillId="9" borderId="0" xfId="0" applyFont="1" applyFill="1" applyBorder="1"/>
    <xf numFmtId="0" fontId="38" fillId="9" borderId="0" xfId="0" applyFont="1" applyFill="1"/>
    <xf numFmtId="166" fontId="12" fillId="8" borderId="37" xfId="3" applyNumberFormat="1" applyFont="1" applyFill="1" applyBorder="1"/>
    <xf numFmtId="0" fontId="23" fillId="8" borderId="29" xfId="0" applyFont="1" applyFill="1" applyBorder="1" applyAlignment="1">
      <alignment wrapText="1"/>
    </xf>
    <xf numFmtId="1" fontId="12" fillId="8" borderId="37" xfId="3" applyNumberFormat="1" applyFont="1" applyFill="1" applyBorder="1"/>
    <xf numFmtId="0" fontId="23" fillId="8" borderId="36" xfId="0" applyFont="1" applyFill="1" applyBorder="1" applyAlignment="1">
      <alignment wrapText="1"/>
    </xf>
    <xf numFmtId="9" fontId="12" fillId="25" borderId="37" xfId="3" applyFont="1" applyFill="1" applyBorder="1"/>
    <xf numFmtId="9" fontId="12" fillId="8" borderId="37" xfId="3" applyFont="1" applyFill="1" applyBorder="1"/>
    <xf numFmtId="0" fontId="12" fillId="24" borderId="37" xfId="0" applyFont="1" applyFill="1" applyBorder="1" applyAlignment="1">
      <alignment horizontal="center"/>
    </xf>
    <xf numFmtId="0" fontId="12" fillId="0" borderId="7" xfId="0" applyFont="1" applyBorder="1"/>
    <xf numFmtId="0" fontId="12" fillId="0" borderId="3" xfId="0" applyFont="1" applyBorder="1"/>
    <xf numFmtId="0" fontId="12" fillId="0" borderId="8" xfId="0" applyFont="1" applyBorder="1"/>
    <xf numFmtId="0" fontId="12" fillId="0" borderId="4" xfId="0" applyFont="1" applyBorder="1"/>
    <xf numFmtId="0" fontId="12" fillId="0" borderId="11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5" xfId="0" applyFont="1" applyBorder="1"/>
    <xf numFmtId="0" fontId="12" fillId="24" borderId="37" xfId="0" applyFont="1" applyFill="1" applyBorder="1"/>
    <xf numFmtId="11" fontId="12" fillId="0" borderId="3" xfId="0" applyNumberFormat="1" applyFont="1" applyBorder="1"/>
    <xf numFmtId="2" fontId="12" fillId="0" borderId="8" xfId="0" applyNumberFormat="1" applyFont="1" applyBorder="1"/>
    <xf numFmtId="168" fontId="12" fillId="0" borderId="3" xfId="3" applyNumberFormat="1" applyFont="1" applyBorder="1"/>
    <xf numFmtId="0" fontId="12" fillId="0" borderId="9" xfId="0" applyFont="1" applyBorder="1"/>
    <xf numFmtId="11" fontId="12" fillId="0" borderId="0" xfId="0" applyNumberFormat="1" applyFont="1" applyBorder="1"/>
    <xf numFmtId="2" fontId="12" fillId="0" borderId="10" xfId="0" applyNumberFormat="1" applyFont="1" applyBorder="1"/>
    <xf numFmtId="168" fontId="12" fillId="0" borderId="0" xfId="3" applyNumberFormat="1" applyFont="1" applyBorder="1"/>
    <xf numFmtId="166" fontId="12" fillId="25" borderId="37" xfId="0" applyNumberFormat="1" applyFont="1" applyFill="1" applyBorder="1"/>
    <xf numFmtId="0" fontId="12" fillId="0" borderId="0" xfId="0" applyFont="1" applyBorder="1"/>
    <xf numFmtId="0" fontId="12" fillId="0" borderId="10" xfId="0" applyFont="1" applyBorder="1"/>
    <xf numFmtId="166" fontId="12" fillId="8" borderId="37" xfId="0" applyNumberFormat="1" applyFont="1" applyFill="1" applyBorder="1"/>
    <xf numFmtId="11" fontId="12" fillId="0" borderId="12" xfId="0" applyNumberFormat="1" applyFont="1" applyBorder="1"/>
    <xf numFmtId="2" fontId="12" fillId="0" borderId="13" xfId="0" applyNumberFormat="1" applyFont="1" applyBorder="1"/>
    <xf numFmtId="2" fontId="12" fillId="0" borderId="0" xfId="0" applyNumberFormat="1" applyFont="1"/>
    <xf numFmtId="166" fontId="36" fillId="9" borderId="0" xfId="0" applyNumberFormat="1" applyFont="1" applyFill="1"/>
    <xf numFmtId="0" fontId="39" fillId="0" borderId="0" xfId="2" applyFont="1" applyAlignment="1" applyProtection="1"/>
    <xf numFmtId="0" fontId="6" fillId="0" borderId="0" xfId="0" applyFont="1"/>
    <xf numFmtId="0" fontId="40" fillId="22" borderId="16" xfId="0" applyFont="1" applyFill="1" applyBorder="1"/>
    <xf numFmtId="0" fontId="40" fillId="22" borderId="16" xfId="0" applyFont="1" applyFill="1" applyBorder="1" applyAlignment="1"/>
    <xf numFmtId="0" fontId="40" fillId="15" borderId="17" xfId="0" applyFont="1" applyFill="1" applyBorder="1"/>
    <xf numFmtId="0" fontId="40" fillId="15" borderId="0" xfId="0" applyFont="1" applyFill="1" applyBorder="1"/>
    <xf numFmtId="0" fontId="40" fillId="15" borderId="0" xfId="0" applyFont="1" applyFill="1" applyBorder="1" applyAlignment="1">
      <alignment horizontal="center" vertical="top" wrapText="1"/>
    </xf>
    <xf numFmtId="9" fontId="40" fillId="15" borderId="0" xfId="0" applyNumberFormat="1" applyFont="1" applyFill="1" applyBorder="1"/>
    <xf numFmtId="168" fontId="40" fillId="15" borderId="0" xfId="3" applyNumberFormat="1" applyFont="1" applyFill="1" applyBorder="1"/>
    <xf numFmtId="168" fontId="40" fillId="15" borderId="0" xfId="0" applyNumberFormat="1" applyFont="1" applyFill="1" applyBorder="1"/>
    <xf numFmtId="10" fontId="40" fillId="15" borderId="0" xfId="0" applyNumberFormat="1" applyFont="1" applyFill="1" applyBorder="1"/>
    <xf numFmtId="0" fontId="40" fillId="15" borderId="17" xfId="0" quotePrefix="1" applyFont="1" applyFill="1" applyBorder="1"/>
    <xf numFmtId="0" fontId="6" fillId="15" borderId="18" xfId="0" applyFont="1" applyFill="1" applyBorder="1"/>
    <xf numFmtId="0" fontId="40" fillId="15" borderId="19" xfId="0" applyFont="1" applyFill="1" applyBorder="1"/>
    <xf numFmtId="0" fontId="40" fillId="15" borderId="21" xfId="0" applyFont="1" applyFill="1" applyBorder="1"/>
    <xf numFmtId="0" fontId="6" fillId="15" borderId="20" xfId="0" applyFont="1" applyFill="1" applyBorder="1"/>
    <xf numFmtId="2" fontId="41" fillId="25" borderId="37" xfId="0" applyNumberFormat="1" applyFont="1" applyFill="1" applyBorder="1"/>
    <xf numFmtId="4" fontId="41" fillId="8" borderId="37" xfId="0" applyNumberFormat="1" applyFont="1" applyFill="1" applyBorder="1"/>
    <xf numFmtId="168" fontId="41" fillId="25" borderId="37" xfId="3" applyNumberFormat="1" applyFont="1" applyFill="1" applyBorder="1"/>
    <xf numFmtId="168" fontId="41" fillId="8" borderId="37" xfId="3" applyNumberFormat="1" applyFont="1" applyFill="1" applyBorder="1"/>
    <xf numFmtId="168" fontId="0" fillId="8" borderId="0" xfId="0" applyNumberFormat="1" applyFill="1"/>
    <xf numFmtId="0" fontId="0" fillId="8" borderId="12" xfId="0" applyFill="1" applyBorder="1"/>
    <xf numFmtId="0" fontId="42" fillId="8" borderId="0" xfId="0" applyFont="1" applyFill="1"/>
    <xf numFmtId="2" fontId="12" fillId="20" borderId="0" xfId="0" applyNumberFormat="1" applyFont="1" applyFill="1" applyBorder="1"/>
    <xf numFmtId="3" fontId="12" fillId="0" borderId="7" xfId="0" applyNumberFormat="1" applyFont="1" applyBorder="1"/>
    <xf numFmtId="3" fontId="12" fillId="0" borderId="9" xfId="0" applyNumberFormat="1" applyFont="1" applyBorder="1"/>
    <xf numFmtId="3" fontId="12" fillId="0" borderId="11" xfId="0" applyNumberFormat="1" applyFont="1" applyBorder="1"/>
    <xf numFmtId="9" fontId="43" fillId="25" borderId="37" xfId="0" applyNumberFormat="1" applyFont="1" applyFill="1" applyBorder="1"/>
    <xf numFmtId="0" fontId="12" fillId="25" borderId="37" xfId="0" applyFont="1" applyFill="1" applyBorder="1" applyAlignment="1"/>
    <xf numFmtId="0" fontId="12" fillId="0" borderId="15" xfId="0" applyFont="1" applyBorder="1"/>
    <xf numFmtId="0" fontId="44" fillId="26" borderId="0" xfId="0" applyFont="1" applyFill="1"/>
    <xf numFmtId="0" fontId="12" fillId="0" borderId="20" xfId="0" applyFont="1" applyBorder="1"/>
    <xf numFmtId="0" fontId="45" fillId="0" borderId="0" xfId="0" applyFont="1"/>
    <xf numFmtId="0" fontId="12" fillId="0" borderId="2" xfId="0" applyFont="1" applyBorder="1"/>
    <xf numFmtId="0" fontId="12" fillId="0" borderId="2" xfId="0" quotePrefix="1" applyFont="1" applyBorder="1"/>
    <xf numFmtId="9" fontId="12" fillId="0" borderId="2" xfId="0" applyNumberFormat="1" applyFont="1" applyBorder="1"/>
    <xf numFmtId="10" fontId="12" fillId="0" borderId="2" xfId="3" applyNumberFormat="1" applyFont="1" applyBorder="1"/>
    <xf numFmtId="9" fontId="12" fillId="0" borderId="7" xfId="0" applyNumberFormat="1" applyFont="1" applyBorder="1"/>
    <xf numFmtId="9" fontId="12" fillId="0" borderId="3" xfId="0" applyNumberFormat="1" applyFont="1" applyBorder="1"/>
    <xf numFmtId="9" fontId="12" fillId="0" borderId="9" xfId="0" applyNumberFormat="1" applyFont="1" applyBorder="1"/>
    <xf numFmtId="9" fontId="12" fillId="0" borderId="2" xfId="3" applyFont="1" applyBorder="1"/>
    <xf numFmtId="10" fontId="12" fillId="0" borderId="0" xfId="3" applyNumberFormat="1" applyFont="1" applyBorder="1"/>
    <xf numFmtId="9" fontId="12" fillId="0" borderId="11" xfId="0" applyNumberFormat="1" applyFont="1" applyBorder="1"/>
    <xf numFmtId="168" fontId="12" fillId="0" borderId="12" xfId="0" applyNumberFormat="1" applyFont="1" applyBorder="1"/>
    <xf numFmtId="0" fontId="12" fillId="0" borderId="0" xfId="0" applyFont="1" applyFill="1" applyBorder="1"/>
    <xf numFmtId="0" fontId="46" fillId="0" borderId="14" xfId="0" applyFont="1" applyBorder="1"/>
    <xf numFmtId="0" fontId="49" fillId="3" borderId="4" xfId="0" applyFont="1" applyFill="1" applyBorder="1"/>
    <xf numFmtId="0" fontId="49" fillId="3" borderId="6" xfId="0" applyFont="1" applyFill="1" applyBorder="1"/>
    <xf numFmtId="0" fontId="49" fillId="3" borderId="5" xfId="0" applyFont="1" applyFill="1" applyBorder="1"/>
    <xf numFmtId="164" fontId="51" fillId="14" borderId="4" xfId="0" applyNumberFormat="1" applyFont="1" applyFill="1" applyBorder="1"/>
    <xf numFmtId="164" fontId="51" fillId="14" borderId="6" xfId="0" applyNumberFormat="1" applyFont="1" applyFill="1" applyBorder="1"/>
    <xf numFmtId="0" fontId="51" fillId="9" borderId="4" xfId="0" applyFont="1" applyFill="1" applyBorder="1" applyAlignment="1">
      <alignment horizontal="left" vertical="center"/>
    </xf>
    <xf numFmtId="0" fontId="51" fillId="9" borderId="5" xfId="0" applyFont="1" applyFill="1" applyBorder="1" applyAlignment="1">
      <alignment horizontal="left" vertical="center"/>
    </xf>
    <xf numFmtId="165" fontId="12" fillId="0" borderId="8" xfId="0" applyNumberFormat="1" applyFont="1" applyBorder="1"/>
    <xf numFmtId="165" fontId="12" fillId="0" borderId="10" xfId="0" applyNumberFormat="1" applyFont="1" applyBorder="1"/>
    <xf numFmtId="165" fontId="12" fillId="0" borderId="13" xfId="0" applyNumberFormat="1" applyFont="1" applyBorder="1"/>
    <xf numFmtId="169" fontId="12" fillId="0" borderId="3" xfId="0" applyNumberFormat="1" applyFont="1" applyBorder="1"/>
    <xf numFmtId="169" fontId="12" fillId="0" borderId="0" xfId="0" applyNumberFormat="1" applyFont="1" applyBorder="1"/>
    <xf numFmtId="0" fontId="0" fillId="16" borderId="0" xfId="0" applyFill="1" applyBorder="1"/>
    <xf numFmtId="0" fontId="0" fillId="16" borderId="0" xfId="0" applyFill="1"/>
    <xf numFmtId="44" fontId="25" fillId="0" borderId="23" xfId="7" applyFont="1" applyBorder="1" applyAlignment="1">
      <alignment horizontal="center" vertical="center"/>
    </xf>
    <xf numFmtId="44" fontId="25" fillId="0" borderId="22" xfId="7" applyFont="1" applyBorder="1" applyAlignment="1">
      <alignment horizontal="center" vertical="center"/>
    </xf>
    <xf numFmtId="9" fontId="0" fillId="8" borderId="0" xfId="3" applyFont="1" applyFill="1"/>
    <xf numFmtId="2" fontId="0" fillId="8" borderId="0" xfId="0" applyNumberFormat="1" applyFill="1"/>
    <xf numFmtId="0" fontId="0" fillId="8" borderId="0" xfId="0" applyFill="1" applyBorder="1" applyAlignment="1">
      <alignment horizontal="center" vertical="top" wrapText="1"/>
    </xf>
    <xf numFmtId="0" fontId="0" fillId="8" borderId="0" xfId="0" applyFill="1" applyBorder="1" applyAlignment="1">
      <alignment vertical="top" wrapText="1"/>
    </xf>
    <xf numFmtId="0" fontId="0" fillId="8" borderId="0" xfId="0" applyFill="1" applyBorder="1"/>
    <xf numFmtId="2" fontId="0" fillId="8" borderId="0" xfId="0" applyNumberFormat="1" applyFill="1" applyBorder="1"/>
    <xf numFmtId="0" fontId="50" fillId="9" borderId="0" xfId="0" applyFont="1" applyFill="1" applyBorder="1" applyAlignment="1">
      <alignment vertical="top" wrapText="1"/>
    </xf>
    <xf numFmtId="0" fontId="50" fillId="9" borderId="0" xfId="0" applyFont="1" applyFill="1" applyBorder="1" applyAlignment="1">
      <alignment horizontal="center" vertical="top" wrapText="1"/>
    </xf>
    <xf numFmtId="0" fontId="50" fillId="9" borderId="0" xfId="0" applyFont="1" applyFill="1" applyBorder="1"/>
    <xf numFmtId="9" fontId="1" fillId="8" borderId="0" xfId="3" applyFont="1" applyFill="1"/>
    <xf numFmtId="166" fontId="48" fillId="9" borderId="0" xfId="0" applyNumberFormat="1" applyFont="1" applyFill="1"/>
    <xf numFmtId="9" fontId="48" fillId="9" borderId="0" xfId="0" applyNumberFormat="1" applyFont="1" applyFill="1"/>
    <xf numFmtId="0" fontId="48" fillId="9" borderId="0" xfId="0" applyFont="1" applyFill="1"/>
    <xf numFmtId="9" fontId="48" fillId="9" borderId="0" xfId="3" applyFont="1" applyFill="1"/>
    <xf numFmtId="9" fontId="52" fillId="9" borderId="0" xfId="0" applyNumberFormat="1" applyFont="1" applyFill="1"/>
    <xf numFmtId="0" fontId="1" fillId="2" borderId="0" xfId="0" applyFont="1" applyFill="1" applyBorder="1"/>
    <xf numFmtId="0" fontId="1" fillId="27" borderId="0" xfId="0" applyFont="1" applyFill="1" applyBorder="1"/>
    <xf numFmtId="0" fontId="31" fillId="28" borderId="0" xfId="0" applyFont="1" applyFill="1" applyBorder="1" applyAlignment="1">
      <alignment horizontal="center"/>
    </xf>
    <xf numFmtId="0" fontId="31" fillId="8" borderId="0" xfId="0" applyFont="1" applyFill="1" applyBorder="1"/>
    <xf numFmtId="0" fontId="31" fillId="8" borderId="45" xfId="0" applyFont="1" applyFill="1" applyBorder="1"/>
    <xf numFmtId="0" fontId="31" fillId="8" borderId="44" xfId="0" applyFont="1" applyFill="1" applyBorder="1"/>
    <xf numFmtId="0" fontId="12" fillId="9" borderId="0" xfId="0" applyFont="1" applyFill="1" applyBorder="1" applyAlignment="1">
      <alignment horizontal="center" vertical="center"/>
    </xf>
    <xf numFmtId="0" fontId="0" fillId="18" borderId="0" xfId="0" applyFill="1"/>
    <xf numFmtId="0" fontId="1" fillId="18" borderId="0" xfId="0" applyFont="1" applyFill="1"/>
    <xf numFmtId="0" fontId="3" fillId="18" borderId="0" xfId="0" applyFont="1" applyFill="1"/>
    <xf numFmtId="0" fontId="1" fillId="29" borderId="0" xfId="0" applyFont="1" applyFill="1" applyBorder="1"/>
    <xf numFmtId="0" fontId="19" fillId="8" borderId="0" xfId="0" applyFont="1" applyFill="1" applyBorder="1" applyAlignment="1">
      <alignment horizontal="center"/>
    </xf>
    <xf numFmtId="0" fontId="0" fillId="15" borderId="0" xfId="0" applyFill="1"/>
    <xf numFmtId="0" fontId="1" fillId="15" borderId="0" xfId="0" applyFont="1" applyFill="1"/>
    <xf numFmtId="0" fontId="1" fillId="15" borderId="0" xfId="0" quotePrefix="1" applyFont="1" applyFill="1"/>
    <xf numFmtId="0" fontId="49" fillId="3" borderId="2" xfId="0" applyFont="1" applyFill="1" applyBorder="1"/>
    <xf numFmtId="2" fontId="0" fillId="14" borderId="2" xfId="0" applyNumberFormat="1" applyFont="1" applyFill="1" applyBorder="1"/>
    <xf numFmtId="1" fontId="49" fillId="30" borderId="2" xfId="0" applyNumberFormat="1" applyFont="1" applyFill="1" applyBorder="1"/>
    <xf numFmtId="1" fontId="0" fillId="16" borderId="0" xfId="0" applyNumberFormat="1" applyFill="1" applyBorder="1"/>
    <xf numFmtId="44" fontId="25" fillId="8" borderId="22" xfId="7" applyFont="1" applyFill="1" applyBorder="1" applyAlignment="1">
      <alignment horizontal="center" vertical="center"/>
    </xf>
    <xf numFmtId="44" fontId="25" fillId="8" borderId="23" xfId="7" applyFont="1" applyFill="1" applyBorder="1" applyAlignment="1">
      <alignment horizontal="center" vertical="center"/>
    </xf>
    <xf numFmtId="44" fontId="25" fillId="8" borderId="0" xfId="7" applyFont="1" applyFill="1" applyBorder="1" applyAlignment="1">
      <alignment horizontal="center" vertical="center"/>
    </xf>
    <xf numFmtId="0" fontId="0" fillId="8" borderId="0" xfId="0" quotePrefix="1" applyFill="1"/>
    <xf numFmtId="10" fontId="0" fillId="8" borderId="0" xfId="0" quotePrefix="1" applyNumberFormat="1" applyFill="1"/>
    <xf numFmtId="2" fontId="53" fillId="15" borderId="0" xfId="0" applyNumberFormat="1" applyFont="1" applyFill="1" applyBorder="1"/>
    <xf numFmtId="0" fontId="0" fillId="22" borderId="2" xfId="0" applyFill="1" applyBorder="1"/>
    <xf numFmtId="9" fontId="0" fillId="8" borderId="0" xfId="0" applyNumberFormat="1" applyFill="1"/>
    <xf numFmtId="9" fontId="11" fillId="8" borderId="0" xfId="3" applyFont="1" applyFill="1"/>
    <xf numFmtId="9" fontId="0" fillId="21" borderId="0" xfId="3" applyFont="1" applyFill="1"/>
    <xf numFmtId="9" fontId="25" fillId="8" borderId="0" xfId="3" applyFont="1" applyFill="1" applyBorder="1" applyAlignment="1">
      <alignment horizontal="center" vertical="center"/>
    </xf>
    <xf numFmtId="0" fontId="46" fillId="22" borderId="14" xfId="0" applyFont="1" applyFill="1" applyBorder="1"/>
    <xf numFmtId="0" fontId="46" fillId="22" borderId="16" xfId="0" applyFont="1" applyFill="1" applyBorder="1"/>
    <xf numFmtId="0" fontId="12" fillId="22" borderId="15" xfId="0" applyFont="1" applyFill="1" applyBorder="1"/>
    <xf numFmtId="0" fontId="47" fillId="22" borderId="17" xfId="0" applyFont="1" applyFill="1" applyBorder="1"/>
    <xf numFmtId="0" fontId="47" fillId="22" borderId="0" xfId="0" applyFont="1" applyFill="1" applyBorder="1"/>
    <xf numFmtId="0" fontId="12" fillId="22" borderId="18" xfId="0" applyFont="1" applyFill="1" applyBorder="1"/>
    <xf numFmtId="0" fontId="12" fillId="22" borderId="19" xfId="0" applyFont="1" applyFill="1" applyBorder="1"/>
    <xf numFmtId="0" fontId="12" fillId="22" borderId="21" xfId="0" applyFont="1" applyFill="1" applyBorder="1"/>
    <xf numFmtId="0" fontId="12" fillId="22" borderId="20" xfId="0" applyFont="1" applyFill="1" applyBorder="1"/>
    <xf numFmtId="0" fontId="0" fillId="18" borderId="0" xfId="0" applyFill="1" applyAlignment="1"/>
    <xf numFmtId="0" fontId="0" fillId="18" borderId="0" xfId="0" applyFont="1" applyFill="1"/>
    <xf numFmtId="0" fontId="31" fillId="18" borderId="0" xfId="0" applyFont="1" applyFill="1"/>
    <xf numFmtId="0" fontId="32" fillId="18" borderId="0" xfId="0" applyFont="1" applyFill="1" applyBorder="1"/>
    <xf numFmtId="0" fontId="49" fillId="0" borderId="5" xfId="0" applyFont="1" applyBorder="1"/>
    <xf numFmtId="0" fontId="19" fillId="15" borderId="0" xfId="0" applyFont="1" applyFill="1" applyBorder="1" applyAlignment="1">
      <alignment horizontal="center"/>
    </xf>
    <xf numFmtId="164" fontId="0" fillId="8" borderId="0" xfId="0" applyNumberFormat="1" applyFill="1" applyBorder="1"/>
    <xf numFmtId="164" fontId="0" fillId="8" borderId="0" xfId="0" applyNumberFormat="1" applyFill="1"/>
    <xf numFmtId="165" fontId="0" fillId="8" borderId="0" xfId="0" applyNumberFormat="1" applyFill="1"/>
    <xf numFmtId="0" fontId="3" fillId="8" borderId="0" xfId="0" applyFont="1" applyFill="1"/>
    <xf numFmtId="1" fontId="2" fillId="2" borderId="0" xfId="0" applyNumberFormat="1" applyFont="1" applyFill="1"/>
    <xf numFmtId="0" fontId="0" fillId="31" borderId="2" xfId="0" applyFill="1" applyBorder="1"/>
    <xf numFmtId="2" fontId="0" fillId="8" borderId="46" xfId="0" applyNumberFormat="1" applyFill="1" applyBorder="1"/>
    <xf numFmtId="2" fontId="0" fillId="31" borderId="2" xfId="0" applyNumberFormat="1" applyFill="1" applyBorder="1"/>
    <xf numFmtId="2" fontId="0" fillId="22" borderId="2" xfId="0" applyNumberFormat="1" applyFill="1" applyBorder="1"/>
    <xf numFmtId="0" fontId="0" fillId="17" borderId="0" xfId="0" applyFill="1"/>
    <xf numFmtId="0" fontId="12" fillId="18" borderId="0" xfId="0" applyFont="1" applyFill="1"/>
    <xf numFmtId="0" fontId="8" fillId="17" borderId="0" xfId="0" applyFont="1" applyFill="1"/>
    <xf numFmtId="0" fontId="13" fillId="17" borderId="0" xfId="0" applyFont="1" applyFill="1"/>
    <xf numFmtId="0" fontId="12" fillId="17" borderId="0" xfId="0" applyFont="1" applyFill="1"/>
    <xf numFmtId="0" fontId="31" fillId="18" borderId="0" xfId="0" applyFont="1" applyFill="1" applyAlignment="1"/>
    <xf numFmtId="0" fontId="0" fillId="18" borderId="0" xfId="0" applyFont="1" applyFill="1" applyAlignment="1"/>
    <xf numFmtId="0" fontId="6" fillId="8" borderId="0" xfId="0" applyFont="1" applyFill="1"/>
    <xf numFmtId="0" fontId="6" fillId="32" borderId="16" xfId="0" applyFont="1" applyFill="1" applyBorder="1"/>
    <xf numFmtId="0" fontId="6" fillId="32" borderId="15" xfId="0" applyFont="1" applyFill="1" applyBorder="1"/>
    <xf numFmtId="0" fontId="6" fillId="32" borderId="0" xfId="0" applyFont="1" applyFill="1" applyBorder="1"/>
    <xf numFmtId="0" fontId="6" fillId="32" borderId="18" xfId="0" applyFont="1" applyFill="1" applyBorder="1"/>
    <xf numFmtId="0" fontId="6" fillId="32" borderId="21" xfId="0" applyFont="1" applyFill="1" applyBorder="1"/>
    <xf numFmtId="0" fontId="6" fillId="32" borderId="20" xfId="0" applyFont="1" applyFill="1" applyBorder="1"/>
    <xf numFmtId="0" fontId="40" fillId="32" borderId="17" xfId="0" applyFont="1" applyFill="1" applyBorder="1"/>
    <xf numFmtId="0" fontId="40" fillId="32" borderId="0" xfId="0" applyFont="1" applyFill="1" applyBorder="1"/>
    <xf numFmtId="0" fontId="40" fillId="32" borderId="21" xfId="0" applyFont="1" applyFill="1" applyBorder="1"/>
    <xf numFmtId="0" fontId="6" fillId="32" borderId="17" xfId="0" applyFont="1" applyFill="1" applyBorder="1"/>
    <xf numFmtId="0" fontId="40" fillId="32" borderId="18" xfId="0" applyFont="1" applyFill="1" applyBorder="1"/>
    <xf numFmtId="0" fontId="40" fillId="32" borderId="0" xfId="0" applyFont="1" applyFill="1" applyBorder="1" applyAlignment="1"/>
    <xf numFmtId="0" fontId="40" fillId="32" borderId="16" xfId="0" applyFont="1" applyFill="1" applyBorder="1"/>
    <xf numFmtId="0" fontId="54" fillId="2" borderId="0" xfId="0" applyFont="1" applyFill="1"/>
    <xf numFmtId="0" fontId="54" fillId="0" borderId="0" xfId="0" applyFont="1"/>
    <xf numFmtId="0" fontId="55" fillId="0" borderId="0" xfId="0" applyFont="1"/>
    <xf numFmtId="2" fontId="54" fillId="0" borderId="0" xfId="0" applyNumberFormat="1" applyFont="1"/>
    <xf numFmtId="164" fontId="54" fillId="0" borderId="0" xfId="0" applyNumberFormat="1" applyFont="1"/>
    <xf numFmtId="9" fontId="54" fillId="0" borderId="0" xfId="0" applyNumberFormat="1" applyFont="1"/>
    <xf numFmtId="0" fontId="56" fillId="2" borderId="0" xfId="0" applyFont="1" applyFill="1"/>
    <xf numFmtId="2" fontId="56" fillId="2" borderId="0" xfId="0" applyNumberFormat="1" applyFont="1" applyFill="1" applyAlignment="1">
      <alignment horizontal="center"/>
    </xf>
    <xf numFmtId="0" fontId="54" fillId="15" borderId="0" xfId="0" applyFont="1" applyFill="1"/>
    <xf numFmtId="0" fontId="54" fillId="8" borderId="0" xfId="0" applyFont="1" applyFill="1"/>
    <xf numFmtId="0" fontId="54" fillId="16" borderId="0" xfId="0" applyFont="1" applyFill="1"/>
    <xf numFmtId="0" fontId="55" fillId="8" borderId="0" xfId="0" applyFont="1" applyFill="1" applyAlignment="1">
      <alignment horizontal="center" vertical="top" wrapText="1"/>
    </xf>
    <xf numFmtId="1" fontId="12" fillId="8" borderId="0" xfId="0" applyNumberFormat="1" applyFont="1" applyFill="1" applyBorder="1" applyAlignment="1">
      <alignment horizontal="center" vertical="center"/>
    </xf>
    <xf numFmtId="2" fontId="0" fillId="6" borderId="1" xfId="0" applyNumberFormat="1" applyFill="1" applyBorder="1"/>
    <xf numFmtId="3" fontId="0" fillId="6" borderId="1" xfId="0" applyNumberFormat="1" applyFill="1" applyBorder="1"/>
    <xf numFmtId="166" fontId="0" fillId="6" borderId="1" xfId="0" applyNumberFormat="1" applyFill="1" applyBorder="1"/>
    <xf numFmtId="3" fontId="0" fillId="5" borderId="1" xfId="0" applyNumberFormat="1" applyFill="1" applyBorder="1"/>
    <xf numFmtId="164" fontId="0" fillId="5" borderId="1" xfId="0" applyNumberFormat="1" applyFill="1" applyBorder="1"/>
    <xf numFmtId="170" fontId="0" fillId="18" borderId="2" xfId="0" applyNumberFormat="1" applyFont="1" applyFill="1" applyBorder="1"/>
    <xf numFmtId="0" fontId="54" fillId="18" borderId="0" xfId="0" applyFont="1" applyFill="1"/>
    <xf numFmtId="0" fontId="59" fillId="0" borderId="0" xfId="0" applyFont="1"/>
    <xf numFmtId="0" fontId="54" fillId="19" borderId="0" xfId="0" applyFont="1" applyFill="1"/>
    <xf numFmtId="0" fontId="54" fillId="13" borderId="0" xfId="2" applyFont="1" applyFill="1"/>
    <xf numFmtId="166" fontId="49" fillId="0" borderId="24" xfId="0" applyNumberFormat="1" applyFont="1" applyBorder="1" applyAlignment="1">
      <alignment horizontal="center" vertical="center"/>
    </xf>
    <xf numFmtId="9" fontId="49" fillId="0" borderId="24" xfId="3" applyFont="1" applyBorder="1" applyAlignment="1">
      <alignment horizontal="center" vertical="center"/>
    </xf>
    <xf numFmtId="9" fontId="49" fillId="0" borderId="22" xfId="3" applyFont="1" applyBorder="1" applyAlignment="1">
      <alignment horizontal="center" vertical="center"/>
    </xf>
    <xf numFmtId="9" fontId="49" fillId="0" borderId="23" xfId="3" applyFont="1" applyBorder="1" applyAlignment="1">
      <alignment horizontal="center" vertical="center"/>
    </xf>
    <xf numFmtId="0" fontId="60" fillId="8" borderId="0" xfId="0" applyFont="1" applyFill="1" applyBorder="1" applyAlignment="1">
      <alignment horizontal="center" vertical="center" wrapText="1"/>
    </xf>
    <xf numFmtId="2" fontId="61" fillId="0" borderId="0" xfId="0" applyNumberFormat="1" applyFont="1" applyAlignment="1">
      <alignment horizontal="center" vertical="center"/>
    </xf>
    <xf numFmtId="0" fontId="54" fillId="18" borderId="0" xfId="0" applyFont="1" applyFill="1" applyAlignment="1"/>
    <xf numFmtId="0" fontId="12" fillId="8" borderId="9" xfId="0" applyFont="1" applyFill="1" applyBorder="1" applyAlignment="1"/>
    <xf numFmtId="0" fontId="12" fillId="8" borderId="10" xfId="0" applyFont="1" applyFill="1" applyBorder="1" applyAlignment="1"/>
    <xf numFmtId="0" fontId="54" fillId="19" borderId="0" xfId="0" applyFont="1" applyFill="1" applyAlignment="1"/>
    <xf numFmtId="0" fontId="54" fillId="0" borderId="0" xfId="0" applyFont="1" applyAlignment="1"/>
    <xf numFmtId="0" fontId="62" fillId="0" borderId="19" xfId="0" applyFont="1" applyBorder="1"/>
    <xf numFmtId="0" fontId="32" fillId="18" borderId="0" xfId="0" applyFont="1" applyFill="1"/>
    <xf numFmtId="2" fontId="49" fillId="14" borderId="4" xfId="0" applyNumberFormat="1" applyFont="1" applyFill="1" applyBorder="1"/>
    <xf numFmtId="2" fontId="49" fillId="14" borderId="6" xfId="0" applyNumberFormat="1" applyFont="1" applyFill="1" applyBorder="1"/>
    <xf numFmtId="2" fontId="49" fillId="14" borderId="5" xfId="0" applyNumberFormat="1" applyFont="1" applyFill="1" applyBorder="1"/>
    <xf numFmtId="0" fontId="61" fillId="8" borderId="43" xfId="0" applyFont="1" applyFill="1" applyBorder="1"/>
    <xf numFmtId="2" fontId="61" fillId="31" borderId="24" xfId="0" applyNumberFormat="1" applyFont="1" applyFill="1" applyBorder="1"/>
    <xf numFmtId="2" fontId="61" fillId="22" borderId="24" xfId="0" applyNumberFormat="1" applyFont="1" applyFill="1" applyBorder="1"/>
    <xf numFmtId="0" fontId="59" fillId="8" borderId="14" xfId="0" applyFont="1" applyFill="1" applyBorder="1"/>
    <xf numFmtId="0" fontId="54" fillId="8" borderId="16" xfId="0" applyFont="1" applyFill="1" applyBorder="1"/>
    <xf numFmtId="0" fontId="54" fillId="8" borderId="15" xfId="0" applyFont="1" applyFill="1" applyBorder="1"/>
    <xf numFmtId="0" fontId="54" fillId="8" borderId="17" xfId="0" applyFont="1" applyFill="1" applyBorder="1"/>
    <xf numFmtId="0" fontId="54" fillId="8" borderId="0" xfId="0" applyFont="1" applyFill="1" applyBorder="1"/>
    <xf numFmtId="0" fontId="54" fillId="8" borderId="18" xfId="0" applyFont="1" applyFill="1" applyBorder="1"/>
    <xf numFmtId="0" fontId="54" fillId="8" borderId="17" xfId="0" applyFont="1" applyFill="1" applyBorder="1" applyAlignment="1">
      <alignment vertical="top" wrapText="1"/>
    </xf>
    <xf numFmtId="0" fontId="54" fillId="8" borderId="0" xfId="0" applyFont="1" applyFill="1" applyBorder="1" applyAlignment="1">
      <alignment vertical="top" wrapText="1"/>
    </xf>
    <xf numFmtId="0" fontId="54" fillId="8" borderId="17" xfId="0" applyFont="1" applyFill="1" applyBorder="1" applyAlignment="1">
      <alignment vertical="top"/>
    </xf>
    <xf numFmtId="0" fontId="54" fillId="8" borderId="17" xfId="0" quotePrefix="1" applyFont="1" applyFill="1" applyBorder="1"/>
    <xf numFmtId="0" fontId="54" fillId="8" borderId="0" xfId="0" applyFont="1" applyFill="1" applyBorder="1" applyAlignment="1">
      <alignment vertical="top"/>
    </xf>
    <xf numFmtId="0" fontId="54" fillId="8" borderId="17" xfId="0" applyFont="1" applyFill="1" applyBorder="1" applyAlignment="1">
      <alignment horizontal="left" indent="1"/>
    </xf>
    <xf numFmtId="0" fontId="54" fillId="8" borderId="17" xfId="0" applyFont="1" applyFill="1" applyBorder="1" applyAlignment="1">
      <alignment horizontal="left" vertical="top" indent="1"/>
    </xf>
    <xf numFmtId="0" fontId="54" fillId="8" borderId="17" xfId="0" applyFont="1" applyFill="1" applyBorder="1" applyAlignment="1"/>
    <xf numFmtId="0" fontId="54" fillId="8" borderId="18" xfId="0" applyFont="1" applyFill="1" applyBorder="1" applyAlignment="1"/>
    <xf numFmtId="0" fontId="32" fillId="8" borderId="0" xfId="0" applyFont="1" applyFill="1" applyBorder="1" applyAlignment="1">
      <alignment vertical="top"/>
    </xf>
    <xf numFmtId="0" fontId="32" fillId="8" borderId="0" xfId="0" quotePrefix="1" applyFont="1" applyFill="1" applyBorder="1" applyAlignment="1">
      <alignment vertical="top"/>
    </xf>
    <xf numFmtId="0" fontId="54" fillId="8" borderId="17" xfId="0" quotePrefix="1" applyFont="1" applyFill="1" applyBorder="1" applyAlignment="1">
      <alignment vertical="top"/>
    </xf>
    <xf numFmtId="0" fontId="54" fillId="0" borderId="17" xfId="0" applyFont="1" applyBorder="1"/>
    <xf numFmtId="0" fontId="54" fillId="0" borderId="0" xfId="0" applyFont="1" applyBorder="1"/>
    <xf numFmtId="0" fontId="54" fillId="0" borderId="18" xfId="0" applyFont="1" applyBorder="1"/>
    <xf numFmtId="0" fontId="0" fillId="8" borderId="19" xfId="0" applyFill="1" applyBorder="1"/>
    <xf numFmtId="0" fontId="0" fillId="8" borderId="21" xfId="0" applyFill="1" applyBorder="1"/>
    <xf numFmtId="0" fontId="54" fillId="8" borderId="21" xfId="0" applyFont="1" applyFill="1" applyBorder="1"/>
    <xf numFmtId="0" fontId="54" fillId="8" borderId="20" xfId="0" applyFont="1" applyFill="1" applyBorder="1"/>
    <xf numFmtId="0" fontId="65" fillId="18" borderId="17" xfId="0" applyFont="1" applyFill="1" applyBorder="1" applyAlignment="1">
      <alignment vertical="top" wrapText="1"/>
    </xf>
    <xf numFmtId="0" fontId="65" fillId="18" borderId="0" xfId="0" applyFont="1" applyFill="1" applyBorder="1" applyAlignment="1">
      <alignment vertical="top" wrapText="1"/>
    </xf>
    <xf numFmtId="0" fontId="54" fillId="18" borderId="0" xfId="0" applyFont="1" applyFill="1" applyBorder="1"/>
    <xf numFmtId="0" fontId="64" fillId="18" borderId="0" xfId="0" applyFont="1" applyFill="1" applyBorder="1" applyAlignment="1">
      <alignment vertical="top"/>
    </xf>
    <xf numFmtId="0" fontId="54" fillId="18" borderId="0" xfId="0" applyFont="1" applyFill="1" applyBorder="1" applyAlignment="1"/>
    <xf numFmtId="0" fontId="0" fillId="18" borderId="0" xfId="0" applyFill="1" applyBorder="1" applyAlignment="1"/>
    <xf numFmtId="0" fontId="69" fillId="0" borderId="0" xfId="0" applyFont="1"/>
    <xf numFmtId="0" fontId="63" fillId="3" borderId="1" xfId="0" applyFont="1" applyFill="1" applyBorder="1"/>
    <xf numFmtId="0" fontId="0" fillId="34" borderId="0" xfId="0" applyFill="1"/>
    <xf numFmtId="0" fontId="69" fillId="34" borderId="0" xfId="0" applyFont="1" applyFill="1"/>
    <xf numFmtId="1" fontId="69" fillId="34" borderId="0" xfId="0" applyNumberFormat="1" applyFont="1" applyFill="1"/>
    <xf numFmtId="0" fontId="64" fillId="8" borderId="14" xfId="0" applyFont="1" applyFill="1" applyBorder="1" applyAlignment="1">
      <alignment horizontal="center" vertical="top" wrapText="1"/>
    </xf>
    <xf numFmtId="0" fontId="64" fillId="8" borderId="16" xfId="0" applyFont="1" applyFill="1" applyBorder="1" applyAlignment="1">
      <alignment horizontal="center" vertical="top" wrapText="1"/>
    </xf>
    <xf numFmtId="0" fontId="64" fillId="8" borderId="15" xfId="0" applyFont="1" applyFill="1" applyBorder="1" applyAlignment="1">
      <alignment horizontal="center" vertical="top" wrapText="1"/>
    </xf>
    <xf numFmtId="0" fontId="64" fillId="8" borderId="17" xfId="0" applyFont="1" applyFill="1" applyBorder="1" applyAlignment="1">
      <alignment horizontal="center" vertical="top" wrapText="1"/>
    </xf>
    <xf numFmtId="0" fontId="64" fillId="8" borderId="0" xfId="0" applyFont="1" applyFill="1" applyBorder="1" applyAlignment="1">
      <alignment horizontal="center" vertical="top" wrapText="1"/>
    </xf>
    <xf numFmtId="0" fontId="64" fillId="8" borderId="18" xfId="0" applyFont="1" applyFill="1" applyBorder="1" applyAlignment="1">
      <alignment horizontal="center" vertical="top" wrapText="1"/>
    </xf>
    <xf numFmtId="0" fontId="64" fillId="8" borderId="19" xfId="0" applyFont="1" applyFill="1" applyBorder="1" applyAlignment="1">
      <alignment horizontal="center" vertical="top" wrapText="1"/>
    </xf>
    <xf numFmtId="0" fontId="64" fillId="8" borderId="21" xfId="0" applyFont="1" applyFill="1" applyBorder="1" applyAlignment="1">
      <alignment horizontal="center" vertical="top" wrapText="1"/>
    </xf>
    <xf numFmtId="0" fontId="64" fillId="8" borderId="20" xfId="0" applyFont="1" applyFill="1" applyBorder="1" applyAlignment="1">
      <alignment horizontal="center" vertical="top" wrapText="1"/>
    </xf>
    <xf numFmtId="0" fontId="65" fillId="8" borderId="7" xfId="0" applyFont="1" applyFill="1" applyBorder="1" applyAlignment="1">
      <alignment horizontal="center" vertical="top" wrapText="1"/>
    </xf>
    <xf numFmtId="0" fontId="65" fillId="8" borderId="3" xfId="0" applyFont="1" applyFill="1" applyBorder="1" applyAlignment="1">
      <alignment horizontal="center" vertical="top" wrapText="1"/>
    </xf>
    <xf numFmtId="0" fontId="65" fillId="8" borderId="8" xfId="0" applyFont="1" applyFill="1" applyBorder="1" applyAlignment="1">
      <alignment horizontal="center" vertical="top" wrapText="1"/>
    </xf>
    <xf numFmtId="0" fontId="65" fillId="8" borderId="9" xfId="0" applyFont="1" applyFill="1" applyBorder="1" applyAlignment="1">
      <alignment horizontal="center" vertical="top" wrapText="1"/>
    </xf>
    <xf numFmtId="0" fontId="65" fillId="8" borderId="0" xfId="0" applyFont="1" applyFill="1" applyBorder="1" applyAlignment="1">
      <alignment horizontal="center" vertical="top" wrapText="1"/>
    </xf>
    <xf numFmtId="0" fontId="65" fillId="8" borderId="10" xfId="0" applyFont="1" applyFill="1" applyBorder="1" applyAlignment="1">
      <alignment horizontal="center" vertical="top" wrapText="1"/>
    </xf>
    <xf numFmtId="0" fontId="65" fillId="8" borderId="11" xfId="0" applyFont="1" applyFill="1" applyBorder="1" applyAlignment="1">
      <alignment horizontal="center" vertical="top" wrapText="1"/>
    </xf>
    <xf numFmtId="0" fontId="65" fillId="8" borderId="12" xfId="0" applyFont="1" applyFill="1" applyBorder="1" applyAlignment="1">
      <alignment horizontal="center" vertical="top" wrapText="1"/>
    </xf>
    <xf numFmtId="0" fontId="65" fillId="8" borderId="13" xfId="0" applyFont="1" applyFill="1" applyBorder="1" applyAlignment="1">
      <alignment horizontal="center" vertical="top" wrapText="1"/>
    </xf>
    <xf numFmtId="0" fontId="13" fillId="10" borderId="0" xfId="1" applyFont="1" applyFill="1" applyBorder="1" applyAlignment="1">
      <alignment horizontal="center" vertical="center" wrapText="1"/>
    </xf>
    <xf numFmtId="0" fontId="12" fillId="9" borderId="0" xfId="0" applyFont="1" applyFill="1" applyBorder="1" applyAlignment="1">
      <alignment horizontal="center" vertical="center"/>
    </xf>
    <xf numFmtId="0" fontId="12" fillId="11" borderId="0" xfId="0" applyFont="1" applyFill="1" applyBorder="1" applyAlignment="1">
      <alignment horizontal="center" vertical="center" wrapText="1"/>
    </xf>
    <xf numFmtId="0" fontId="64" fillId="18" borderId="0" xfId="0" applyFont="1" applyFill="1" applyBorder="1" applyAlignment="1">
      <alignment horizontal="left" vertical="top"/>
    </xf>
    <xf numFmtId="0" fontId="65" fillId="18" borderId="0" xfId="0" applyFont="1" applyFill="1" applyBorder="1" applyAlignment="1">
      <alignment horizontal="left" vertical="top" wrapText="1"/>
    </xf>
    <xf numFmtId="0" fontId="12" fillId="12" borderId="0" xfId="0" applyFont="1" applyFill="1" applyBorder="1" applyAlignment="1">
      <alignment horizontal="center" vertical="center" wrapText="1"/>
    </xf>
    <xf numFmtId="0" fontId="12" fillId="10" borderId="0" xfId="0" applyFont="1" applyFill="1" applyBorder="1" applyAlignment="1">
      <alignment horizontal="center" vertical="center" wrapText="1"/>
    </xf>
    <xf numFmtId="0" fontId="54" fillId="8" borderId="17" xfId="0" applyFont="1" applyFill="1" applyBorder="1" applyAlignment="1">
      <alignment horizontal="left" vertical="top" wrapText="1"/>
    </xf>
    <xf numFmtId="0" fontId="54" fillId="8" borderId="0" xfId="0" applyFont="1" applyFill="1" applyBorder="1" applyAlignment="1">
      <alignment horizontal="left" vertical="top" wrapText="1"/>
    </xf>
    <xf numFmtId="0" fontId="54" fillId="8" borderId="18" xfId="0" applyFont="1" applyFill="1" applyBorder="1" applyAlignment="1">
      <alignment horizontal="left" vertical="top" wrapText="1"/>
    </xf>
    <xf numFmtId="0" fontId="8" fillId="8" borderId="0" xfId="0" applyFont="1" applyFill="1" applyBorder="1" applyAlignment="1">
      <alignment horizontal="left" wrapText="1"/>
    </xf>
    <xf numFmtId="0" fontId="32" fillId="8" borderId="0" xfId="0" applyFont="1" applyFill="1" applyBorder="1" applyAlignment="1">
      <alignment horizontal="left" wrapText="1"/>
    </xf>
    <xf numFmtId="0" fontId="32" fillId="8" borderId="0" xfId="0" applyFont="1" applyFill="1" applyBorder="1" applyAlignment="1">
      <alignment horizontal="left" vertical="top" wrapText="1"/>
    </xf>
    <xf numFmtId="0" fontId="55" fillId="8" borderId="0" xfId="0" applyFont="1" applyFill="1" applyAlignment="1">
      <alignment horizontal="center" vertical="top" wrapText="1"/>
    </xf>
    <xf numFmtId="0" fontId="56" fillId="2" borderId="0" xfId="0" applyFont="1" applyFill="1" applyAlignment="1">
      <alignment horizontal="left"/>
    </xf>
    <xf numFmtId="0" fontId="40" fillId="15" borderId="17" xfId="0" applyFont="1" applyFill="1" applyBorder="1" applyAlignment="1">
      <alignment horizontal="left" wrapText="1"/>
    </xf>
    <xf numFmtId="0" fontId="40" fillId="15" borderId="0" xfId="0" applyFont="1" applyFill="1" applyBorder="1" applyAlignment="1">
      <alignment horizontal="left" wrapText="1"/>
    </xf>
    <xf numFmtId="0" fontId="40" fillId="15" borderId="0" xfId="0" applyFont="1" applyFill="1" applyBorder="1" applyAlignment="1">
      <alignment horizontal="center" vertical="top" wrapText="1"/>
    </xf>
    <xf numFmtId="0" fontId="22" fillId="8" borderId="0" xfId="0" applyFont="1" applyFill="1" applyAlignment="1">
      <alignment horizontal="left" vertical="top" wrapText="1"/>
    </xf>
    <xf numFmtId="0" fontId="13" fillId="10" borderId="7" xfId="1" applyFont="1" applyFill="1" applyBorder="1" applyAlignment="1">
      <alignment horizontal="center" vertical="center" wrapText="1"/>
    </xf>
    <xf numFmtId="0" fontId="13" fillId="10" borderId="9" xfId="1" applyFont="1" applyFill="1" applyBorder="1" applyAlignment="1">
      <alignment horizontal="center" vertical="center" wrapText="1"/>
    </xf>
    <xf numFmtId="0" fontId="13" fillId="10" borderId="7" xfId="0" applyFont="1" applyFill="1" applyBorder="1" applyAlignment="1">
      <alignment horizontal="center" vertical="center" wrapText="1"/>
    </xf>
    <xf numFmtId="0" fontId="13" fillId="10" borderId="8" xfId="0" applyFont="1" applyFill="1" applyBorder="1" applyAlignment="1">
      <alignment horizontal="center" vertical="center" wrapText="1"/>
    </xf>
    <xf numFmtId="0" fontId="13" fillId="10" borderId="9" xfId="0" applyFont="1" applyFill="1" applyBorder="1" applyAlignment="1">
      <alignment horizontal="center" vertical="center" wrapText="1"/>
    </xf>
    <xf numFmtId="0" fontId="13" fillId="10" borderId="10" xfId="0" applyFont="1" applyFill="1" applyBorder="1" applyAlignment="1">
      <alignment horizontal="center" vertical="center" wrapText="1"/>
    </xf>
    <xf numFmtId="0" fontId="13" fillId="10" borderId="11" xfId="0" applyFont="1" applyFill="1" applyBorder="1" applyAlignment="1">
      <alignment horizontal="center" vertical="center" wrapText="1"/>
    </xf>
    <xf numFmtId="0" fontId="13" fillId="10" borderId="13" xfId="0" applyFont="1" applyFill="1" applyBorder="1" applyAlignment="1">
      <alignment horizontal="center" vertical="center" wrapText="1"/>
    </xf>
    <xf numFmtId="0" fontId="24" fillId="10" borderId="0" xfId="1" applyFont="1" applyFill="1" applyBorder="1" applyAlignment="1">
      <alignment horizontal="center" vertical="center" wrapText="1"/>
    </xf>
    <xf numFmtId="0" fontId="12" fillId="24" borderId="40" xfId="0" applyFont="1" applyFill="1" applyBorder="1" applyAlignment="1">
      <alignment horizontal="center"/>
    </xf>
    <xf numFmtId="0" fontId="12" fillId="24" borderId="42" xfId="0" applyFont="1" applyFill="1" applyBorder="1" applyAlignment="1">
      <alignment horizontal="center"/>
    </xf>
    <xf numFmtId="0" fontId="12" fillId="24" borderId="30" xfId="0" applyFont="1" applyFill="1" applyBorder="1" applyAlignment="1">
      <alignment horizontal="center" vertical="top" wrapText="1"/>
    </xf>
    <xf numFmtId="0" fontId="12" fillId="24" borderId="33" xfId="0" applyFont="1" applyFill="1" applyBorder="1" applyAlignment="1">
      <alignment horizontal="center" vertical="top" wrapText="1"/>
    </xf>
    <xf numFmtId="0" fontId="12" fillId="24" borderId="34" xfId="0" applyFont="1" applyFill="1" applyBorder="1" applyAlignment="1">
      <alignment horizontal="center" vertical="top" wrapText="1"/>
    </xf>
    <xf numFmtId="0" fontId="23" fillId="8" borderId="29" xfId="0" applyFont="1" applyFill="1" applyBorder="1" applyAlignment="1">
      <alignment horizontal="left" vertical="top" wrapText="1"/>
    </xf>
    <xf numFmtId="0" fontId="23" fillId="8" borderId="36" xfId="0" applyFont="1" applyFill="1" applyBorder="1" applyAlignment="1">
      <alignment horizontal="left" vertical="top" wrapText="1"/>
    </xf>
    <xf numFmtId="0" fontId="12" fillId="24" borderId="41" xfId="0" applyFont="1" applyFill="1" applyBorder="1" applyAlignment="1">
      <alignment horizontal="center"/>
    </xf>
    <xf numFmtId="0" fontId="12" fillId="24" borderId="38" xfId="0" applyFont="1" applyFill="1" applyBorder="1" applyAlignment="1">
      <alignment horizontal="center" vertical="top" wrapText="1"/>
    </xf>
    <xf numFmtId="0" fontId="12" fillId="24" borderId="39" xfId="0" applyFont="1" applyFill="1" applyBorder="1" applyAlignment="1">
      <alignment horizontal="center" vertical="top" wrapText="1"/>
    </xf>
    <xf numFmtId="1" fontId="8" fillId="25" borderId="38" xfId="0" applyNumberFormat="1" applyFont="1" applyFill="1" applyBorder="1" applyAlignment="1">
      <alignment horizontal="center" vertical="center" wrapText="1"/>
    </xf>
    <xf numFmtId="1" fontId="8" fillId="25" borderId="39" xfId="0" applyNumberFormat="1" applyFont="1" applyFill="1" applyBorder="1" applyAlignment="1">
      <alignment horizontal="center" vertical="center" wrapText="1"/>
    </xf>
    <xf numFmtId="1" fontId="41" fillId="25" borderId="38" xfId="0" applyNumberFormat="1" applyFont="1" applyFill="1" applyBorder="1" applyAlignment="1">
      <alignment horizontal="center" vertical="center" wrapText="1"/>
    </xf>
    <xf numFmtId="1" fontId="41" fillId="25" borderId="39" xfId="0" applyNumberFormat="1" applyFont="1" applyFill="1" applyBorder="1" applyAlignment="1">
      <alignment horizontal="center" vertical="center" wrapText="1"/>
    </xf>
    <xf numFmtId="0" fontId="23" fillId="0" borderId="29" xfId="0" applyFont="1" applyBorder="1" applyAlignment="1">
      <alignment horizontal="left" vertical="top" wrapText="1"/>
    </xf>
    <xf numFmtId="0" fontId="23" fillId="0" borderId="36" xfId="0" applyFont="1" applyBorder="1" applyAlignment="1">
      <alignment horizontal="left" vertical="top" wrapText="1"/>
    </xf>
    <xf numFmtId="0" fontId="12" fillId="24" borderId="30" xfId="0" applyFont="1" applyFill="1" applyBorder="1" applyAlignment="1">
      <alignment horizontal="center" vertical="top"/>
    </xf>
    <xf numFmtId="0" fontId="12" fillId="24" borderId="34" xfId="0" applyFont="1" applyFill="1" applyBorder="1" applyAlignment="1">
      <alignment horizontal="center" vertical="top"/>
    </xf>
    <xf numFmtId="0" fontId="12" fillId="24" borderId="31" xfId="0" applyFont="1" applyFill="1" applyBorder="1" applyAlignment="1">
      <alignment horizontal="center" vertical="top"/>
    </xf>
    <xf numFmtId="0" fontId="12" fillId="24" borderId="35" xfId="0" applyFont="1" applyFill="1" applyBorder="1" applyAlignment="1">
      <alignment horizontal="center" vertical="top"/>
    </xf>
    <xf numFmtId="0" fontId="12" fillId="24" borderId="32" xfId="0" applyFont="1" applyFill="1" applyBorder="1" applyAlignment="1">
      <alignment horizontal="center" vertical="top"/>
    </xf>
    <xf numFmtId="0" fontId="12" fillId="24" borderId="36" xfId="0" applyFont="1" applyFill="1" applyBorder="1" applyAlignment="1">
      <alignment horizontal="center" vertical="top"/>
    </xf>
    <xf numFmtId="0" fontId="22" fillId="8" borderId="18" xfId="0" applyFont="1" applyFill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23" fillId="8" borderId="29" xfId="0" applyFont="1" applyFill="1" applyBorder="1" applyAlignment="1">
      <alignment horizontal="center" vertical="top" wrapText="1"/>
    </xf>
    <xf numFmtId="0" fontId="23" fillId="8" borderId="36" xfId="0" applyFont="1" applyFill="1" applyBorder="1" applyAlignment="1">
      <alignment horizontal="center" vertical="top" wrapText="1"/>
    </xf>
    <xf numFmtId="0" fontId="12" fillId="24" borderId="31" xfId="0" applyFont="1" applyFill="1" applyBorder="1" applyAlignment="1">
      <alignment horizontal="center" vertical="top" wrapText="1"/>
    </xf>
    <xf numFmtId="0" fontId="12" fillId="24" borderId="0" xfId="0" applyFont="1" applyFill="1" applyBorder="1" applyAlignment="1">
      <alignment horizontal="center" vertical="top" wrapText="1"/>
    </xf>
    <xf numFmtId="0" fontId="12" fillId="24" borderId="35" xfId="0" applyFont="1" applyFill="1" applyBorder="1" applyAlignment="1">
      <alignment horizontal="center" vertical="top" wrapText="1"/>
    </xf>
    <xf numFmtId="0" fontId="12" fillId="24" borderId="32" xfId="0" applyFont="1" applyFill="1" applyBorder="1" applyAlignment="1">
      <alignment horizontal="center" vertical="top" wrapText="1"/>
    </xf>
    <xf numFmtId="0" fontId="12" fillId="24" borderId="29" xfId="0" applyFont="1" applyFill="1" applyBorder="1" applyAlignment="1">
      <alignment horizontal="center" vertical="top" wrapText="1"/>
    </xf>
    <xf numFmtId="0" fontId="12" fillId="24" borderId="36" xfId="0" applyFont="1" applyFill="1" applyBorder="1" applyAlignment="1">
      <alignment horizontal="center" vertical="top" wrapText="1"/>
    </xf>
    <xf numFmtId="0" fontId="12" fillId="24" borderId="33" xfId="0" applyFont="1" applyFill="1" applyBorder="1" applyAlignment="1">
      <alignment horizontal="center" vertical="center"/>
    </xf>
    <xf numFmtId="0" fontId="12" fillId="24" borderId="34" xfId="0" applyFont="1" applyFill="1" applyBorder="1" applyAlignment="1">
      <alignment horizontal="center" vertical="center"/>
    </xf>
    <xf numFmtId="0" fontId="12" fillId="24" borderId="0" xfId="0" applyFont="1" applyFill="1" applyBorder="1" applyAlignment="1">
      <alignment horizontal="center" vertical="center"/>
    </xf>
    <xf numFmtId="0" fontId="12" fillId="24" borderId="35" xfId="0" applyFont="1" applyFill="1" applyBorder="1" applyAlignment="1">
      <alignment horizontal="center" vertical="center"/>
    </xf>
    <xf numFmtId="0" fontId="12" fillId="24" borderId="29" xfId="0" applyFont="1" applyFill="1" applyBorder="1" applyAlignment="1">
      <alignment horizontal="center" vertical="center"/>
    </xf>
    <xf numFmtId="0" fontId="12" fillId="24" borderId="36" xfId="0" applyFont="1" applyFill="1" applyBorder="1" applyAlignment="1">
      <alignment horizontal="center" vertical="center"/>
    </xf>
    <xf numFmtId="0" fontId="12" fillId="24" borderId="30" xfId="0" applyFont="1" applyFill="1" applyBorder="1" applyAlignment="1">
      <alignment horizontal="center"/>
    </xf>
    <xf numFmtId="0" fontId="12" fillId="24" borderId="31" xfId="0" applyFont="1" applyFill="1" applyBorder="1" applyAlignment="1">
      <alignment horizontal="center"/>
    </xf>
    <xf numFmtId="0" fontId="12" fillId="24" borderId="32" xfId="0" applyFont="1" applyFill="1" applyBorder="1" applyAlignment="1">
      <alignment horizontal="center"/>
    </xf>
    <xf numFmtId="0" fontId="12" fillId="25" borderId="38" xfId="0" applyFont="1" applyFill="1" applyBorder="1" applyAlignment="1">
      <alignment horizontal="left" vertical="top"/>
    </xf>
    <xf numFmtId="0" fontId="12" fillId="25" borderId="39" xfId="0" applyFont="1" applyFill="1" applyBorder="1" applyAlignment="1">
      <alignment horizontal="left" vertical="top"/>
    </xf>
    <xf numFmtId="0" fontId="22" fillId="8" borderId="0" xfId="0" applyFont="1" applyFill="1" applyAlignment="1">
      <alignment horizontal="left" vertical="center" wrapText="1"/>
    </xf>
    <xf numFmtId="0" fontId="17" fillId="15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20" fillId="8" borderId="0" xfId="0" applyFont="1" applyFill="1" applyBorder="1" applyAlignment="1">
      <alignment horizontal="center" vertical="top" wrapText="1"/>
    </xf>
    <xf numFmtId="0" fontId="21" fillId="10" borderId="4" xfId="0" applyFont="1" applyFill="1" applyBorder="1" applyAlignment="1">
      <alignment horizontal="center" vertical="center" wrapText="1"/>
    </xf>
    <xf numFmtId="0" fontId="21" fillId="10" borderId="6" xfId="0" applyFont="1" applyFill="1" applyBorder="1" applyAlignment="1">
      <alignment horizontal="center" vertical="center" wrapText="1"/>
    </xf>
    <xf numFmtId="0" fontId="21" fillId="10" borderId="5" xfId="0" applyFont="1" applyFill="1" applyBorder="1" applyAlignment="1">
      <alignment horizontal="center" vertical="center" wrapText="1"/>
    </xf>
    <xf numFmtId="0" fontId="51" fillId="9" borderId="6" xfId="0" applyFont="1" applyFill="1" applyBorder="1" applyAlignment="1">
      <alignment horizontal="left" vertical="center" wrapText="1"/>
    </xf>
    <xf numFmtId="0" fontId="67" fillId="33" borderId="7" xfId="0" applyFont="1" applyFill="1" applyBorder="1" applyAlignment="1">
      <alignment horizontal="center" vertical="center" wrapText="1"/>
    </xf>
    <xf numFmtId="0" fontId="67" fillId="33" borderId="3" xfId="0" applyFont="1" applyFill="1" applyBorder="1" applyAlignment="1">
      <alignment horizontal="center" vertical="center" wrapText="1"/>
    </xf>
    <xf numFmtId="0" fontId="67" fillId="33" borderId="11" xfId="0" applyFont="1" applyFill="1" applyBorder="1" applyAlignment="1">
      <alignment horizontal="center" vertical="center" wrapText="1"/>
    </xf>
    <xf numFmtId="0" fontId="67" fillId="33" borderId="12" xfId="0" applyFont="1" applyFill="1" applyBorder="1" applyAlignment="1">
      <alignment horizontal="center" vertical="center" wrapText="1"/>
    </xf>
    <xf numFmtId="0" fontId="68" fillId="33" borderId="8" xfId="0" applyFont="1" applyFill="1" applyBorder="1" applyAlignment="1">
      <alignment horizontal="center" vertical="center" wrapText="1"/>
    </xf>
    <xf numFmtId="0" fontId="68" fillId="33" borderId="13" xfId="0" applyFont="1" applyFill="1" applyBorder="1" applyAlignment="1">
      <alignment horizontal="center" vertical="center" wrapText="1"/>
    </xf>
    <xf numFmtId="0" fontId="14" fillId="12" borderId="4" xfId="0" applyFont="1" applyFill="1" applyBorder="1" applyAlignment="1">
      <alignment horizontal="center" vertical="center" wrapText="1"/>
    </xf>
    <xf numFmtId="0" fontId="14" fillId="12" borderId="6" xfId="0" applyFont="1" applyFill="1" applyBorder="1" applyAlignment="1">
      <alignment horizontal="center" vertical="center" wrapText="1"/>
    </xf>
    <xf numFmtId="0" fontId="14" fillId="12" borderId="5" xfId="0" applyFont="1" applyFill="1" applyBorder="1" applyAlignment="1">
      <alignment horizontal="center" vertical="center" wrapText="1"/>
    </xf>
    <xf numFmtId="0" fontId="21" fillId="11" borderId="4" xfId="0" applyFont="1" applyFill="1" applyBorder="1" applyAlignment="1">
      <alignment horizontal="center" vertical="center" wrapText="1"/>
    </xf>
    <xf numFmtId="0" fontId="21" fillId="11" borderId="6" xfId="0" applyFont="1" applyFill="1" applyBorder="1" applyAlignment="1">
      <alignment horizontal="center" vertical="center" wrapText="1"/>
    </xf>
    <xf numFmtId="0" fontId="21" fillId="11" borderId="5" xfId="0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/>
    </xf>
    <xf numFmtId="0" fontId="50" fillId="9" borderId="0" xfId="0" applyFont="1" applyFill="1" applyBorder="1" applyAlignment="1">
      <alignment horizontal="center" vertical="top" wrapText="1"/>
    </xf>
    <xf numFmtId="0" fontId="13" fillId="10" borderId="3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</cellXfs>
  <cellStyles count="8">
    <cellStyle name="Hyperlink" xfId="2" builtinId="8"/>
    <cellStyle name="Procent" xfId="3" builtinId="5"/>
    <cellStyle name="Procent 2" xfId="5"/>
    <cellStyle name="Procent 2 2" xfId="6"/>
    <cellStyle name="Standaard" xfId="0" builtinId="0"/>
    <cellStyle name="Standaard 2" xfId="4"/>
    <cellStyle name="Standaard 3" xfId="1"/>
    <cellStyle name="Valuta" xfId="7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FE7F5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83CAFF"/>
      <rgbColor rgb="00FF99CC"/>
      <rgbColor rgb="00CC99FF"/>
      <rgbColor rgb="00FFCC99"/>
      <rgbColor rgb="003366FF"/>
      <rgbColor rgb="0033CCCC"/>
      <rgbColor rgb="0094BD5E"/>
      <rgbColor rgb="00FFCC00"/>
      <rgbColor rgb="00FF950E"/>
      <rgbColor rgb="00FF6633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99FF99"/>
      <color rgb="FFFFFF99"/>
      <color rgb="FFFFFFCC"/>
      <color rgb="FFCCFFCC"/>
      <color rgb="FF666666"/>
      <color rgb="FF99CC00"/>
      <color rgb="FFCCCC00"/>
      <color rgb="FF00FF00"/>
      <color rgb="FFF4771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28" Type="http://schemas.openxmlformats.org/officeDocument/2006/relationships/customXml" Target="../customXml/item5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Relationship Id="rId27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4791075</xdr:colOff>
      <xdr:row>4</xdr:row>
      <xdr:rowOff>85725</xdr:rowOff>
    </xdr:from>
    <xdr:to>
      <xdr:col>3</xdr:col>
      <xdr:colOff>0</xdr:colOff>
      <xdr:row>6</xdr:row>
      <xdr:rowOff>48746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/>
        <a:srcRect b="18520"/>
        <a:stretch>
          <a:fillRect/>
        </a:stretch>
      </xdr:blipFill>
      <xdr:spPr bwMode="auto">
        <a:xfrm>
          <a:off x="1828800" y="733425"/>
          <a:ext cx="0" cy="28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6981825</xdr:colOff>
      <xdr:row>7</xdr:row>
      <xdr:rowOff>180975</xdr:rowOff>
    </xdr:from>
    <xdr:to>
      <xdr:col>3</xdr:col>
      <xdr:colOff>0</xdr:colOff>
      <xdr:row>8</xdr:row>
      <xdr:rowOff>4483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1304925"/>
          <a:ext cx="0" cy="4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609040</xdr:colOff>
      <xdr:row>1</xdr:row>
      <xdr:rowOff>62234</xdr:rowOff>
    </xdr:from>
    <xdr:to>
      <xdr:col>6</xdr:col>
      <xdr:colOff>182856</xdr:colOff>
      <xdr:row>6</xdr:row>
      <xdr:rowOff>80609</xdr:rowOff>
    </xdr:to>
    <xdr:pic>
      <xdr:nvPicPr>
        <xdr:cNvPr id="4" name="Afbeelding 3" descr="RVO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8640" y="224159"/>
          <a:ext cx="2621816" cy="828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14</xdr:col>
      <xdr:colOff>514350</xdr:colOff>
      <xdr:row>1</xdr:row>
      <xdr:rowOff>62234</xdr:rowOff>
    </xdr:from>
    <xdr:to>
      <xdr:col>18</xdr:col>
      <xdr:colOff>595738</xdr:colOff>
      <xdr:row>6</xdr:row>
      <xdr:rowOff>80609</xdr:rowOff>
    </xdr:to>
    <xdr:pic>
      <xdr:nvPicPr>
        <xdr:cNvPr id="5" name="Afbeelding 4" descr="CE 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048750" y="224159"/>
          <a:ext cx="2519788" cy="82800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13</xdr:row>
      <xdr:rowOff>0</xdr:rowOff>
    </xdr:from>
    <xdr:to>
      <xdr:col>16</xdr:col>
      <xdr:colOff>375</xdr:colOff>
      <xdr:row>14</xdr:row>
      <xdr:rowOff>0</xdr:rowOff>
    </xdr:to>
    <xdr:sp macro="" textlink="">
      <xdr:nvSpPr>
        <xdr:cNvPr id="2" name="Rectangle 73"/>
        <xdr:cNvSpPr>
          <a:spLocks noChangeArrowheads="1"/>
        </xdr:cNvSpPr>
      </xdr:nvSpPr>
      <xdr:spPr bwMode="auto">
        <a:xfrm>
          <a:off x="20193000" y="1371600"/>
          <a:ext cx="810000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</xdr:colOff>
      <xdr:row>13</xdr:row>
      <xdr:rowOff>5953</xdr:rowOff>
    </xdr:from>
    <xdr:to>
      <xdr:col>18</xdr:col>
      <xdr:colOff>0</xdr:colOff>
      <xdr:row>24</xdr:row>
      <xdr:rowOff>0</xdr:rowOff>
    </xdr:to>
    <xdr:sp macro="" textlink="">
      <xdr:nvSpPr>
        <xdr:cNvPr id="3" name="Rectangle 73"/>
        <xdr:cNvSpPr>
          <a:spLocks noChangeArrowheads="1"/>
        </xdr:cNvSpPr>
      </xdr:nvSpPr>
      <xdr:spPr bwMode="auto">
        <a:xfrm>
          <a:off x="21250276" y="1377553"/>
          <a:ext cx="714374" cy="224194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15</xdr:row>
      <xdr:rowOff>0</xdr:rowOff>
    </xdr:from>
    <xdr:to>
      <xdr:col>16</xdr:col>
      <xdr:colOff>375</xdr:colOff>
      <xdr:row>16</xdr:row>
      <xdr:rowOff>0</xdr:rowOff>
    </xdr:to>
    <xdr:sp macro="" textlink="">
      <xdr:nvSpPr>
        <xdr:cNvPr id="4" name="Rectangle 73"/>
        <xdr:cNvSpPr>
          <a:spLocks noChangeArrowheads="1"/>
        </xdr:cNvSpPr>
      </xdr:nvSpPr>
      <xdr:spPr bwMode="auto">
        <a:xfrm>
          <a:off x="20193000" y="1781175"/>
          <a:ext cx="81000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endParaRPr lang="nl-NL"/>
        </a:p>
      </xdr:txBody>
    </xdr:sp>
    <xdr:clientData/>
  </xdr:twoCellAnchor>
  <xdr:twoCellAnchor>
    <xdr:from>
      <xdr:col>15</xdr:col>
      <xdr:colOff>0</xdr:colOff>
      <xdr:row>17</xdr:row>
      <xdr:rowOff>0</xdr:rowOff>
    </xdr:from>
    <xdr:to>
      <xdr:col>15</xdr:col>
      <xdr:colOff>808174</xdr:colOff>
      <xdr:row>18</xdr:row>
      <xdr:rowOff>0</xdr:rowOff>
    </xdr:to>
    <xdr:sp macro="" textlink="">
      <xdr:nvSpPr>
        <xdr:cNvPr id="5" name="Rectangle 73"/>
        <xdr:cNvSpPr>
          <a:spLocks noChangeArrowheads="1"/>
        </xdr:cNvSpPr>
      </xdr:nvSpPr>
      <xdr:spPr bwMode="auto">
        <a:xfrm>
          <a:off x="20193000" y="2190750"/>
          <a:ext cx="808174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19</xdr:row>
      <xdr:rowOff>0</xdr:rowOff>
    </xdr:from>
    <xdr:to>
      <xdr:col>15</xdr:col>
      <xdr:colOff>808174</xdr:colOff>
      <xdr:row>20</xdr:row>
      <xdr:rowOff>0</xdr:rowOff>
    </xdr:to>
    <xdr:sp macro="" textlink="">
      <xdr:nvSpPr>
        <xdr:cNvPr id="6" name="Rectangle 73"/>
        <xdr:cNvSpPr>
          <a:spLocks noChangeArrowheads="1"/>
        </xdr:cNvSpPr>
      </xdr:nvSpPr>
      <xdr:spPr bwMode="auto">
        <a:xfrm>
          <a:off x="20193000" y="2600325"/>
          <a:ext cx="808174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21</xdr:row>
      <xdr:rowOff>0</xdr:rowOff>
    </xdr:from>
    <xdr:to>
      <xdr:col>15</xdr:col>
      <xdr:colOff>808174</xdr:colOff>
      <xdr:row>22</xdr:row>
      <xdr:rowOff>0</xdr:rowOff>
    </xdr:to>
    <xdr:sp macro="" textlink="">
      <xdr:nvSpPr>
        <xdr:cNvPr id="7" name="Rectangle 73"/>
        <xdr:cNvSpPr>
          <a:spLocks noChangeArrowheads="1"/>
        </xdr:cNvSpPr>
      </xdr:nvSpPr>
      <xdr:spPr bwMode="auto">
        <a:xfrm>
          <a:off x="20193000" y="3000375"/>
          <a:ext cx="808174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23</xdr:row>
      <xdr:rowOff>0</xdr:rowOff>
    </xdr:from>
    <xdr:to>
      <xdr:col>15</xdr:col>
      <xdr:colOff>808174</xdr:colOff>
      <xdr:row>24</xdr:row>
      <xdr:rowOff>0</xdr:rowOff>
    </xdr:to>
    <xdr:sp macro="" textlink="">
      <xdr:nvSpPr>
        <xdr:cNvPr id="8" name="Rectangle 73"/>
        <xdr:cNvSpPr>
          <a:spLocks noChangeArrowheads="1"/>
        </xdr:cNvSpPr>
      </xdr:nvSpPr>
      <xdr:spPr bwMode="auto">
        <a:xfrm>
          <a:off x="20193000" y="3409950"/>
          <a:ext cx="808174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1</xdr:colOff>
      <xdr:row>25</xdr:row>
      <xdr:rowOff>4820</xdr:rowOff>
    </xdr:from>
    <xdr:to>
      <xdr:col>17</xdr:col>
      <xdr:colOff>716017</xdr:colOff>
      <xdr:row>27</xdr:row>
      <xdr:rowOff>3501</xdr:rowOff>
    </xdr:to>
    <xdr:sp macro="" textlink="">
      <xdr:nvSpPr>
        <xdr:cNvPr id="9" name="Rectangle 73"/>
        <xdr:cNvSpPr>
          <a:spLocks noChangeArrowheads="1"/>
        </xdr:cNvSpPr>
      </xdr:nvSpPr>
      <xdr:spPr bwMode="auto">
        <a:xfrm>
          <a:off x="21250276" y="3833870"/>
          <a:ext cx="716016" cy="41778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6328</xdr:colOff>
      <xdr:row>26</xdr:row>
      <xdr:rowOff>4161</xdr:rowOff>
    </xdr:from>
    <xdr:to>
      <xdr:col>17</xdr:col>
      <xdr:colOff>1</xdr:colOff>
      <xdr:row>26</xdr:row>
      <xdr:rowOff>4161</xdr:rowOff>
    </xdr:to>
    <xdr:cxnSp macro="">
      <xdr:nvCxnSpPr>
        <xdr:cNvPr id="10" name="Rechte verbindingslijn met pijl 9"/>
        <xdr:cNvCxnSpPr>
          <a:stCxn id="17" idx="3"/>
          <a:endCxn id="9" idx="1"/>
        </xdr:cNvCxnSpPr>
      </xdr:nvCxnSpPr>
      <xdr:spPr>
        <a:xfrm>
          <a:off x="21008953" y="4042761"/>
          <a:ext cx="241323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358009</xdr:colOff>
      <xdr:row>24</xdr:row>
      <xdr:rowOff>0</xdr:rowOff>
    </xdr:from>
    <xdr:to>
      <xdr:col>17</xdr:col>
      <xdr:colOff>358009</xdr:colOff>
      <xdr:row>25</xdr:row>
      <xdr:rowOff>4820</xdr:rowOff>
    </xdr:to>
    <xdr:cxnSp macro="">
      <xdr:nvCxnSpPr>
        <xdr:cNvPr id="11" name="Rechte verbindingslijn met pijl 10"/>
        <xdr:cNvCxnSpPr>
          <a:stCxn id="3" idx="2"/>
          <a:endCxn id="9" idx="0"/>
        </xdr:cNvCxnSpPr>
      </xdr:nvCxnSpPr>
      <xdr:spPr>
        <a:xfrm>
          <a:off x="21608284" y="3619500"/>
          <a:ext cx="0" cy="21437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1</xdr:colOff>
      <xdr:row>28</xdr:row>
      <xdr:rowOff>4820</xdr:rowOff>
    </xdr:from>
    <xdr:to>
      <xdr:col>17</xdr:col>
      <xdr:colOff>716017</xdr:colOff>
      <xdr:row>30</xdr:row>
      <xdr:rowOff>3501</xdr:rowOff>
    </xdr:to>
    <xdr:sp macro="" textlink="">
      <xdr:nvSpPr>
        <xdr:cNvPr id="12" name="Rectangle 73"/>
        <xdr:cNvSpPr>
          <a:spLocks noChangeArrowheads="1"/>
        </xdr:cNvSpPr>
      </xdr:nvSpPr>
      <xdr:spPr bwMode="auto">
        <a:xfrm>
          <a:off x="21250276" y="4462520"/>
          <a:ext cx="716016" cy="4082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6328</xdr:colOff>
      <xdr:row>29</xdr:row>
      <xdr:rowOff>4161</xdr:rowOff>
    </xdr:from>
    <xdr:to>
      <xdr:col>17</xdr:col>
      <xdr:colOff>1</xdr:colOff>
      <xdr:row>29</xdr:row>
      <xdr:rowOff>4161</xdr:rowOff>
    </xdr:to>
    <xdr:cxnSp macro="">
      <xdr:nvCxnSpPr>
        <xdr:cNvPr id="13" name="Rechte verbindingslijn met pijl 12"/>
        <xdr:cNvCxnSpPr>
          <a:stCxn id="18" idx="3"/>
          <a:endCxn id="12" idx="1"/>
        </xdr:cNvCxnSpPr>
      </xdr:nvCxnSpPr>
      <xdr:spPr>
        <a:xfrm>
          <a:off x="21008953" y="4661886"/>
          <a:ext cx="241323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357768</xdr:colOff>
      <xdr:row>27</xdr:row>
      <xdr:rowOff>0</xdr:rowOff>
    </xdr:from>
    <xdr:to>
      <xdr:col>17</xdr:col>
      <xdr:colOff>358009</xdr:colOff>
      <xdr:row>28</xdr:row>
      <xdr:rowOff>4820</xdr:rowOff>
    </xdr:to>
    <xdr:cxnSp macro="">
      <xdr:nvCxnSpPr>
        <xdr:cNvPr id="14" name="Rechte verbindingslijn met pijl 13"/>
        <xdr:cNvCxnSpPr>
          <a:endCxn id="12" idx="0"/>
        </xdr:cNvCxnSpPr>
      </xdr:nvCxnSpPr>
      <xdr:spPr>
        <a:xfrm>
          <a:off x="21608043" y="4248150"/>
          <a:ext cx="241" cy="21437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31</xdr:row>
      <xdr:rowOff>7620</xdr:rowOff>
    </xdr:from>
    <xdr:to>
      <xdr:col>17</xdr:col>
      <xdr:colOff>715536</xdr:colOff>
      <xdr:row>34</xdr:row>
      <xdr:rowOff>4647</xdr:rowOff>
    </xdr:to>
    <xdr:sp macro="" textlink="">
      <xdr:nvSpPr>
        <xdr:cNvPr id="15" name="Rectangle 73"/>
        <xdr:cNvSpPr>
          <a:spLocks noChangeArrowheads="1"/>
        </xdr:cNvSpPr>
      </xdr:nvSpPr>
      <xdr:spPr bwMode="auto">
        <a:xfrm>
          <a:off x="21250275" y="5074920"/>
          <a:ext cx="715536" cy="61615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357768</xdr:colOff>
      <xdr:row>30</xdr:row>
      <xdr:rowOff>4647</xdr:rowOff>
    </xdr:from>
    <xdr:to>
      <xdr:col>17</xdr:col>
      <xdr:colOff>357768</xdr:colOff>
      <xdr:row>31</xdr:row>
      <xdr:rowOff>7620</xdr:rowOff>
    </xdr:to>
    <xdr:cxnSp macro="">
      <xdr:nvCxnSpPr>
        <xdr:cNvPr id="16" name="Rechte verbindingslijn met pijl 15"/>
        <xdr:cNvCxnSpPr>
          <a:endCxn id="15" idx="0"/>
        </xdr:cNvCxnSpPr>
      </xdr:nvCxnSpPr>
      <xdr:spPr>
        <a:xfrm>
          <a:off x="21608043" y="4871922"/>
          <a:ext cx="0" cy="202998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5953</xdr:colOff>
      <xdr:row>25</xdr:row>
      <xdr:rowOff>4820</xdr:rowOff>
    </xdr:from>
    <xdr:to>
      <xdr:col>16</xdr:col>
      <xdr:colOff>6328</xdr:colOff>
      <xdr:row>27</xdr:row>
      <xdr:rowOff>3501</xdr:rowOff>
    </xdr:to>
    <xdr:sp macro="" textlink="">
      <xdr:nvSpPr>
        <xdr:cNvPr id="17" name="Rectangle 73"/>
        <xdr:cNvSpPr>
          <a:spLocks noChangeArrowheads="1"/>
        </xdr:cNvSpPr>
      </xdr:nvSpPr>
      <xdr:spPr bwMode="auto">
        <a:xfrm>
          <a:off x="20198953" y="3833870"/>
          <a:ext cx="810000" cy="41778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5953</xdr:colOff>
      <xdr:row>28</xdr:row>
      <xdr:rowOff>4820</xdr:rowOff>
    </xdr:from>
    <xdr:to>
      <xdr:col>16</xdr:col>
      <xdr:colOff>6328</xdr:colOff>
      <xdr:row>30</xdr:row>
      <xdr:rowOff>3501</xdr:rowOff>
    </xdr:to>
    <xdr:sp macro="" textlink="">
      <xdr:nvSpPr>
        <xdr:cNvPr id="18" name="Rectangle 73"/>
        <xdr:cNvSpPr>
          <a:spLocks noChangeArrowheads="1"/>
        </xdr:cNvSpPr>
      </xdr:nvSpPr>
      <xdr:spPr bwMode="auto">
        <a:xfrm>
          <a:off x="20198953" y="4462520"/>
          <a:ext cx="810000" cy="4082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35</xdr:row>
      <xdr:rowOff>7620</xdr:rowOff>
    </xdr:from>
    <xdr:to>
      <xdr:col>17</xdr:col>
      <xdr:colOff>715536</xdr:colOff>
      <xdr:row>38</xdr:row>
      <xdr:rowOff>4647</xdr:rowOff>
    </xdr:to>
    <xdr:sp macro="" textlink="">
      <xdr:nvSpPr>
        <xdr:cNvPr id="19" name="Rectangle 73"/>
        <xdr:cNvSpPr>
          <a:spLocks noChangeArrowheads="1"/>
        </xdr:cNvSpPr>
      </xdr:nvSpPr>
      <xdr:spPr bwMode="auto">
        <a:xfrm>
          <a:off x="21250275" y="5903595"/>
          <a:ext cx="715536" cy="60662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17</xdr:col>
      <xdr:colOff>357768</xdr:colOff>
      <xdr:row>34</xdr:row>
      <xdr:rowOff>4647</xdr:rowOff>
    </xdr:from>
    <xdr:to>
      <xdr:col>17</xdr:col>
      <xdr:colOff>357768</xdr:colOff>
      <xdr:row>35</xdr:row>
      <xdr:rowOff>7620</xdr:rowOff>
    </xdr:to>
    <xdr:cxnSp macro="">
      <xdr:nvCxnSpPr>
        <xdr:cNvPr id="20" name="Rechte verbindingslijn met pijl 19"/>
        <xdr:cNvCxnSpPr>
          <a:endCxn id="19" idx="0"/>
        </xdr:cNvCxnSpPr>
      </xdr:nvCxnSpPr>
      <xdr:spPr>
        <a:xfrm>
          <a:off x="21608043" y="5691072"/>
          <a:ext cx="0" cy="212523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0</xdr:colOff>
      <xdr:row>32</xdr:row>
      <xdr:rowOff>0</xdr:rowOff>
    </xdr:from>
    <xdr:to>
      <xdr:col>15</xdr:col>
      <xdr:colOff>808174</xdr:colOff>
      <xdr:row>33</xdr:row>
      <xdr:rowOff>0</xdr:rowOff>
    </xdr:to>
    <xdr:sp macro="" textlink="">
      <xdr:nvSpPr>
        <xdr:cNvPr id="21" name="Rectangle 73"/>
        <xdr:cNvSpPr>
          <a:spLocks noChangeArrowheads="1"/>
        </xdr:cNvSpPr>
      </xdr:nvSpPr>
      <xdr:spPr bwMode="auto">
        <a:xfrm>
          <a:off x="20193000" y="5276850"/>
          <a:ext cx="808174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31</xdr:row>
      <xdr:rowOff>0</xdr:rowOff>
    </xdr:from>
    <xdr:to>
      <xdr:col>20</xdr:col>
      <xdr:colOff>12656</xdr:colOff>
      <xdr:row>33</xdr:row>
      <xdr:rowOff>194096</xdr:rowOff>
    </xdr:to>
    <xdr:sp macro="" textlink="">
      <xdr:nvSpPr>
        <xdr:cNvPr id="22" name="Rectangle 73"/>
        <xdr:cNvSpPr>
          <a:spLocks noChangeArrowheads="1"/>
        </xdr:cNvSpPr>
      </xdr:nvSpPr>
      <xdr:spPr bwMode="auto">
        <a:xfrm>
          <a:off x="22345650" y="5067300"/>
          <a:ext cx="460331" cy="6131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13</xdr:row>
      <xdr:rowOff>103816</xdr:rowOff>
    </xdr:from>
    <xdr:to>
      <xdr:col>17</xdr:col>
      <xdr:colOff>0</xdr:colOff>
      <xdr:row>13</xdr:row>
      <xdr:rowOff>103816</xdr:rowOff>
    </xdr:to>
    <xdr:cxnSp macro="">
      <xdr:nvCxnSpPr>
        <xdr:cNvPr id="23" name="Rechte verbindingslijn met pijl 22"/>
        <xdr:cNvCxnSpPr/>
      </xdr:nvCxnSpPr>
      <xdr:spPr>
        <a:xfrm>
          <a:off x="21002625" y="1475416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15</xdr:row>
      <xdr:rowOff>85957</xdr:rowOff>
    </xdr:from>
    <xdr:to>
      <xdr:col>17</xdr:col>
      <xdr:colOff>0</xdr:colOff>
      <xdr:row>15</xdr:row>
      <xdr:rowOff>85957</xdr:rowOff>
    </xdr:to>
    <xdr:cxnSp macro="">
      <xdr:nvCxnSpPr>
        <xdr:cNvPr id="24" name="Rechte verbindingslijn met pijl 23"/>
        <xdr:cNvCxnSpPr/>
      </xdr:nvCxnSpPr>
      <xdr:spPr>
        <a:xfrm>
          <a:off x="21002625" y="1867132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17</xdr:row>
      <xdr:rowOff>103816</xdr:rowOff>
    </xdr:from>
    <xdr:to>
      <xdr:col>17</xdr:col>
      <xdr:colOff>0</xdr:colOff>
      <xdr:row>17</xdr:row>
      <xdr:rowOff>103816</xdr:rowOff>
    </xdr:to>
    <xdr:cxnSp macro="">
      <xdr:nvCxnSpPr>
        <xdr:cNvPr id="25" name="Rechte verbindingslijn met pijl 24"/>
        <xdr:cNvCxnSpPr/>
      </xdr:nvCxnSpPr>
      <xdr:spPr>
        <a:xfrm>
          <a:off x="21002625" y="2294566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19</xdr:row>
      <xdr:rowOff>103816</xdr:rowOff>
    </xdr:from>
    <xdr:to>
      <xdr:col>17</xdr:col>
      <xdr:colOff>0</xdr:colOff>
      <xdr:row>19</xdr:row>
      <xdr:rowOff>103816</xdr:rowOff>
    </xdr:to>
    <xdr:cxnSp macro="">
      <xdr:nvCxnSpPr>
        <xdr:cNvPr id="26" name="Rechte verbindingslijn met pijl 25"/>
        <xdr:cNvCxnSpPr/>
      </xdr:nvCxnSpPr>
      <xdr:spPr>
        <a:xfrm>
          <a:off x="21002625" y="2704141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21</xdr:row>
      <xdr:rowOff>103816</xdr:rowOff>
    </xdr:from>
    <xdr:to>
      <xdr:col>17</xdr:col>
      <xdr:colOff>0</xdr:colOff>
      <xdr:row>21</xdr:row>
      <xdr:rowOff>103816</xdr:rowOff>
    </xdr:to>
    <xdr:cxnSp macro="">
      <xdr:nvCxnSpPr>
        <xdr:cNvPr id="27" name="Rechte verbindingslijn met pijl 26"/>
        <xdr:cNvCxnSpPr/>
      </xdr:nvCxnSpPr>
      <xdr:spPr>
        <a:xfrm>
          <a:off x="21002625" y="3104191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23</xdr:row>
      <xdr:rowOff>103816</xdr:rowOff>
    </xdr:from>
    <xdr:to>
      <xdr:col>17</xdr:col>
      <xdr:colOff>0</xdr:colOff>
      <xdr:row>23</xdr:row>
      <xdr:rowOff>103816</xdr:rowOff>
    </xdr:to>
    <xdr:cxnSp macro="">
      <xdr:nvCxnSpPr>
        <xdr:cNvPr id="28" name="Rechte verbindingslijn met pijl 27"/>
        <xdr:cNvCxnSpPr/>
      </xdr:nvCxnSpPr>
      <xdr:spPr>
        <a:xfrm>
          <a:off x="21002625" y="3513766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32</xdr:row>
      <xdr:rowOff>103816</xdr:rowOff>
    </xdr:from>
    <xdr:to>
      <xdr:col>17</xdr:col>
      <xdr:colOff>0</xdr:colOff>
      <xdr:row>32</xdr:row>
      <xdr:rowOff>103816</xdr:rowOff>
    </xdr:to>
    <xdr:cxnSp macro="">
      <xdr:nvCxnSpPr>
        <xdr:cNvPr id="29" name="Rechte verbindingslijn met pijl 28"/>
        <xdr:cNvCxnSpPr/>
      </xdr:nvCxnSpPr>
      <xdr:spPr>
        <a:xfrm>
          <a:off x="21002625" y="5380666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0</xdr:colOff>
      <xdr:row>13</xdr:row>
      <xdr:rowOff>0</xdr:rowOff>
    </xdr:from>
    <xdr:to>
      <xdr:col>20</xdr:col>
      <xdr:colOff>12656</xdr:colOff>
      <xdr:row>15</xdr:row>
      <xdr:rowOff>194096</xdr:rowOff>
    </xdr:to>
    <xdr:sp macro="" textlink="">
      <xdr:nvSpPr>
        <xdr:cNvPr id="30" name="Rectangle 73"/>
        <xdr:cNvSpPr>
          <a:spLocks noChangeArrowheads="1"/>
        </xdr:cNvSpPr>
      </xdr:nvSpPr>
      <xdr:spPr bwMode="auto">
        <a:xfrm>
          <a:off x="22345650" y="1371600"/>
          <a:ext cx="460331" cy="60367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15</xdr:col>
      <xdr:colOff>0</xdr:colOff>
      <xdr:row>36</xdr:row>
      <xdr:rowOff>0</xdr:rowOff>
    </xdr:from>
    <xdr:to>
      <xdr:col>15</xdr:col>
      <xdr:colOff>808174</xdr:colOff>
      <xdr:row>37</xdr:row>
      <xdr:rowOff>0</xdr:rowOff>
    </xdr:to>
    <xdr:sp macro="" textlink="">
      <xdr:nvSpPr>
        <xdr:cNvPr id="31" name="Rectangle 73"/>
        <xdr:cNvSpPr>
          <a:spLocks noChangeArrowheads="1"/>
        </xdr:cNvSpPr>
      </xdr:nvSpPr>
      <xdr:spPr bwMode="auto">
        <a:xfrm>
          <a:off x="20193000" y="6105525"/>
          <a:ext cx="808174" cy="20002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36</xdr:row>
      <xdr:rowOff>103816</xdr:rowOff>
    </xdr:from>
    <xdr:to>
      <xdr:col>17</xdr:col>
      <xdr:colOff>0</xdr:colOff>
      <xdr:row>36</xdr:row>
      <xdr:rowOff>103816</xdr:rowOff>
    </xdr:to>
    <xdr:cxnSp macro="">
      <xdr:nvCxnSpPr>
        <xdr:cNvPr id="32" name="Rechte verbindingslijn met pijl 31"/>
        <xdr:cNvCxnSpPr/>
      </xdr:nvCxnSpPr>
      <xdr:spPr>
        <a:xfrm>
          <a:off x="21002625" y="6209341"/>
          <a:ext cx="24765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13</xdr:row>
      <xdr:rowOff>0</xdr:rowOff>
    </xdr:from>
    <xdr:to>
      <xdr:col>21</xdr:col>
      <xdr:colOff>0</xdr:colOff>
      <xdr:row>15</xdr:row>
      <xdr:rowOff>194096</xdr:rowOff>
    </xdr:to>
    <xdr:sp macro="" textlink="">
      <xdr:nvSpPr>
        <xdr:cNvPr id="33" name="Rectangle 73"/>
        <xdr:cNvSpPr>
          <a:spLocks noChangeArrowheads="1"/>
        </xdr:cNvSpPr>
      </xdr:nvSpPr>
      <xdr:spPr bwMode="auto">
        <a:xfrm>
          <a:off x="22793325" y="1371600"/>
          <a:ext cx="447675" cy="603671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0</xdr:colOff>
      <xdr:row>14</xdr:row>
      <xdr:rowOff>103816</xdr:rowOff>
    </xdr:from>
    <xdr:to>
      <xdr:col>19</xdr:col>
      <xdr:colOff>0</xdr:colOff>
      <xdr:row>14</xdr:row>
      <xdr:rowOff>103816</xdr:rowOff>
    </xdr:to>
    <xdr:cxnSp macro="">
      <xdr:nvCxnSpPr>
        <xdr:cNvPr id="34" name="Rechte verbindingslijn met pijl 33"/>
        <xdr:cNvCxnSpPr/>
      </xdr:nvCxnSpPr>
      <xdr:spPr>
        <a:xfrm>
          <a:off x="21964650" y="1675441"/>
          <a:ext cx="38100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32</xdr:row>
      <xdr:rowOff>103816</xdr:rowOff>
    </xdr:from>
    <xdr:to>
      <xdr:col>19</xdr:col>
      <xdr:colOff>0</xdr:colOff>
      <xdr:row>32</xdr:row>
      <xdr:rowOff>103816</xdr:rowOff>
    </xdr:to>
    <xdr:cxnSp macro="">
      <xdr:nvCxnSpPr>
        <xdr:cNvPr id="35" name="Rechte verbindingslijn met pijl 34"/>
        <xdr:cNvCxnSpPr/>
      </xdr:nvCxnSpPr>
      <xdr:spPr>
        <a:xfrm>
          <a:off x="21964650" y="5380666"/>
          <a:ext cx="381000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38100</xdr:colOff>
      <xdr:row>12</xdr:row>
      <xdr:rowOff>95250</xdr:rowOff>
    </xdr:from>
    <xdr:to>
      <xdr:col>22</xdr:col>
      <xdr:colOff>495300</xdr:colOff>
      <xdr:row>24</xdr:row>
      <xdr:rowOff>95250</xdr:rowOff>
    </xdr:to>
    <xdr:sp macro="" textlink="">
      <xdr:nvSpPr>
        <xdr:cNvPr id="37" name="Rechteraccolade 36"/>
        <xdr:cNvSpPr/>
      </xdr:nvSpPr>
      <xdr:spPr bwMode="auto">
        <a:xfrm>
          <a:off x="4210050" y="2686050"/>
          <a:ext cx="457200" cy="2171700"/>
        </a:xfrm>
        <a:prstGeom prst="rightBrace">
          <a:avLst>
            <a:gd name="adj1" fmla="val 37249"/>
            <a:gd name="adj2" fmla="val 5000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38100</xdr:colOff>
      <xdr:row>24</xdr:row>
      <xdr:rowOff>85725</xdr:rowOff>
    </xdr:from>
    <xdr:to>
      <xdr:col>22</xdr:col>
      <xdr:colOff>495300</xdr:colOff>
      <xdr:row>30</xdr:row>
      <xdr:rowOff>104775</xdr:rowOff>
    </xdr:to>
    <xdr:sp macro="" textlink="">
      <xdr:nvSpPr>
        <xdr:cNvPr id="38" name="Rechteraccolade 37"/>
        <xdr:cNvSpPr/>
      </xdr:nvSpPr>
      <xdr:spPr bwMode="auto">
        <a:xfrm>
          <a:off x="4210050" y="4848225"/>
          <a:ext cx="457200" cy="1104900"/>
        </a:xfrm>
        <a:prstGeom prst="rightBrace">
          <a:avLst>
            <a:gd name="adj1" fmla="val 37249"/>
            <a:gd name="adj2" fmla="val 5000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38100</xdr:colOff>
      <xdr:row>30</xdr:row>
      <xdr:rowOff>104774</xdr:rowOff>
    </xdr:from>
    <xdr:to>
      <xdr:col>22</xdr:col>
      <xdr:colOff>495300</xdr:colOff>
      <xdr:row>34</xdr:row>
      <xdr:rowOff>85725</xdr:rowOff>
    </xdr:to>
    <xdr:sp macro="" textlink="">
      <xdr:nvSpPr>
        <xdr:cNvPr id="43" name="Rechteraccolade 42"/>
        <xdr:cNvSpPr/>
      </xdr:nvSpPr>
      <xdr:spPr bwMode="auto">
        <a:xfrm>
          <a:off x="4210050" y="5953124"/>
          <a:ext cx="457200" cy="704851"/>
        </a:xfrm>
        <a:prstGeom prst="rightBrace">
          <a:avLst>
            <a:gd name="adj1" fmla="val 37249"/>
            <a:gd name="adj2" fmla="val 5000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47625</xdr:colOff>
      <xdr:row>34</xdr:row>
      <xdr:rowOff>85724</xdr:rowOff>
    </xdr:from>
    <xdr:to>
      <xdr:col>22</xdr:col>
      <xdr:colOff>504825</xdr:colOff>
      <xdr:row>38</xdr:row>
      <xdr:rowOff>66675</xdr:rowOff>
    </xdr:to>
    <xdr:sp macro="" textlink="">
      <xdr:nvSpPr>
        <xdr:cNvPr id="44" name="Rechteraccolade 43"/>
        <xdr:cNvSpPr/>
      </xdr:nvSpPr>
      <xdr:spPr bwMode="auto">
        <a:xfrm>
          <a:off x="4219575" y="6657974"/>
          <a:ext cx="457200" cy="704851"/>
        </a:xfrm>
        <a:prstGeom prst="rightBrace">
          <a:avLst>
            <a:gd name="adj1" fmla="val 37249"/>
            <a:gd name="adj2" fmla="val 50000"/>
          </a:avLst>
        </a:prstGeom>
        <a:ln>
          <a:headEnd type="none" w="med" len="med"/>
          <a:tailEnd type="none" w="med" len="med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 editAs="oneCell">
    <xdr:from>
      <xdr:col>1</xdr:col>
      <xdr:colOff>4791075</xdr:colOff>
      <xdr:row>5</xdr:row>
      <xdr:rowOff>85725</xdr:rowOff>
    </xdr:from>
    <xdr:to>
      <xdr:col>2</xdr:col>
      <xdr:colOff>0</xdr:colOff>
      <xdr:row>7</xdr:row>
      <xdr:rowOff>48746</xdr:rowOff>
    </xdr:to>
    <xdr:pic>
      <xdr:nvPicPr>
        <xdr:cNvPr id="40" name="Afbeelding 39"/>
        <xdr:cNvPicPr>
          <a:picLocks noChangeAspect="1"/>
        </xdr:cNvPicPr>
      </xdr:nvPicPr>
      <xdr:blipFill>
        <a:blip xmlns:r="http://schemas.openxmlformats.org/officeDocument/2006/relationships" r:embed="rId1"/>
        <a:srcRect b="18520"/>
        <a:stretch>
          <a:fillRect/>
        </a:stretch>
      </xdr:blipFill>
      <xdr:spPr bwMode="auto">
        <a:xfrm>
          <a:off x="1828800" y="733425"/>
          <a:ext cx="0" cy="28687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6981825</xdr:colOff>
      <xdr:row>1</xdr:row>
      <xdr:rowOff>180975</xdr:rowOff>
    </xdr:from>
    <xdr:to>
      <xdr:col>2</xdr:col>
      <xdr:colOff>0</xdr:colOff>
      <xdr:row>2</xdr:row>
      <xdr:rowOff>4483</xdr:rowOff>
    </xdr:to>
    <xdr:pic>
      <xdr:nvPicPr>
        <xdr:cNvPr id="41" name="Afbeelding 40"/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1304925"/>
          <a:ext cx="0" cy="4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42831</xdr:colOff>
      <xdr:row>1</xdr:row>
      <xdr:rowOff>125735</xdr:rowOff>
    </xdr:from>
    <xdr:to>
      <xdr:col>16</xdr:col>
      <xdr:colOff>182855</xdr:colOff>
      <xdr:row>6</xdr:row>
      <xdr:rowOff>144110</xdr:rowOff>
    </xdr:to>
    <xdr:pic>
      <xdr:nvPicPr>
        <xdr:cNvPr id="42" name="Afbeelding 41" descr="RVO Log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88498" y="326818"/>
          <a:ext cx="2934024" cy="970875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  <xdr:twoCellAnchor editAs="oneCell">
    <xdr:from>
      <xdr:col>17</xdr:col>
      <xdr:colOff>170389</xdr:colOff>
      <xdr:row>1</xdr:row>
      <xdr:rowOff>136312</xdr:rowOff>
    </xdr:from>
    <xdr:to>
      <xdr:col>23</xdr:col>
      <xdr:colOff>254089</xdr:colOff>
      <xdr:row>6</xdr:row>
      <xdr:rowOff>144282</xdr:rowOff>
    </xdr:to>
    <xdr:pic>
      <xdr:nvPicPr>
        <xdr:cNvPr id="45" name="Afbeelding 44" descr="CE Logo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753472" y="337395"/>
          <a:ext cx="2941200" cy="960470"/>
        </a:xfrm>
        <a:prstGeom prst="rect">
          <a:avLst/>
        </a:prstGeom>
        <a:ln>
          <a:solidFill>
            <a:schemeClr val="accent1"/>
          </a:solidFill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1541</xdr:colOff>
      <xdr:row>6</xdr:row>
      <xdr:rowOff>1179</xdr:rowOff>
    </xdr:from>
    <xdr:to>
      <xdr:col>8</xdr:col>
      <xdr:colOff>822023</xdr:colOff>
      <xdr:row>10</xdr:row>
      <xdr:rowOff>2198</xdr:rowOff>
    </xdr:to>
    <xdr:sp macro="" textlink="">
      <xdr:nvSpPr>
        <xdr:cNvPr id="3" name="Rectangle 73"/>
        <xdr:cNvSpPr>
          <a:spLocks noChangeArrowheads="1"/>
        </xdr:cNvSpPr>
      </xdr:nvSpPr>
      <xdr:spPr bwMode="auto">
        <a:xfrm>
          <a:off x="5391570" y="1794120"/>
          <a:ext cx="1425600" cy="729402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1541</xdr:colOff>
      <xdr:row>11</xdr:row>
      <xdr:rowOff>4820</xdr:rowOff>
    </xdr:from>
    <xdr:to>
      <xdr:col>8</xdr:col>
      <xdr:colOff>822023</xdr:colOff>
      <xdr:row>13</xdr:row>
      <xdr:rowOff>3501</xdr:rowOff>
    </xdr:to>
    <xdr:sp macro="" textlink="">
      <xdr:nvSpPr>
        <xdr:cNvPr id="9" name="Rectangle 73"/>
        <xdr:cNvSpPr>
          <a:spLocks noChangeArrowheads="1"/>
        </xdr:cNvSpPr>
      </xdr:nvSpPr>
      <xdr:spPr bwMode="auto">
        <a:xfrm>
          <a:off x="5391570" y="2705438"/>
          <a:ext cx="1425600" cy="35726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109223</xdr:colOff>
      <xdr:row>10</xdr:row>
      <xdr:rowOff>2198</xdr:rowOff>
    </xdr:from>
    <xdr:to>
      <xdr:col>8</xdr:col>
      <xdr:colOff>109223</xdr:colOff>
      <xdr:row>11</xdr:row>
      <xdr:rowOff>4820</xdr:rowOff>
    </xdr:to>
    <xdr:cxnSp macro="">
      <xdr:nvCxnSpPr>
        <xdr:cNvPr id="11" name="Rechte verbindingslijn met pijl 10"/>
        <xdr:cNvCxnSpPr>
          <a:stCxn id="3" idx="2"/>
          <a:endCxn id="9" idx="0"/>
        </xdr:cNvCxnSpPr>
      </xdr:nvCxnSpPr>
      <xdr:spPr>
        <a:xfrm>
          <a:off x="6104370" y="2523522"/>
          <a:ext cx="0" cy="181916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1541</xdr:colOff>
      <xdr:row>14</xdr:row>
      <xdr:rowOff>4820</xdr:rowOff>
    </xdr:from>
    <xdr:to>
      <xdr:col>8</xdr:col>
      <xdr:colOff>822023</xdr:colOff>
      <xdr:row>16</xdr:row>
      <xdr:rowOff>3501</xdr:rowOff>
    </xdr:to>
    <xdr:sp macro="" textlink="">
      <xdr:nvSpPr>
        <xdr:cNvPr id="12" name="Rectangle 73"/>
        <xdr:cNvSpPr>
          <a:spLocks noChangeArrowheads="1"/>
        </xdr:cNvSpPr>
      </xdr:nvSpPr>
      <xdr:spPr bwMode="auto">
        <a:xfrm>
          <a:off x="5391570" y="3243320"/>
          <a:ext cx="1425600" cy="35726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109223</xdr:colOff>
      <xdr:row>13</xdr:row>
      <xdr:rowOff>3501</xdr:rowOff>
    </xdr:from>
    <xdr:to>
      <xdr:col>8</xdr:col>
      <xdr:colOff>109223</xdr:colOff>
      <xdr:row>14</xdr:row>
      <xdr:rowOff>4820</xdr:rowOff>
    </xdr:to>
    <xdr:cxnSp macro="">
      <xdr:nvCxnSpPr>
        <xdr:cNvPr id="14" name="Rechte verbindingslijn met pijl 13"/>
        <xdr:cNvCxnSpPr>
          <a:stCxn id="9" idx="2"/>
          <a:endCxn id="12" idx="0"/>
        </xdr:cNvCxnSpPr>
      </xdr:nvCxnSpPr>
      <xdr:spPr>
        <a:xfrm>
          <a:off x="6104370" y="3062707"/>
          <a:ext cx="0" cy="180613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1541</xdr:colOff>
      <xdr:row>17</xdr:row>
      <xdr:rowOff>7620</xdr:rowOff>
    </xdr:from>
    <xdr:to>
      <xdr:col>8</xdr:col>
      <xdr:colOff>822023</xdr:colOff>
      <xdr:row>21</xdr:row>
      <xdr:rowOff>5725</xdr:rowOff>
    </xdr:to>
    <xdr:sp macro="" textlink="">
      <xdr:nvSpPr>
        <xdr:cNvPr id="15" name="Rectangle 73"/>
        <xdr:cNvSpPr>
          <a:spLocks noChangeArrowheads="1"/>
        </xdr:cNvSpPr>
      </xdr:nvSpPr>
      <xdr:spPr bwMode="auto">
        <a:xfrm>
          <a:off x="5391570" y="3784002"/>
          <a:ext cx="1425600" cy="72648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109223</xdr:colOff>
      <xdr:row>16</xdr:row>
      <xdr:rowOff>3501</xdr:rowOff>
    </xdr:from>
    <xdr:to>
      <xdr:col>8</xdr:col>
      <xdr:colOff>109223</xdr:colOff>
      <xdr:row>17</xdr:row>
      <xdr:rowOff>7620</xdr:rowOff>
    </xdr:to>
    <xdr:cxnSp macro="">
      <xdr:nvCxnSpPr>
        <xdr:cNvPr id="16" name="Rechte verbindingslijn met pijl 15"/>
        <xdr:cNvCxnSpPr>
          <a:stCxn id="12" idx="2"/>
          <a:endCxn id="15" idx="0"/>
        </xdr:cNvCxnSpPr>
      </xdr:nvCxnSpPr>
      <xdr:spPr>
        <a:xfrm>
          <a:off x="6104370" y="3600589"/>
          <a:ext cx="0" cy="183413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1541</xdr:colOff>
      <xdr:row>22</xdr:row>
      <xdr:rowOff>7620</xdr:rowOff>
    </xdr:from>
    <xdr:to>
      <xdr:col>8</xdr:col>
      <xdr:colOff>822023</xdr:colOff>
      <xdr:row>26</xdr:row>
      <xdr:rowOff>4647</xdr:rowOff>
    </xdr:to>
    <xdr:sp macro="" textlink="">
      <xdr:nvSpPr>
        <xdr:cNvPr id="19" name="Rectangle 73"/>
        <xdr:cNvSpPr>
          <a:spLocks noChangeArrowheads="1"/>
        </xdr:cNvSpPr>
      </xdr:nvSpPr>
      <xdr:spPr bwMode="auto">
        <a:xfrm>
          <a:off x="5391570" y="4691679"/>
          <a:ext cx="1425600" cy="77023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109223</xdr:colOff>
      <xdr:row>21</xdr:row>
      <xdr:rowOff>5725</xdr:rowOff>
    </xdr:from>
    <xdr:to>
      <xdr:col>8</xdr:col>
      <xdr:colOff>109223</xdr:colOff>
      <xdr:row>22</xdr:row>
      <xdr:rowOff>7620</xdr:rowOff>
    </xdr:to>
    <xdr:cxnSp macro="">
      <xdr:nvCxnSpPr>
        <xdr:cNvPr id="20" name="Rechte verbindingslijn met pijl 19"/>
        <xdr:cNvCxnSpPr>
          <a:stCxn id="15" idx="2"/>
          <a:endCxn id="19" idx="0"/>
        </xdr:cNvCxnSpPr>
      </xdr:nvCxnSpPr>
      <xdr:spPr>
        <a:xfrm>
          <a:off x="6104370" y="4510490"/>
          <a:ext cx="0" cy="181189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5014</xdr:colOff>
      <xdr:row>17</xdr:row>
      <xdr:rowOff>7620</xdr:rowOff>
    </xdr:from>
    <xdr:to>
      <xdr:col>13</xdr:col>
      <xdr:colOff>5013</xdr:colOff>
      <xdr:row>21</xdr:row>
      <xdr:rowOff>5725</xdr:rowOff>
    </xdr:to>
    <xdr:sp macro="" textlink="">
      <xdr:nvSpPr>
        <xdr:cNvPr id="22" name="Rectangle 73"/>
        <xdr:cNvSpPr>
          <a:spLocks noChangeArrowheads="1"/>
        </xdr:cNvSpPr>
      </xdr:nvSpPr>
      <xdr:spPr bwMode="auto">
        <a:xfrm>
          <a:off x="7765382" y="3817620"/>
          <a:ext cx="1328486" cy="72000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608133</xdr:colOff>
      <xdr:row>6</xdr:row>
      <xdr:rowOff>0</xdr:rowOff>
    </xdr:from>
    <xdr:to>
      <xdr:col>13</xdr:col>
      <xdr:colOff>1</xdr:colOff>
      <xdr:row>10</xdr:row>
      <xdr:rowOff>3300</xdr:rowOff>
    </xdr:to>
    <xdr:sp macro="" textlink="">
      <xdr:nvSpPr>
        <xdr:cNvPr id="30" name="Rectangle 73"/>
        <xdr:cNvSpPr>
          <a:spLocks noChangeArrowheads="1"/>
        </xdr:cNvSpPr>
      </xdr:nvSpPr>
      <xdr:spPr bwMode="auto">
        <a:xfrm>
          <a:off x="7144254" y="1865586"/>
          <a:ext cx="1940626" cy="739024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822023</xdr:colOff>
      <xdr:row>7</xdr:row>
      <xdr:rowOff>186548</xdr:rowOff>
    </xdr:from>
    <xdr:to>
      <xdr:col>10</xdr:col>
      <xdr:colOff>3015</xdr:colOff>
      <xdr:row>7</xdr:row>
      <xdr:rowOff>186586</xdr:rowOff>
    </xdr:to>
    <xdr:cxnSp macro="">
      <xdr:nvCxnSpPr>
        <xdr:cNvPr id="34" name="Rechte verbindingslijn met pijl 33"/>
        <xdr:cNvCxnSpPr>
          <a:stCxn id="3" idx="3"/>
          <a:endCxn id="30" idx="1"/>
        </xdr:cNvCxnSpPr>
      </xdr:nvCxnSpPr>
      <xdr:spPr>
        <a:xfrm flipV="1">
          <a:off x="6817170" y="2158783"/>
          <a:ext cx="615345" cy="38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822023</xdr:colOff>
      <xdr:row>19</xdr:row>
      <xdr:rowOff>12275</xdr:rowOff>
    </xdr:from>
    <xdr:to>
      <xdr:col>11</xdr:col>
      <xdr:colOff>5014</xdr:colOff>
      <xdr:row>19</xdr:row>
      <xdr:rowOff>12275</xdr:rowOff>
    </xdr:to>
    <xdr:cxnSp macro="">
      <xdr:nvCxnSpPr>
        <xdr:cNvPr id="35" name="Rechte verbindingslijn met pijl 34"/>
        <xdr:cNvCxnSpPr>
          <a:stCxn id="15" idx="3"/>
          <a:endCxn id="22" idx="1"/>
        </xdr:cNvCxnSpPr>
      </xdr:nvCxnSpPr>
      <xdr:spPr>
        <a:xfrm>
          <a:off x="6817170" y="4147246"/>
          <a:ext cx="1222462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18</xdr:col>
      <xdr:colOff>22413</xdr:colOff>
      <xdr:row>51</xdr:row>
      <xdr:rowOff>123267</xdr:rowOff>
    </xdr:from>
    <xdr:to>
      <xdr:col>26</xdr:col>
      <xdr:colOff>257735</xdr:colOff>
      <xdr:row>54</xdr:row>
      <xdr:rowOff>118962</xdr:rowOff>
    </xdr:to>
    <xdr:pic>
      <xdr:nvPicPr>
        <xdr:cNvPr id="15368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51207" y="9984443"/>
          <a:ext cx="5076263" cy="5335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542925</xdr:colOff>
      <xdr:row>27</xdr:row>
      <xdr:rowOff>47625</xdr:rowOff>
    </xdr:from>
    <xdr:ext cx="254942" cy="225269"/>
    <xdr:sp macro="" textlink="">
      <xdr:nvSpPr>
        <xdr:cNvPr id="2" name="Tekstvak 1"/>
        <xdr:cNvSpPr txBox="1"/>
      </xdr:nvSpPr>
      <xdr:spPr>
        <a:xfrm>
          <a:off x="9915525" y="5648325"/>
          <a:ext cx="254942" cy="2252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nl-NL" sz="1100"/>
            <a:t>+</a:t>
          </a:r>
        </a:p>
      </xdr:txBody>
    </xdr:sp>
    <xdr:clientData/>
  </xdr:oneCellAnchor>
  <xdr:twoCellAnchor>
    <xdr:from>
      <xdr:col>8</xdr:col>
      <xdr:colOff>0</xdr:colOff>
      <xdr:row>23</xdr:row>
      <xdr:rowOff>95250</xdr:rowOff>
    </xdr:from>
    <xdr:to>
      <xdr:col>8</xdr:col>
      <xdr:colOff>9144</xdr:colOff>
      <xdr:row>23</xdr:row>
      <xdr:rowOff>104394</xdr:rowOff>
    </xdr:to>
    <xdr:sp macro="" textlink="">
      <xdr:nvSpPr>
        <xdr:cNvPr id="3" name="Ovaal 2"/>
        <xdr:cNvSpPr>
          <a:spLocks noChangeAspect="1"/>
        </xdr:cNvSpPr>
      </xdr:nvSpPr>
      <xdr:spPr>
        <a:xfrm>
          <a:off x="4743450" y="4895850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9</xdr:col>
      <xdr:colOff>600075</xdr:colOff>
      <xdr:row>26</xdr:row>
      <xdr:rowOff>104775</xdr:rowOff>
    </xdr:from>
    <xdr:to>
      <xdr:col>9</xdr:col>
      <xdr:colOff>609219</xdr:colOff>
      <xdr:row>26</xdr:row>
      <xdr:rowOff>113919</xdr:rowOff>
    </xdr:to>
    <xdr:sp macro="" textlink="">
      <xdr:nvSpPr>
        <xdr:cNvPr id="4" name="Ovaal 3"/>
        <xdr:cNvSpPr>
          <a:spLocks noChangeAspect="1"/>
        </xdr:cNvSpPr>
      </xdr:nvSpPr>
      <xdr:spPr>
        <a:xfrm>
          <a:off x="5915025" y="5505450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8</xdr:col>
      <xdr:colOff>9144</xdr:colOff>
      <xdr:row>23</xdr:row>
      <xdr:rowOff>99822</xdr:rowOff>
    </xdr:from>
    <xdr:to>
      <xdr:col>9</xdr:col>
      <xdr:colOff>600075</xdr:colOff>
      <xdr:row>26</xdr:row>
      <xdr:rowOff>109347</xdr:rowOff>
    </xdr:to>
    <xdr:cxnSp macro="">
      <xdr:nvCxnSpPr>
        <xdr:cNvPr id="5" name="Gebogen verbindingslijn 4"/>
        <xdr:cNvCxnSpPr>
          <a:stCxn id="3" idx="6"/>
          <a:endCxn id="4" idx="2"/>
        </xdr:cNvCxnSpPr>
      </xdr:nvCxnSpPr>
      <xdr:spPr>
        <a:xfrm>
          <a:off x="4752594" y="4900422"/>
          <a:ext cx="1162431" cy="609600"/>
        </a:xfrm>
        <a:prstGeom prst="bentConnector3">
          <a:avLst>
            <a:gd name="adj1" fmla="val 50000"/>
          </a:avLst>
        </a:prstGeom>
        <a:ln w="19050">
          <a:solidFill>
            <a:schemeClr val="bg1">
              <a:lumMod val="50000"/>
            </a:schemeClr>
          </a:solidFill>
          <a:prstDash val="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619125</xdr:colOff>
      <xdr:row>16</xdr:row>
      <xdr:rowOff>89648</xdr:rowOff>
    </xdr:from>
    <xdr:to>
      <xdr:col>6</xdr:col>
      <xdr:colOff>360807</xdr:colOff>
      <xdr:row>20</xdr:row>
      <xdr:rowOff>83058</xdr:rowOff>
    </xdr:to>
    <xdr:sp macro="" textlink="">
      <xdr:nvSpPr>
        <xdr:cNvPr id="6" name="PIJL-OMLAAG 5"/>
        <xdr:cNvSpPr/>
      </xdr:nvSpPr>
      <xdr:spPr>
        <a:xfrm>
          <a:off x="3297331" y="3126442"/>
          <a:ext cx="660564" cy="75541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oneCellAnchor>
    <xdr:from>
      <xdr:col>3</xdr:col>
      <xdr:colOff>47596</xdr:colOff>
      <xdr:row>17</xdr:row>
      <xdr:rowOff>65881</xdr:rowOff>
    </xdr:from>
    <xdr:ext cx="1640001" cy="456407"/>
    <xdr:sp macro="" textlink="">
      <xdr:nvSpPr>
        <xdr:cNvPr id="7" name="Tekstvak 6"/>
        <xdr:cNvSpPr txBox="1"/>
      </xdr:nvSpPr>
      <xdr:spPr>
        <a:xfrm>
          <a:off x="1437125" y="3304381"/>
          <a:ext cx="1640001" cy="456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Gehaltes </a:t>
          </a:r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  <a:sym typeface="Symbol"/>
            </a:rPr>
            <a:t></a:t>
          </a:r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 opbrengst /hectare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geeft  hoeveelheid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nutriënten per hectare</a:t>
          </a:r>
        </a:p>
      </xdr:txBody>
    </xdr:sp>
    <xdr:clientData/>
  </xdr:oneCellAnchor>
  <xdr:twoCellAnchor>
    <xdr:from>
      <xdr:col>10</xdr:col>
      <xdr:colOff>183265</xdr:colOff>
      <xdr:row>31</xdr:row>
      <xdr:rowOff>66677</xdr:rowOff>
    </xdr:from>
    <xdr:to>
      <xdr:col>10</xdr:col>
      <xdr:colOff>1704980</xdr:colOff>
      <xdr:row>36</xdr:row>
      <xdr:rowOff>180978</xdr:rowOff>
    </xdr:to>
    <xdr:sp macro="" textlink="">
      <xdr:nvSpPr>
        <xdr:cNvPr id="8" name="Gebogen PIJL-OMHOOG 7"/>
        <xdr:cNvSpPr/>
      </xdr:nvSpPr>
      <xdr:spPr>
        <a:xfrm rot="5400000" flipV="1">
          <a:off x="6311460" y="6263832"/>
          <a:ext cx="1114426" cy="1521715"/>
        </a:xfrm>
        <a:prstGeom prst="bentUpArrow">
          <a:avLst>
            <a:gd name="adj1" fmla="val 17308"/>
            <a:gd name="adj2" fmla="val 19444"/>
            <a:gd name="adj3" fmla="val 2500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16</xdr:col>
      <xdr:colOff>657225</xdr:colOff>
      <xdr:row>16</xdr:row>
      <xdr:rowOff>9</xdr:rowOff>
    </xdr:from>
    <xdr:to>
      <xdr:col>16</xdr:col>
      <xdr:colOff>666369</xdr:colOff>
      <xdr:row>16</xdr:row>
      <xdr:rowOff>9153</xdr:rowOff>
    </xdr:to>
    <xdr:sp macro="" textlink="">
      <xdr:nvSpPr>
        <xdr:cNvPr id="9" name="Ovaal 8"/>
        <xdr:cNvSpPr>
          <a:spLocks noChangeAspect="1"/>
        </xdr:cNvSpPr>
      </xdr:nvSpPr>
      <xdr:spPr>
        <a:xfrm>
          <a:off x="12468225" y="2970618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14</xdr:col>
      <xdr:colOff>0</xdr:colOff>
      <xdr:row>27</xdr:row>
      <xdr:rowOff>35720</xdr:rowOff>
    </xdr:from>
    <xdr:to>
      <xdr:col>14</xdr:col>
      <xdr:colOff>9144</xdr:colOff>
      <xdr:row>27</xdr:row>
      <xdr:rowOff>44864</xdr:rowOff>
    </xdr:to>
    <xdr:sp macro="" textlink="">
      <xdr:nvSpPr>
        <xdr:cNvPr id="10" name="Ovaal 9"/>
        <xdr:cNvSpPr>
          <a:spLocks noChangeAspect="1"/>
        </xdr:cNvSpPr>
      </xdr:nvSpPr>
      <xdr:spPr>
        <a:xfrm>
          <a:off x="9982200" y="5636420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14</xdr:col>
      <xdr:colOff>9144</xdr:colOff>
      <xdr:row>16</xdr:row>
      <xdr:rowOff>9154</xdr:rowOff>
    </xdr:from>
    <xdr:to>
      <xdr:col>16</xdr:col>
      <xdr:colOff>661797</xdr:colOff>
      <xdr:row>27</xdr:row>
      <xdr:rowOff>40293</xdr:rowOff>
    </xdr:to>
    <xdr:cxnSp macro="">
      <xdr:nvCxnSpPr>
        <xdr:cNvPr id="11" name="Vorm 10"/>
        <xdr:cNvCxnSpPr>
          <a:stCxn id="9" idx="4"/>
          <a:endCxn id="10" idx="6"/>
        </xdr:cNvCxnSpPr>
      </xdr:nvCxnSpPr>
      <xdr:spPr>
        <a:xfrm rot="5400000">
          <a:off x="10544077" y="3084838"/>
          <a:ext cx="2069894" cy="1803759"/>
        </a:xfrm>
        <a:prstGeom prst="bentConnector2">
          <a:avLst/>
        </a:prstGeom>
        <a:ln w="19050">
          <a:solidFill>
            <a:schemeClr val="bg1">
              <a:lumMod val="50000"/>
            </a:schemeClr>
          </a:solidFill>
          <a:prstDash val="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441763</xdr:colOff>
      <xdr:row>38</xdr:row>
      <xdr:rowOff>190500</xdr:rowOff>
    </xdr:from>
    <xdr:to>
      <xdr:col>6</xdr:col>
      <xdr:colOff>450907</xdr:colOff>
      <xdr:row>39</xdr:row>
      <xdr:rowOff>2575</xdr:rowOff>
    </xdr:to>
    <xdr:sp macro="" textlink="">
      <xdr:nvSpPr>
        <xdr:cNvPr id="12" name="Ovaal 11"/>
        <xdr:cNvSpPr>
          <a:spLocks noChangeAspect="1"/>
        </xdr:cNvSpPr>
      </xdr:nvSpPr>
      <xdr:spPr>
        <a:xfrm>
          <a:off x="3765988" y="7991475"/>
          <a:ext cx="9144" cy="12100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13</xdr:col>
      <xdr:colOff>333375</xdr:colOff>
      <xdr:row>31</xdr:row>
      <xdr:rowOff>0</xdr:rowOff>
    </xdr:from>
    <xdr:to>
      <xdr:col>13</xdr:col>
      <xdr:colOff>342519</xdr:colOff>
      <xdr:row>31</xdr:row>
      <xdr:rowOff>9144</xdr:rowOff>
    </xdr:to>
    <xdr:sp macro="" textlink="">
      <xdr:nvSpPr>
        <xdr:cNvPr id="13" name="Ovaal 12"/>
        <xdr:cNvSpPr>
          <a:spLocks noChangeAspect="1"/>
        </xdr:cNvSpPr>
      </xdr:nvSpPr>
      <xdr:spPr>
        <a:xfrm>
          <a:off x="9705975" y="6400800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6</xdr:col>
      <xdr:colOff>446336</xdr:colOff>
      <xdr:row>31</xdr:row>
      <xdr:rowOff>9143</xdr:rowOff>
    </xdr:from>
    <xdr:to>
      <xdr:col>13</xdr:col>
      <xdr:colOff>337948</xdr:colOff>
      <xdr:row>39</xdr:row>
      <xdr:rowOff>2574</xdr:rowOff>
    </xdr:to>
    <xdr:cxnSp macro="">
      <xdr:nvCxnSpPr>
        <xdr:cNvPr id="14" name="Gebogen verbindingslijn 13"/>
        <xdr:cNvCxnSpPr>
          <a:stCxn id="13" idx="4"/>
          <a:endCxn id="12" idx="4"/>
        </xdr:cNvCxnSpPr>
      </xdr:nvCxnSpPr>
      <xdr:spPr>
        <a:xfrm rot="5400000">
          <a:off x="5943739" y="4236765"/>
          <a:ext cx="1593631" cy="5939987"/>
        </a:xfrm>
        <a:prstGeom prst="bentConnector3">
          <a:avLst>
            <a:gd name="adj1" fmla="val 114561"/>
          </a:avLst>
        </a:prstGeom>
        <a:ln w="19050">
          <a:solidFill>
            <a:schemeClr val="bg1">
              <a:lumMod val="50000"/>
            </a:schemeClr>
          </a:solidFill>
          <a:prstDash val="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114300</xdr:colOff>
      <xdr:row>18</xdr:row>
      <xdr:rowOff>142874</xdr:rowOff>
    </xdr:from>
    <xdr:to>
      <xdr:col>13</xdr:col>
      <xdr:colOff>27432</xdr:colOff>
      <xdr:row>20</xdr:row>
      <xdr:rowOff>83057</xdr:rowOff>
    </xdr:to>
    <xdr:sp macro="" textlink="">
      <xdr:nvSpPr>
        <xdr:cNvPr id="15" name="PIJL-OMLAAG 14"/>
        <xdr:cNvSpPr/>
      </xdr:nvSpPr>
      <xdr:spPr>
        <a:xfrm>
          <a:off x="8877300" y="3943349"/>
          <a:ext cx="522732" cy="340233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oneCellAnchor>
    <xdr:from>
      <xdr:col>10</xdr:col>
      <xdr:colOff>1104900</xdr:colOff>
      <xdr:row>18</xdr:row>
      <xdr:rowOff>144322</xdr:rowOff>
    </xdr:from>
    <xdr:ext cx="1616789" cy="330475"/>
    <xdr:sp macro="" textlink="">
      <xdr:nvSpPr>
        <xdr:cNvPr id="16" name="Tekstvak 15"/>
        <xdr:cNvSpPr txBox="1"/>
      </xdr:nvSpPr>
      <xdr:spPr>
        <a:xfrm>
          <a:off x="7029450" y="3944797"/>
          <a:ext cx="1616789" cy="330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Schatten hoeveel stikstof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beschikbaar is voor gewasgroei</a:t>
          </a:r>
        </a:p>
      </xdr:txBody>
    </xdr:sp>
    <xdr:clientData/>
  </xdr:oneCellAnchor>
  <xdr:twoCellAnchor>
    <xdr:from>
      <xdr:col>5</xdr:col>
      <xdr:colOff>619125</xdr:colOff>
      <xdr:row>28</xdr:row>
      <xdr:rowOff>74543</xdr:rowOff>
    </xdr:from>
    <xdr:to>
      <xdr:col>6</xdr:col>
      <xdr:colOff>360807</xdr:colOff>
      <xdr:row>33</xdr:row>
      <xdr:rowOff>83057</xdr:rowOff>
    </xdr:to>
    <xdr:sp macro="" textlink="">
      <xdr:nvSpPr>
        <xdr:cNvPr id="17" name="PIJL-OMLAAG 16"/>
        <xdr:cNvSpPr/>
      </xdr:nvSpPr>
      <xdr:spPr>
        <a:xfrm>
          <a:off x="3124200" y="5875268"/>
          <a:ext cx="560832" cy="1008639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oneCellAnchor>
    <xdr:from>
      <xdr:col>3</xdr:col>
      <xdr:colOff>36390</xdr:colOff>
      <xdr:row>29</xdr:row>
      <xdr:rowOff>92666</xdr:rowOff>
    </xdr:from>
    <xdr:ext cx="1528367" cy="568617"/>
    <xdr:sp macro="" textlink="">
      <xdr:nvSpPr>
        <xdr:cNvPr id="18" name="Tekstvak 17"/>
        <xdr:cNvSpPr txBox="1"/>
      </xdr:nvSpPr>
      <xdr:spPr>
        <a:xfrm>
          <a:off x="1255590" y="6093416"/>
          <a:ext cx="1528367" cy="5686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Schatten kunstmestbehoefte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op basis van afgevoerde hoe-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veelheid nutriënten en de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stikstofbalans in de bodem</a:t>
          </a:r>
        </a:p>
      </xdr:txBody>
    </xdr:sp>
    <xdr:clientData/>
  </xdr:oneCellAnchor>
  <xdr:oneCellAnchor>
    <xdr:from>
      <xdr:col>15</xdr:col>
      <xdr:colOff>298188</xdr:colOff>
      <xdr:row>24</xdr:row>
      <xdr:rowOff>115962</xdr:rowOff>
    </xdr:from>
    <xdr:ext cx="1016817" cy="449547"/>
    <xdr:sp macro="" textlink="">
      <xdr:nvSpPr>
        <xdr:cNvPr id="19" name="Tekstvak 18"/>
        <xdr:cNvSpPr txBox="1"/>
      </xdr:nvSpPr>
      <xdr:spPr>
        <a:xfrm>
          <a:off x="10728063" y="5116587"/>
          <a:ext cx="1016817" cy="44954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stikstof uit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bodemorganische</a:t>
          </a:r>
          <a:r>
            <a:rPr lang="nl-NL" sz="800" i="1" baseline="0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stof</a:t>
          </a:r>
        </a:p>
      </xdr:txBody>
    </xdr:sp>
    <xdr:clientData/>
  </xdr:oneCellAnchor>
  <xdr:twoCellAnchor>
    <xdr:from>
      <xdr:col>18</xdr:col>
      <xdr:colOff>82826</xdr:colOff>
      <xdr:row>11</xdr:row>
      <xdr:rowOff>107673</xdr:rowOff>
    </xdr:from>
    <xdr:to>
      <xdr:col>18</xdr:col>
      <xdr:colOff>604630</xdr:colOff>
      <xdr:row>11</xdr:row>
      <xdr:rowOff>107673</xdr:rowOff>
    </xdr:to>
    <xdr:cxnSp macro="">
      <xdr:nvCxnSpPr>
        <xdr:cNvPr id="20" name="Rechte verbindingslijn met pijl 19"/>
        <xdr:cNvCxnSpPr/>
      </xdr:nvCxnSpPr>
      <xdr:spPr>
        <a:xfrm flipH="1">
          <a:off x="12036701" y="2908023"/>
          <a:ext cx="521804" cy="0"/>
        </a:xfrm>
        <a:prstGeom prst="straightConnector1">
          <a:avLst/>
        </a:prstGeom>
        <a:ln w="19050">
          <a:solidFill>
            <a:schemeClr val="bg1">
              <a:lumMod val="50000"/>
            </a:schemeClr>
          </a:solidFill>
          <a:prstDash val="dash"/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530088</xdr:colOff>
      <xdr:row>37</xdr:row>
      <xdr:rowOff>99391</xdr:rowOff>
    </xdr:from>
    <xdr:ext cx="1044581" cy="453740"/>
    <xdr:sp macro="" textlink="">
      <xdr:nvSpPr>
        <xdr:cNvPr id="21" name="Tekstvak 20"/>
        <xdr:cNvSpPr txBox="1"/>
      </xdr:nvSpPr>
      <xdr:spPr>
        <a:xfrm>
          <a:off x="8512038" y="7700341"/>
          <a:ext cx="1044581" cy="453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Compensatie voor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stikstofvastlegging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en verliezen</a:t>
          </a:r>
        </a:p>
      </xdr:txBody>
    </xdr:sp>
    <xdr:clientData/>
  </xdr:oneCellAnchor>
  <xdr:oneCellAnchor>
    <xdr:from>
      <xdr:col>8</xdr:col>
      <xdr:colOff>156883</xdr:colOff>
      <xdr:row>21</xdr:row>
      <xdr:rowOff>112059</xdr:rowOff>
    </xdr:from>
    <xdr:ext cx="756617" cy="330475"/>
    <xdr:sp macro="" textlink="">
      <xdr:nvSpPr>
        <xdr:cNvPr id="22" name="Tekstvak 21"/>
        <xdr:cNvSpPr txBox="1"/>
      </xdr:nvSpPr>
      <xdr:spPr>
        <a:xfrm>
          <a:off x="4900333" y="4512609"/>
          <a:ext cx="756617" cy="3304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Stikstof uit </a:t>
          </a:r>
        </a:p>
        <a:p>
          <a:r>
            <a:rPr lang="nl-NL" sz="800" i="1">
              <a:solidFill>
                <a:schemeClr val="bg1">
                  <a:lumMod val="50000"/>
                </a:schemeClr>
              </a:solidFill>
              <a:latin typeface="Trebuchet MS" pitchFamily="34" charset="0"/>
            </a:rPr>
            <a:t>gewasresten</a:t>
          </a:r>
        </a:p>
      </xdr:txBody>
    </xdr:sp>
    <xdr:clientData/>
  </xdr:oneCellAnchor>
  <xdr:oneCellAnchor>
    <xdr:from>
      <xdr:col>8</xdr:col>
      <xdr:colOff>266962</xdr:colOff>
      <xdr:row>9</xdr:row>
      <xdr:rowOff>88007</xdr:rowOff>
    </xdr:from>
    <xdr:ext cx="583814" cy="1664879"/>
    <xdr:sp macro="" textlink="">
      <xdr:nvSpPr>
        <xdr:cNvPr id="23" name="Tekstvak 22"/>
        <xdr:cNvSpPr txBox="1"/>
      </xdr:nvSpPr>
      <xdr:spPr>
        <a:xfrm rot="16200000">
          <a:off x="5161282" y="2230981"/>
          <a:ext cx="1664879" cy="5838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Vul hier de nutrienten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gehaltes van</a:t>
          </a:r>
          <a:r>
            <a:rPr lang="nl-NL" sz="1100" b="1" i="1" baseline="0">
              <a:solidFill>
                <a:srgbClr val="FF0000"/>
              </a:solidFill>
              <a:latin typeface="Trebuchet MS" pitchFamily="34" charset="0"/>
            </a:rPr>
            <a:t> de </a:t>
          </a:r>
        </a:p>
        <a:p>
          <a:pPr algn="ctr"/>
          <a:r>
            <a:rPr lang="nl-NL" sz="1100" b="1" i="1" baseline="0">
              <a:solidFill>
                <a:srgbClr val="FF0000"/>
              </a:solidFill>
              <a:latin typeface="Trebuchet MS" pitchFamily="34" charset="0"/>
            </a:rPr>
            <a:t>productiefracties in</a:t>
          </a:r>
          <a:endParaRPr lang="nl-NL" sz="1100" b="1" i="1">
            <a:solidFill>
              <a:srgbClr val="FF0000"/>
            </a:solidFill>
            <a:latin typeface="Trebuchet MS" pitchFamily="34" charset="0"/>
          </a:endParaRPr>
        </a:p>
      </xdr:txBody>
    </xdr:sp>
    <xdr:clientData/>
  </xdr:oneCellAnchor>
  <xdr:twoCellAnchor>
    <xdr:from>
      <xdr:col>8</xdr:col>
      <xdr:colOff>0</xdr:colOff>
      <xdr:row>13</xdr:row>
      <xdr:rowOff>109051</xdr:rowOff>
    </xdr:from>
    <xdr:to>
      <xdr:col>8</xdr:col>
      <xdr:colOff>9144</xdr:colOff>
      <xdr:row>13</xdr:row>
      <xdr:rowOff>118195</xdr:rowOff>
    </xdr:to>
    <xdr:sp macro="" textlink="">
      <xdr:nvSpPr>
        <xdr:cNvPr id="24" name="Ovaal 23"/>
        <xdr:cNvSpPr>
          <a:spLocks noChangeAspect="1"/>
        </xdr:cNvSpPr>
      </xdr:nvSpPr>
      <xdr:spPr>
        <a:xfrm>
          <a:off x="5434853" y="2518316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8</xdr:col>
      <xdr:colOff>9144</xdr:colOff>
      <xdr:row>13</xdr:row>
      <xdr:rowOff>113623</xdr:rowOff>
    </xdr:from>
    <xdr:to>
      <xdr:col>8</xdr:col>
      <xdr:colOff>266962</xdr:colOff>
      <xdr:row>13</xdr:row>
      <xdr:rowOff>113623</xdr:rowOff>
    </xdr:to>
    <xdr:cxnSp macro="">
      <xdr:nvCxnSpPr>
        <xdr:cNvPr id="26" name="Rechte verbindingslijn met pijl 25"/>
        <xdr:cNvCxnSpPr>
          <a:stCxn id="23" idx="0"/>
          <a:endCxn id="24" idx="6"/>
        </xdr:cNvCxnSpPr>
      </xdr:nvCxnSpPr>
      <xdr:spPr bwMode="auto">
        <a:xfrm flipH="1">
          <a:off x="5443997" y="2522888"/>
          <a:ext cx="257818" cy="0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  <xdr:oneCellAnchor>
    <xdr:from>
      <xdr:col>11</xdr:col>
      <xdr:colOff>306098</xdr:colOff>
      <xdr:row>16</xdr:row>
      <xdr:rowOff>28532</xdr:rowOff>
    </xdr:from>
    <xdr:ext cx="1742144" cy="419987"/>
    <xdr:sp macro="" textlink="">
      <xdr:nvSpPr>
        <xdr:cNvPr id="32" name="Tekstvak 31"/>
        <xdr:cNvSpPr txBox="1"/>
      </xdr:nvSpPr>
      <xdr:spPr>
        <a:xfrm>
          <a:off x="8979451" y="2986885"/>
          <a:ext cx="1742144" cy="4199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Vul hier de humificatie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factoren in</a:t>
          </a:r>
        </a:p>
      </xdr:txBody>
    </xdr:sp>
    <xdr:clientData/>
  </xdr:oneCellAnchor>
  <xdr:twoCellAnchor>
    <xdr:from>
      <xdr:col>12</xdr:col>
      <xdr:colOff>385140</xdr:colOff>
      <xdr:row>15</xdr:row>
      <xdr:rowOff>7065</xdr:rowOff>
    </xdr:from>
    <xdr:to>
      <xdr:col>12</xdr:col>
      <xdr:colOff>388148</xdr:colOff>
      <xdr:row>16</xdr:row>
      <xdr:rowOff>63177</xdr:rowOff>
    </xdr:to>
    <xdr:cxnSp macro="">
      <xdr:nvCxnSpPr>
        <xdr:cNvPr id="33" name="Rechte verbindingslijn met pijl 32"/>
        <xdr:cNvCxnSpPr/>
      </xdr:nvCxnSpPr>
      <xdr:spPr bwMode="auto">
        <a:xfrm rot="5400000" flipH="1">
          <a:off x="9715500" y="2891117"/>
          <a:ext cx="257818" cy="3008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  <xdr:oneCellAnchor>
    <xdr:from>
      <xdr:col>6</xdr:col>
      <xdr:colOff>872493</xdr:colOff>
      <xdr:row>28</xdr:row>
      <xdr:rowOff>119793</xdr:rowOff>
    </xdr:from>
    <xdr:ext cx="1028102" cy="583814"/>
    <xdr:sp macro="" textlink="">
      <xdr:nvSpPr>
        <xdr:cNvPr id="34" name="Tekstvak 33"/>
        <xdr:cNvSpPr txBox="1"/>
      </xdr:nvSpPr>
      <xdr:spPr>
        <a:xfrm>
          <a:off x="4469581" y="5274499"/>
          <a:ext cx="1028102" cy="5838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Vul hier 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bestemming 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van stro in</a:t>
          </a:r>
        </a:p>
      </xdr:txBody>
    </xdr:sp>
    <xdr:clientData/>
  </xdr:oneCellAnchor>
  <xdr:twoCellAnchor>
    <xdr:from>
      <xdr:col>6</xdr:col>
      <xdr:colOff>526682</xdr:colOff>
      <xdr:row>28</xdr:row>
      <xdr:rowOff>0</xdr:rowOff>
    </xdr:from>
    <xdr:to>
      <xdr:col>6</xdr:col>
      <xdr:colOff>535826</xdr:colOff>
      <xdr:row>28</xdr:row>
      <xdr:rowOff>9144</xdr:rowOff>
    </xdr:to>
    <xdr:sp macro="" textlink="">
      <xdr:nvSpPr>
        <xdr:cNvPr id="35" name="Ovaal 34"/>
        <xdr:cNvSpPr>
          <a:spLocks noChangeAspect="1"/>
        </xdr:cNvSpPr>
      </xdr:nvSpPr>
      <xdr:spPr>
        <a:xfrm>
          <a:off x="4123770" y="5154706"/>
          <a:ext cx="9144" cy="9144"/>
        </a:xfrm>
        <a:prstGeom prst="ellips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nl-NL" sz="1100"/>
        </a:p>
      </xdr:txBody>
    </xdr:sp>
    <xdr:clientData/>
  </xdr:twoCellAnchor>
  <xdr:twoCellAnchor>
    <xdr:from>
      <xdr:col>6</xdr:col>
      <xdr:colOff>531255</xdr:colOff>
      <xdr:row>28</xdr:row>
      <xdr:rowOff>9144</xdr:rowOff>
    </xdr:from>
    <xdr:to>
      <xdr:col>6</xdr:col>
      <xdr:colOff>872494</xdr:colOff>
      <xdr:row>30</xdr:row>
      <xdr:rowOff>41906</xdr:rowOff>
    </xdr:to>
    <xdr:cxnSp macro="">
      <xdr:nvCxnSpPr>
        <xdr:cNvPr id="37" name="Gebogen verbindingslijn 36"/>
        <xdr:cNvCxnSpPr>
          <a:stCxn id="34" idx="1"/>
          <a:endCxn id="35" idx="4"/>
        </xdr:cNvCxnSpPr>
      </xdr:nvCxnSpPr>
      <xdr:spPr bwMode="auto">
        <a:xfrm rot="10800000">
          <a:off x="4128343" y="5163850"/>
          <a:ext cx="341239" cy="402556"/>
        </a:xfrm>
        <a:prstGeom prst="bentConnector2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  <xdr:oneCellAnchor>
    <xdr:from>
      <xdr:col>8</xdr:col>
      <xdr:colOff>307623</xdr:colOff>
      <xdr:row>1</xdr:row>
      <xdr:rowOff>119793</xdr:rowOff>
    </xdr:from>
    <xdr:ext cx="1507913" cy="583814"/>
    <xdr:sp macro="" textlink="">
      <xdr:nvSpPr>
        <xdr:cNvPr id="31" name="Tekstvak 30"/>
        <xdr:cNvSpPr txBox="1"/>
      </xdr:nvSpPr>
      <xdr:spPr>
        <a:xfrm>
          <a:off x="5742476" y="310293"/>
          <a:ext cx="1507913" cy="58381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ctr">
          <a:spAutoFit/>
        </a:bodyPr>
        <a:lstStyle/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Selecteer hier 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het soort </a:t>
          </a:r>
        </a:p>
        <a:p>
          <a:pPr algn="ctr"/>
          <a:r>
            <a:rPr lang="nl-NL" sz="1100" b="1" i="1">
              <a:solidFill>
                <a:srgbClr val="FF0000"/>
              </a:solidFill>
              <a:latin typeface="Trebuchet MS" pitchFamily="34" charset="0"/>
            </a:rPr>
            <a:t>klimaat (nat/droog)</a:t>
          </a:r>
        </a:p>
      </xdr:txBody>
    </xdr:sp>
    <xdr:clientData/>
  </xdr:oneCellAnchor>
  <xdr:twoCellAnchor>
    <xdr:from>
      <xdr:col>8</xdr:col>
      <xdr:colOff>11205</xdr:colOff>
      <xdr:row>2</xdr:row>
      <xdr:rowOff>168088</xdr:rowOff>
    </xdr:from>
    <xdr:to>
      <xdr:col>8</xdr:col>
      <xdr:colOff>269023</xdr:colOff>
      <xdr:row>2</xdr:row>
      <xdr:rowOff>168088</xdr:rowOff>
    </xdr:to>
    <xdr:cxnSp macro="">
      <xdr:nvCxnSpPr>
        <xdr:cNvPr id="36" name="Rechte verbindingslijn met pijl 35"/>
        <xdr:cNvCxnSpPr/>
      </xdr:nvCxnSpPr>
      <xdr:spPr bwMode="auto">
        <a:xfrm flipH="1">
          <a:off x="5446058" y="605117"/>
          <a:ext cx="257818" cy="0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FF000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22413</xdr:colOff>
      <xdr:row>13</xdr:row>
      <xdr:rowOff>44825</xdr:rowOff>
    </xdr:from>
    <xdr:to>
      <xdr:col>7</xdr:col>
      <xdr:colOff>0</xdr:colOff>
      <xdr:row>14</xdr:row>
      <xdr:rowOff>112059</xdr:rowOff>
    </xdr:to>
    <xdr:sp macro="" textlink="">
      <xdr:nvSpPr>
        <xdr:cNvPr id="72" name="PIJL-RECHTS 71"/>
        <xdr:cNvSpPr/>
      </xdr:nvSpPr>
      <xdr:spPr bwMode="auto">
        <a:xfrm>
          <a:off x="9412942" y="1535207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11206</xdr:colOff>
      <xdr:row>21</xdr:row>
      <xdr:rowOff>0</xdr:rowOff>
    </xdr:from>
    <xdr:to>
      <xdr:col>6</xdr:col>
      <xdr:colOff>918882</xdr:colOff>
      <xdr:row>22</xdr:row>
      <xdr:rowOff>67235</xdr:rowOff>
    </xdr:to>
    <xdr:sp macro="" textlink="">
      <xdr:nvSpPr>
        <xdr:cNvPr id="84" name="PIJL-RECHTS 83"/>
        <xdr:cNvSpPr/>
      </xdr:nvSpPr>
      <xdr:spPr bwMode="auto">
        <a:xfrm>
          <a:off x="9401735" y="2588559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11206</xdr:colOff>
      <xdr:row>28</xdr:row>
      <xdr:rowOff>0</xdr:rowOff>
    </xdr:from>
    <xdr:to>
      <xdr:col>6</xdr:col>
      <xdr:colOff>918882</xdr:colOff>
      <xdr:row>29</xdr:row>
      <xdr:rowOff>44822</xdr:rowOff>
    </xdr:to>
    <xdr:sp macro="" textlink="">
      <xdr:nvSpPr>
        <xdr:cNvPr id="85" name="PIJL-RECHTS 84"/>
        <xdr:cNvSpPr/>
      </xdr:nvSpPr>
      <xdr:spPr bwMode="auto">
        <a:xfrm>
          <a:off x="9401735" y="3574676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11206</xdr:colOff>
      <xdr:row>34</xdr:row>
      <xdr:rowOff>0</xdr:rowOff>
    </xdr:from>
    <xdr:to>
      <xdr:col>6</xdr:col>
      <xdr:colOff>918882</xdr:colOff>
      <xdr:row>35</xdr:row>
      <xdr:rowOff>56029</xdr:rowOff>
    </xdr:to>
    <xdr:sp macro="" textlink="">
      <xdr:nvSpPr>
        <xdr:cNvPr id="86" name="PIJL-RECHTS 85"/>
        <xdr:cNvSpPr/>
      </xdr:nvSpPr>
      <xdr:spPr bwMode="auto">
        <a:xfrm>
          <a:off x="9401735" y="4583206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22413</xdr:colOff>
      <xdr:row>13</xdr:row>
      <xdr:rowOff>44825</xdr:rowOff>
    </xdr:from>
    <xdr:to>
      <xdr:col>8</xdr:col>
      <xdr:colOff>436413</xdr:colOff>
      <xdr:row>14</xdr:row>
      <xdr:rowOff>112059</xdr:rowOff>
    </xdr:to>
    <xdr:sp macro="" textlink="">
      <xdr:nvSpPr>
        <xdr:cNvPr id="8" name="PIJL-RECHTS 7"/>
        <xdr:cNvSpPr/>
      </xdr:nvSpPr>
      <xdr:spPr bwMode="auto">
        <a:xfrm>
          <a:off x="6723531" y="2173943"/>
          <a:ext cx="414000" cy="224116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11206</xdr:colOff>
      <xdr:row>28</xdr:row>
      <xdr:rowOff>0</xdr:rowOff>
    </xdr:from>
    <xdr:to>
      <xdr:col>8</xdr:col>
      <xdr:colOff>425206</xdr:colOff>
      <xdr:row>29</xdr:row>
      <xdr:rowOff>44822</xdr:rowOff>
    </xdr:to>
    <xdr:sp macro="" textlink="">
      <xdr:nvSpPr>
        <xdr:cNvPr id="10" name="PIJL-RECHTS 9"/>
        <xdr:cNvSpPr/>
      </xdr:nvSpPr>
      <xdr:spPr bwMode="auto">
        <a:xfrm>
          <a:off x="6712324" y="4538382"/>
          <a:ext cx="414000" cy="224116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11206</xdr:colOff>
      <xdr:row>34</xdr:row>
      <xdr:rowOff>0</xdr:rowOff>
    </xdr:from>
    <xdr:to>
      <xdr:col>8</xdr:col>
      <xdr:colOff>425206</xdr:colOff>
      <xdr:row>35</xdr:row>
      <xdr:rowOff>56029</xdr:rowOff>
    </xdr:to>
    <xdr:sp macro="" textlink="">
      <xdr:nvSpPr>
        <xdr:cNvPr id="11" name="PIJL-RECHTS 10"/>
        <xdr:cNvSpPr/>
      </xdr:nvSpPr>
      <xdr:spPr bwMode="auto">
        <a:xfrm>
          <a:off x="6712324" y="5546912"/>
          <a:ext cx="414000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11206</xdr:colOff>
      <xdr:row>40</xdr:row>
      <xdr:rowOff>56030</xdr:rowOff>
    </xdr:from>
    <xdr:to>
      <xdr:col>8</xdr:col>
      <xdr:colOff>425206</xdr:colOff>
      <xdr:row>41</xdr:row>
      <xdr:rowOff>112058</xdr:rowOff>
    </xdr:to>
    <xdr:sp macro="" textlink="">
      <xdr:nvSpPr>
        <xdr:cNvPr id="12" name="PIJL-RECHTS 11"/>
        <xdr:cNvSpPr/>
      </xdr:nvSpPr>
      <xdr:spPr bwMode="auto">
        <a:xfrm>
          <a:off x="6712324" y="6600265"/>
          <a:ext cx="414000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3</xdr:col>
      <xdr:colOff>582698</xdr:colOff>
      <xdr:row>8</xdr:row>
      <xdr:rowOff>22413</xdr:rowOff>
    </xdr:from>
    <xdr:to>
      <xdr:col>3</xdr:col>
      <xdr:colOff>582698</xdr:colOff>
      <xdr:row>9</xdr:row>
      <xdr:rowOff>167119</xdr:rowOff>
    </xdr:to>
    <xdr:cxnSp macro="">
      <xdr:nvCxnSpPr>
        <xdr:cNvPr id="16" name="Rechte verbindingslijn met pijl 15"/>
        <xdr:cNvCxnSpPr/>
      </xdr:nvCxnSpPr>
      <xdr:spPr bwMode="auto">
        <a:xfrm>
          <a:off x="1187816" y="885266"/>
          <a:ext cx="0" cy="324000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0070C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  <xdr:twoCellAnchor>
    <xdr:from>
      <xdr:col>4</xdr:col>
      <xdr:colOff>358592</xdr:colOff>
      <xdr:row>8</xdr:row>
      <xdr:rowOff>22413</xdr:rowOff>
    </xdr:from>
    <xdr:to>
      <xdr:col>4</xdr:col>
      <xdr:colOff>358592</xdr:colOff>
      <xdr:row>9</xdr:row>
      <xdr:rowOff>167119</xdr:rowOff>
    </xdr:to>
    <xdr:cxnSp macro="">
      <xdr:nvCxnSpPr>
        <xdr:cNvPr id="18" name="Rechte verbindingslijn met pijl 17"/>
        <xdr:cNvCxnSpPr/>
      </xdr:nvCxnSpPr>
      <xdr:spPr bwMode="auto">
        <a:xfrm>
          <a:off x="3406592" y="885266"/>
          <a:ext cx="0" cy="324000"/>
        </a:xfrm>
        <a:prstGeom prst="straightConnector1">
          <a:avLst/>
        </a:prstGeom>
        <a:solidFill>
          <a:srgbClr val="FFFFFF"/>
        </a:solidFill>
        <a:ln w="38100" cap="flat" cmpd="sng" algn="ctr">
          <a:solidFill>
            <a:srgbClr val="0070C0"/>
          </a:solidFill>
          <a:prstDash val="solid"/>
          <a:round/>
          <a:headEnd type="none" w="med" len="med"/>
          <a:tailEnd type="triangle" w="sm" len="med"/>
        </a:ln>
        <a:effectLst/>
      </xdr:spPr>
    </xdr:cxnSp>
    <xdr:clientData/>
  </xdr:twoCellAnchor>
  <xdr:twoCellAnchor>
    <xdr:from>
      <xdr:col>8</xdr:col>
      <xdr:colOff>11206</xdr:colOff>
      <xdr:row>21</xdr:row>
      <xdr:rowOff>0</xdr:rowOff>
    </xdr:from>
    <xdr:to>
      <xdr:col>8</xdr:col>
      <xdr:colOff>425206</xdr:colOff>
      <xdr:row>22</xdr:row>
      <xdr:rowOff>44822</xdr:rowOff>
    </xdr:to>
    <xdr:sp macro="" textlink="">
      <xdr:nvSpPr>
        <xdr:cNvPr id="15" name="PIJL-RECHTS 14"/>
        <xdr:cNvSpPr/>
      </xdr:nvSpPr>
      <xdr:spPr bwMode="auto">
        <a:xfrm>
          <a:off x="6712324" y="3384176"/>
          <a:ext cx="414000" cy="20170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20052</xdr:colOff>
      <xdr:row>13</xdr:row>
      <xdr:rowOff>40104</xdr:rowOff>
    </xdr:from>
    <xdr:to>
      <xdr:col>6</xdr:col>
      <xdr:colOff>927728</xdr:colOff>
      <xdr:row>14</xdr:row>
      <xdr:rowOff>103800</xdr:rowOff>
    </xdr:to>
    <xdr:sp macro="" textlink="">
      <xdr:nvSpPr>
        <xdr:cNvPr id="5" name="PIJL-RECHTS 4"/>
        <xdr:cNvSpPr/>
      </xdr:nvSpPr>
      <xdr:spPr bwMode="auto">
        <a:xfrm>
          <a:off x="8873289" y="1323472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20052</xdr:colOff>
      <xdr:row>19</xdr:row>
      <xdr:rowOff>130343</xdr:rowOff>
    </xdr:from>
    <xdr:to>
      <xdr:col>6</xdr:col>
      <xdr:colOff>927728</xdr:colOff>
      <xdr:row>21</xdr:row>
      <xdr:rowOff>33618</xdr:rowOff>
    </xdr:to>
    <xdr:sp macro="" textlink="">
      <xdr:nvSpPr>
        <xdr:cNvPr id="6" name="PIJL-RECHTS 5"/>
        <xdr:cNvSpPr/>
      </xdr:nvSpPr>
      <xdr:spPr bwMode="auto">
        <a:xfrm>
          <a:off x="8873289" y="2536659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20052</xdr:colOff>
      <xdr:row>26</xdr:row>
      <xdr:rowOff>30078</xdr:rowOff>
    </xdr:from>
    <xdr:to>
      <xdr:col>6</xdr:col>
      <xdr:colOff>927728</xdr:colOff>
      <xdr:row>27</xdr:row>
      <xdr:rowOff>93774</xdr:rowOff>
    </xdr:to>
    <xdr:sp macro="" textlink="">
      <xdr:nvSpPr>
        <xdr:cNvPr id="7" name="PIJL-RECHTS 6"/>
        <xdr:cNvSpPr/>
      </xdr:nvSpPr>
      <xdr:spPr bwMode="auto">
        <a:xfrm>
          <a:off x="8873289" y="3719762"/>
          <a:ext cx="907676" cy="224117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13</xdr:row>
      <xdr:rowOff>40104</xdr:rowOff>
    </xdr:from>
    <xdr:to>
      <xdr:col>8</xdr:col>
      <xdr:colOff>927728</xdr:colOff>
      <xdr:row>14</xdr:row>
      <xdr:rowOff>103800</xdr:rowOff>
    </xdr:to>
    <xdr:sp macro="" textlink="">
      <xdr:nvSpPr>
        <xdr:cNvPr id="9" name="PIJL-RECHTS 8"/>
        <xdr:cNvSpPr/>
      </xdr:nvSpPr>
      <xdr:spPr bwMode="auto">
        <a:xfrm>
          <a:off x="4816170" y="1922692"/>
          <a:ext cx="431426" cy="220579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19</xdr:row>
      <xdr:rowOff>130343</xdr:rowOff>
    </xdr:from>
    <xdr:to>
      <xdr:col>8</xdr:col>
      <xdr:colOff>927728</xdr:colOff>
      <xdr:row>21</xdr:row>
      <xdr:rowOff>33618</xdr:rowOff>
    </xdr:to>
    <xdr:sp macro="" textlink="">
      <xdr:nvSpPr>
        <xdr:cNvPr id="10" name="PIJL-RECHTS 9"/>
        <xdr:cNvSpPr/>
      </xdr:nvSpPr>
      <xdr:spPr bwMode="auto">
        <a:xfrm>
          <a:off x="4816170" y="2954225"/>
          <a:ext cx="431426" cy="2170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26</xdr:row>
      <xdr:rowOff>30078</xdr:rowOff>
    </xdr:from>
    <xdr:to>
      <xdr:col>8</xdr:col>
      <xdr:colOff>927728</xdr:colOff>
      <xdr:row>27</xdr:row>
      <xdr:rowOff>93774</xdr:rowOff>
    </xdr:to>
    <xdr:sp macro="" textlink="">
      <xdr:nvSpPr>
        <xdr:cNvPr id="11" name="PIJL-RECHTS 10"/>
        <xdr:cNvSpPr/>
      </xdr:nvSpPr>
      <xdr:spPr bwMode="auto">
        <a:xfrm>
          <a:off x="4816170" y="3952137"/>
          <a:ext cx="431426" cy="22057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13</xdr:row>
      <xdr:rowOff>40104</xdr:rowOff>
    </xdr:from>
    <xdr:to>
      <xdr:col>7</xdr:col>
      <xdr:colOff>2241</xdr:colOff>
      <xdr:row>14</xdr:row>
      <xdr:rowOff>103801</xdr:rowOff>
    </xdr:to>
    <xdr:sp macro="" textlink="">
      <xdr:nvSpPr>
        <xdr:cNvPr id="2" name="PIJL-RECHTS 1"/>
        <xdr:cNvSpPr/>
      </xdr:nvSpPr>
      <xdr:spPr bwMode="auto">
        <a:xfrm>
          <a:off x="6015878" y="2146810"/>
          <a:ext cx="440951" cy="220579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6</xdr:col>
      <xdr:colOff>9525</xdr:colOff>
      <xdr:row>19</xdr:row>
      <xdr:rowOff>132406</xdr:rowOff>
    </xdr:from>
    <xdr:to>
      <xdr:col>7</xdr:col>
      <xdr:colOff>2241</xdr:colOff>
      <xdr:row>21</xdr:row>
      <xdr:rowOff>39219</xdr:rowOff>
    </xdr:to>
    <xdr:sp macro="" textlink="">
      <xdr:nvSpPr>
        <xdr:cNvPr id="3" name="PIJL-RECHTS 2"/>
        <xdr:cNvSpPr/>
      </xdr:nvSpPr>
      <xdr:spPr bwMode="auto">
        <a:xfrm>
          <a:off x="6015878" y="3180406"/>
          <a:ext cx="440951" cy="22057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13</xdr:row>
      <xdr:rowOff>40104</xdr:rowOff>
    </xdr:from>
    <xdr:to>
      <xdr:col>9</xdr:col>
      <xdr:colOff>3243</xdr:colOff>
      <xdr:row>14</xdr:row>
      <xdr:rowOff>103800</xdr:rowOff>
    </xdr:to>
    <xdr:sp macro="" textlink="">
      <xdr:nvSpPr>
        <xdr:cNvPr id="5" name="PIJL-RECHTS 4"/>
        <xdr:cNvSpPr/>
      </xdr:nvSpPr>
      <xdr:spPr bwMode="auto">
        <a:xfrm>
          <a:off x="7393523" y="2146810"/>
          <a:ext cx="431426" cy="220578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19</xdr:row>
      <xdr:rowOff>134175</xdr:rowOff>
    </xdr:from>
    <xdr:to>
      <xdr:col>9</xdr:col>
      <xdr:colOff>3243</xdr:colOff>
      <xdr:row>21</xdr:row>
      <xdr:rowOff>37450</xdr:rowOff>
    </xdr:to>
    <xdr:sp macro="" textlink="">
      <xdr:nvSpPr>
        <xdr:cNvPr id="6" name="PIJL-RECHTS 5"/>
        <xdr:cNvSpPr/>
      </xdr:nvSpPr>
      <xdr:spPr bwMode="auto">
        <a:xfrm>
          <a:off x="7393523" y="3182175"/>
          <a:ext cx="431426" cy="217040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8</xdr:col>
      <xdr:colOff>20052</xdr:colOff>
      <xdr:row>26</xdr:row>
      <xdr:rowOff>30078</xdr:rowOff>
    </xdr:from>
    <xdr:to>
      <xdr:col>8</xdr:col>
      <xdr:colOff>927728</xdr:colOff>
      <xdr:row>27</xdr:row>
      <xdr:rowOff>93774</xdr:rowOff>
    </xdr:to>
    <xdr:sp macro="" textlink="">
      <xdr:nvSpPr>
        <xdr:cNvPr id="7" name="PIJL-RECHTS 6"/>
        <xdr:cNvSpPr/>
      </xdr:nvSpPr>
      <xdr:spPr bwMode="auto">
        <a:xfrm>
          <a:off x="6439902" y="4078203"/>
          <a:ext cx="412376" cy="225621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20052</xdr:colOff>
      <xdr:row>16</xdr:row>
      <xdr:rowOff>130343</xdr:rowOff>
    </xdr:from>
    <xdr:to>
      <xdr:col>7</xdr:col>
      <xdr:colOff>927728</xdr:colOff>
      <xdr:row>18</xdr:row>
      <xdr:rowOff>33618</xdr:rowOff>
    </xdr:to>
    <xdr:sp macro="" textlink="">
      <xdr:nvSpPr>
        <xdr:cNvPr id="2" name="PIJL-RECHTS 1"/>
        <xdr:cNvSpPr/>
      </xdr:nvSpPr>
      <xdr:spPr bwMode="auto">
        <a:xfrm>
          <a:off x="6735177" y="2892593"/>
          <a:ext cx="431426" cy="22712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20052</xdr:colOff>
      <xdr:row>16</xdr:row>
      <xdr:rowOff>130343</xdr:rowOff>
    </xdr:from>
    <xdr:to>
      <xdr:col>9</xdr:col>
      <xdr:colOff>927728</xdr:colOff>
      <xdr:row>18</xdr:row>
      <xdr:rowOff>33618</xdr:rowOff>
    </xdr:to>
    <xdr:sp macro="" textlink="">
      <xdr:nvSpPr>
        <xdr:cNvPr id="4" name="PIJL-RECHTS 3"/>
        <xdr:cNvSpPr/>
      </xdr:nvSpPr>
      <xdr:spPr bwMode="auto">
        <a:xfrm>
          <a:off x="8163927" y="2892593"/>
          <a:ext cx="421901" cy="22712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7</xdr:col>
      <xdr:colOff>20052</xdr:colOff>
      <xdr:row>11</xdr:row>
      <xdr:rowOff>130343</xdr:rowOff>
    </xdr:from>
    <xdr:to>
      <xdr:col>7</xdr:col>
      <xdr:colOff>927728</xdr:colOff>
      <xdr:row>13</xdr:row>
      <xdr:rowOff>33618</xdr:rowOff>
    </xdr:to>
    <xdr:sp macro="" textlink="">
      <xdr:nvSpPr>
        <xdr:cNvPr id="6" name="PIJL-RECHTS 5"/>
        <xdr:cNvSpPr/>
      </xdr:nvSpPr>
      <xdr:spPr bwMode="auto">
        <a:xfrm>
          <a:off x="6735177" y="2082968"/>
          <a:ext cx="431426" cy="22712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  <xdr:twoCellAnchor>
    <xdr:from>
      <xdr:col>9</xdr:col>
      <xdr:colOff>20052</xdr:colOff>
      <xdr:row>11</xdr:row>
      <xdr:rowOff>130343</xdr:rowOff>
    </xdr:from>
    <xdr:to>
      <xdr:col>9</xdr:col>
      <xdr:colOff>927728</xdr:colOff>
      <xdr:row>13</xdr:row>
      <xdr:rowOff>33618</xdr:rowOff>
    </xdr:to>
    <xdr:sp macro="" textlink="">
      <xdr:nvSpPr>
        <xdr:cNvPr id="7" name="PIJL-RECHTS 6"/>
        <xdr:cNvSpPr/>
      </xdr:nvSpPr>
      <xdr:spPr bwMode="auto">
        <a:xfrm>
          <a:off x="8163927" y="2082968"/>
          <a:ext cx="421901" cy="227125"/>
        </a:xfrm>
        <a:prstGeom prst="rightArrow">
          <a:avLst/>
        </a:prstGeom>
        <a:solidFill>
          <a:schemeClr val="accent1">
            <a:lumMod val="60000"/>
            <a:lumOff val="4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pPr algn="l"/>
          <a:endParaRPr lang="nl-NL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1539</xdr:colOff>
      <xdr:row>10</xdr:row>
      <xdr:rowOff>1179</xdr:rowOff>
    </xdr:from>
    <xdr:to>
      <xdr:col>14</xdr:col>
      <xdr:colOff>2653</xdr:colOff>
      <xdr:row>14</xdr:row>
      <xdr:rowOff>2198</xdr:rowOff>
    </xdr:to>
    <xdr:sp macro="" textlink="">
      <xdr:nvSpPr>
        <xdr:cNvPr id="2" name="Rectangle 73"/>
        <xdr:cNvSpPr>
          <a:spLocks noChangeArrowheads="1"/>
        </xdr:cNvSpPr>
      </xdr:nvSpPr>
      <xdr:spPr bwMode="auto">
        <a:xfrm>
          <a:off x="8062410" y="1519736"/>
          <a:ext cx="1688400" cy="741248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1539</xdr:colOff>
      <xdr:row>16</xdr:row>
      <xdr:rowOff>4820</xdr:rowOff>
    </xdr:from>
    <xdr:to>
      <xdr:col>14</xdr:col>
      <xdr:colOff>2653</xdr:colOff>
      <xdr:row>18</xdr:row>
      <xdr:rowOff>3501</xdr:rowOff>
    </xdr:to>
    <xdr:sp macro="" textlink="">
      <xdr:nvSpPr>
        <xdr:cNvPr id="3" name="Rectangle 73"/>
        <xdr:cNvSpPr>
          <a:spLocks noChangeArrowheads="1"/>
        </xdr:cNvSpPr>
      </xdr:nvSpPr>
      <xdr:spPr bwMode="auto">
        <a:xfrm>
          <a:off x="8062410" y="2443220"/>
          <a:ext cx="1688400" cy="35791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236139</xdr:colOff>
      <xdr:row>14</xdr:row>
      <xdr:rowOff>2198</xdr:rowOff>
    </xdr:from>
    <xdr:to>
      <xdr:col>13</xdr:col>
      <xdr:colOff>236139</xdr:colOff>
      <xdr:row>16</xdr:row>
      <xdr:rowOff>4820</xdr:rowOff>
    </xdr:to>
    <xdr:cxnSp macro="">
      <xdr:nvCxnSpPr>
        <xdr:cNvPr id="4" name="Rechte verbindingslijn met pijl 3"/>
        <xdr:cNvCxnSpPr>
          <a:stCxn id="2" idx="2"/>
          <a:endCxn id="3" idx="0"/>
        </xdr:cNvCxnSpPr>
      </xdr:nvCxnSpPr>
      <xdr:spPr>
        <a:xfrm>
          <a:off x="8906610" y="2260984"/>
          <a:ext cx="0" cy="182236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1539</xdr:colOff>
      <xdr:row>19</xdr:row>
      <xdr:rowOff>4820</xdr:rowOff>
    </xdr:from>
    <xdr:to>
      <xdr:col>14</xdr:col>
      <xdr:colOff>2653</xdr:colOff>
      <xdr:row>21</xdr:row>
      <xdr:rowOff>3501</xdr:rowOff>
    </xdr:to>
    <xdr:sp macro="" textlink="">
      <xdr:nvSpPr>
        <xdr:cNvPr id="5" name="Rectangle 73"/>
        <xdr:cNvSpPr>
          <a:spLocks noChangeArrowheads="1"/>
        </xdr:cNvSpPr>
      </xdr:nvSpPr>
      <xdr:spPr bwMode="auto">
        <a:xfrm>
          <a:off x="8062410" y="2982063"/>
          <a:ext cx="1688400" cy="35790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236139</xdr:colOff>
      <xdr:row>18</xdr:row>
      <xdr:rowOff>3501</xdr:rowOff>
    </xdr:from>
    <xdr:to>
      <xdr:col>13</xdr:col>
      <xdr:colOff>236139</xdr:colOff>
      <xdr:row>19</xdr:row>
      <xdr:rowOff>4820</xdr:rowOff>
    </xdr:to>
    <xdr:cxnSp macro="">
      <xdr:nvCxnSpPr>
        <xdr:cNvPr id="6" name="Rechte verbindingslijn met pijl 5"/>
        <xdr:cNvCxnSpPr>
          <a:stCxn id="3" idx="2"/>
          <a:endCxn id="5" idx="0"/>
        </xdr:cNvCxnSpPr>
      </xdr:nvCxnSpPr>
      <xdr:spPr>
        <a:xfrm>
          <a:off x="8906610" y="2801130"/>
          <a:ext cx="0" cy="180933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1539</xdr:colOff>
      <xdr:row>24</xdr:row>
      <xdr:rowOff>7620</xdr:rowOff>
    </xdr:from>
    <xdr:to>
      <xdr:col>14</xdr:col>
      <xdr:colOff>2653</xdr:colOff>
      <xdr:row>28</xdr:row>
      <xdr:rowOff>5725</xdr:rowOff>
    </xdr:to>
    <xdr:sp macro="" textlink="">
      <xdr:nvSpPr>
        <xdr:cNvPr id="7" name="Rectangle 73"/>
        <xdr:cNvSpPr>
          <a:spLocks noChangeArrowheads="1"/>
        </xdr:cNvSpPr>
      </xdr:nvSpPr>
      <xdr:spPr bwMode="auto">
        <a:xfrm>
          <a:off x="8062410" y="3523706"/>
          <a:ext cx="1688400" cy="73833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236139</xdr:colOff>
      <xdr:row>21</xdr:row>
      <xdr:rowOff>3501</xdr:rowOff>
    </xdr:from>
    <xdr:to>
      <xdr:col>13</xdr:col>
      <xdr:colOff>236139</xdr:colOff>
      <xdr:row>24</xdr:row>
      <xdr:rowOff>7620</xdr:rowOff>
    </xdr:to>
    <xdr:cxnSp macro="">
      <xdr:nvCxnSpPr>
        <xdr:cNvPr id="8" name="Rechte verbindingslijn met pijl 7"/>
        <xdr:cNvCxnSpPr>
          <a:stCxn id="5" idx="2"/>
          <a:endCxn id="7" idx="0"/>
        </xdr:cNvCxnSpPr>
      </xdr:nvCxnSpPr>
      <xdr:spPr>
        <a:xfrm>
          <a:off x="8906610" y="3339972"/>
          <a:ext cx="0" cy="183734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1539</xdr:colOff>
      <xdr:row>30</xdr:row>
      <xdr:rowOff>7620</xdr:rowOff>
    </xdr:from>
    <xdr:to>
      <xdr:col>14</xdr:col>
      <xdr:colOff>2653</xdr:colOff>
      <xdr:row>34</xdr:row>
      <xdr:rowOff>4647</xdr:rowOff>
    </xdr:to>
    <xdr:sp macro="" textlink="">
      <xdr:nvSpPr>
        <xdr:cNvPr id="9" name="Rectangle 73"/>
        <xdr:cNvSpPr>
          <a:spLocks noChangeArrowheads="1"/>
        </xdr:cNvSpPr>
      </xdr:nvSpPr>
      <xdr:spPr bwMode="auto">
        <a:xfrm>
          <a:off x="8084182" y="4402727"/>
          <a:ext cx="1688400" cy="759027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13</xdr:col>
      <xdr:colOff>236139</xdr:colOff>
      <xdr:row>28</xdr:row>
      <xdr:rowOff>5725</xdr:rowOff>
    </xdr:from>
    <xdr:to>
      <xdr:col>13</xdr:col>
      <xdr:colOff>236139</xdr:colOff>
      <xdr:row>30</xdr:row>
      <xdr:rowOff>7620</xdr:rowOff>
    </xdr:to>
    <xdr:cxnSp macro="">
      <xdr:nvCxnSpPr>
        <xdr:cNvPr id="10" name="Rechte verbindingslijn met pijl 9"/>
        <xdr:cNvCxnSpPr>
          <a:stCxn id="7" idx="2"/>
          <a:endCxn id="9" idx="0"/>
        </xdr:cNvCxnSpPr>
      </xdr:nvCxnSpPr>
      <xdr:spPr>
        <a:xfrm>
          <a:off x="8906610" y="4262039"/>
          <a:ext cx="0" cy="18151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5014</xdr:colOff>
      <xdr:row>24</xdr:row>
      <xdr:rowOff>7620</xdr:rowOff>
    </xdr:from>
    <xdr:to>
      <xdr:col>18</xdr:col>
      <xdr:colOff>5013</xdr:colOff>
      <xdr:row>28</xdr:row>
      <xdr:rowOff>5725</xdr:rowOff>
    </xdr:to>
    <xdr:sp macro="" textlink="">
      <xdr:nvSpPr>
        <xdr:cNvPr id="11" name="Rectangle 73"/>
        <xdr:cNvSpPr>
          <a:spLocks noChangeArrowheads="1"/>
        </xdr:cNvSpPr>
      </xdr:nvSpPr>
      <xdr:spPr bwMode="auto">
        <a:xfrm>
          <a:off x="8606089" y="3093720"/>
          <a:ext cx="1323974" cy="73153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608133</xdr:colOff>
      <xdr:row>10</xdr:row>
      <xdr:rowOff>0</xdr:rowOff>
    </xdr:from>
    <xdr:to>
      <xdr:col>18</xdr:col>
      <xdr:colOff>1</xdr:colOff>
      <xdr:row>14</xdr:row>
      <xdr:rowOff>3300</xdr:rowOff>
    </xdr:to>
    <xdr:sp macro="" textlink="">
      <xdr:nvSpPr>
        <xdr:cNvPr id="12" name="Rectangle 73"/>
        <xdr:cNvSpPr>
          <a:spLocks noChangeArrowheads="1"/>
        </xdr:cNvSpPr>
      </xdr:nvSpPr>
      <xdr:spPr bwMode="auto">
        <a:xfrm>
          <a:off x="7990008" y="1066800"/>
          <a:ext cx="1935043" cy="7462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2653</xdr:colOff>
      <xdr:row>12</xdr:row>
      <xdr:rowOff>1651</xdr:rowOff>
    </xdr:from>
    <xdr:to>
      <xdr:col>14</xdr:col>
      <xdr:colOff>608133</xdr:colOff>
      <xdr:row>12</xdr:row>
      <xdr:rowOff>1689</xdr:rowOff>
    </xdr:to>
    <xdr:cxnSp macro="">
      <xdr:nvCxnSpPr>
        <xdr:cNvPr id="13" name="Rechte verbindingslijn met pijl 12"/>
        <xdr:cNvCxnSpPr>
          <a:stCxn id="2" idx="3"/>
          <a:endCxn id="12" idx="1"/>
        </xdr:cNvCxnSpPr>
      </xdr:nvCxnSpPr>
      <xdr:spPr>
        <a:xfrm flipV="1">
          <a:off x="9750810" y="1890322"/>
          <a:ext cx="605480" cy="38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2653</xdr:colOff>
      <xdr:row>26</xdr:row>
      <xdr:rowOff>6673</xdr:rowOff>
    </xdr:from>
    <xdr:to>
      <xdr:col>16</xdr:col>
      <xdr:colOff>5014</xdr:colOff>
      <xdr:row>26</xdr:row>
      <xdr:rowOff>6673</xdr:rowOff>
    </xdr:to>
    <xdr:cxnSp macro="">
      <xdr:nvCxnSpPr>
        <xdr:cNvPr id="14" name="Rechte verbindingslijn met pijl 13"/>
        <xdr:cNvCxnSpPr>
          <a:stCxn id="7" idx="3"/>
          <a:endCxn id="11" idx="1"/>
        </xdr:cNvCxnSpPr>
      </xdr:nvCxnSpPr>
      <xdr:spPr>
        <a:xfrm>
          <a:off x="9750810" y="3892873"/>
          <a:ext cx="1221561" cy="0"/>
        </a:xfrm>
        <a:prstGeom prst="straightConnector1">
          <a:avLst/>
        </a:prstGeom>
        <a:ln w="25400">
          <a:tailEnd type="triangle" w="sm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ELI\AppData\Local\Microsoft\Windows\Temporary%20Internet%20Files\Content.Outlook\S86XA4O6\Map%20voor%203H16%20CO2-waarden%20V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ELI\AppData\Local\Microsoft\Windows\Temporary%20Internet%20Files\Content.Outlook\S86XA4O6\Spreadsheets%20Maartje\CO2waardeVoorbeeldEtheen_tarwe_v4_figuurtje%20toegevoegd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MPELI\AppData\Local\Microsoft\Windows\Temporary%20Internet%20Files\Content.Outlook\S86XA4O6\Kopie%20van%20CO2waardeVoorbeeldMethanol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ma"/>
      <sheetName val="Karakterisatie"/>
      <sheetName val="Algemene akkerbouwschema"/>
      <sheetName val="Algemene bosbouw"/>
      <sheetName val="Emissiefactoren"/>
      <sheetName val="Methanol uit hout"/>
      <sheetName val="Nutrientenbalans etheen"/>
      <sheetName val="Etheen uit graan"/>
      <sheetName val="Nutrientenbalans PLA"/>
      <sheetName val="PLA parels"/>
      <sheetName val="N2O"/>
      <sheetName val="Probeersel C-balans"/>
      <sheetName val="Nutrientenbalansen (i.o.)"/>
      <sheetName val="Referenties"/>
      <sheetName val="B.O.S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4">
          <cell r="K24">
            <v>4.6439260772483246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"/>
      <sheetName val="Landbouw"/>
      <sheetName val="Bewerking 1"/>
      <sheetName val="Productie"/>
      <sheetName val="Tranport"/>
      <sheetName val="DB E"/>
      <sheetName val="DB M1"/>
      <sheetName val="DB M2"/>
      <sheetName val="DB H"/>
      <sheetName val="DB T"/>
      <sheetName val="GW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"/>
      <sheetName val="Resultaten"/>
      <sheetName val="Massabalans"/>
      <sheetName val="Bosbouw"/>
      <sheetName val="Bewerking 1"/>
      <sheetName val="Bewerking 2"/>
      <sheetName val="Productie"/>
      <sheetName val="Transport"/>
      <sheetName val="Allocatie en resultaat"/>
      <sheetName val="DB E"/>
      <sheetName val="DB M1"/>
      <sheetName val="DB M2"/>
      <sheetName val="DB H"/>
      <sheetName val="DB T"/>
      <sheetName val="GW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4">
          <cell r="A4" t="str">
            <v>CO2 (fossiel)</v>
          </cell>
          <cell r="B4">
            <v>1</v>
          </cell>
        </row>
        <row r="5">
          <cell r="A5" t="str">
            <v>CO2 (biotisch)</v>
          </cell>
          <cell r="B5">
            <v>0</v>
          </cell>
        </row>
        <row r="6">
          <cell r="A6" t="str">
            <v>CO2 (LULUCF)</v>
          </cell>
          <cell r="B6">
            <v>1</v>
          </cell>
        </row>
        <row r="7">
          <cell r="A7" t="str">
            <v>CH4 (fossiel)</v>
          </cell>
          <cell r="B7">
            <v>28</v>
          </cell>
        </row>
        <row r="8">
          <cell r="A8" t="str">
            <v>CH4 (biotisch)</v>
          </cell>
          <cell r="B8">
            <v>25.25</v>
          </cell>
        </row>
        <row r="9">
          <cell r="A9" t="str">
            <v>CO2</v>
          </cell>
          <cell r="B9">
            <v>1</v>
          </cell>
        </row>
        <row r="10">
          <cell r="A10" t="str">
            <v>CH4</v>
          </cell>
          <cell r="B10">
            <v>28</v>
          </cell>
        </row>
        <row r="11">
          <cell r="A11" t="str">
            <v>N2O</v>
          </cell>
          <cell r="B11">
            <v>298</v>
          </cell>
        </row>
        <row r="12">
          <cell r="A12" t="str">
            <v>Methane biogenic</v>
          </cell>
          <cell r="B12">
            <v>25.25</v>
          </cell>
        </row>
        <row r="13">
          <cell r="A13" t="str">
            <v xml:space="preserve">Methane fossil </v>
          </cell>
          <cell r="B13">
            <v>28</v>
          </cell>
        </row>
        <row r="14">
          <cell r="A14" t="str">
            <v>1,1,1-trichloroethane</v>
          </cell>
          <cell r="B14">
            <v>146</v>
          </cell>
        </row>
        <row r="15">
          <cell r="A15" t="str">
            <v>Carbon dioxide</v>
          </cell>
          <cell r="B15">
            <v>1</v>
          </cell>
        </row>
        <row r="16">
          <cell r="A16" t="str">
            <v>CFC-11</v>
          </cell>
          <cell r="B16">
            <v>4750</v>
          </cell>
        </row>
        <row r="17">
          <cell r="A17" t="str">
            <v>CFC-113</v>
          </cell>
          <cell r="B17">
            <v>6130</v>
          </cell>
        </row>
        <row r="18">
          <cell r="A18" t="str">
            <v>CFC-114</v>
          </cell>
          <cell r="B18">
            <v>10000</v>
          </cell>
        </row>
        <row r="19">
          <cell r="A19" t="str">
            <v>CFC-115</v>
          </cell>
          <cell r="B19">
            <v>7370</v>
          </cell>
        </row>
        <row r="20">
          <cell r="A20" t="str">
            <v>CFC-12</v>
          </cell>
          <cell r="B20">
            <v>10900</v>
          </cell>
        </row>
        <row r="21">
          <cell r="A21" t="str">
            <v>CFC-13</v>
          </cell>
          <cell r="B21">
            <v>14400</v>
          </cell>
        </row>
        <row r="22">
          <cell r="A22" t="str">
            <v>Dichloromethane</v>
          </cell>
          <cell r="B22">
            <v>8.6999999999999993</v>
          </cell>
        </row>
        <row r="23">
          <cell r="A23" t="str">
            <v>Dinitrogen oxide</v>
          </cell>
          <cell r="B23">
            <v>298</v>
          </cell>
        </row>
        <row r="24">
          <cell r="A24" t="str">
            <v>HALON-1211</v>
          </cell>
          <cell r="B24">
            <v>1890</v>
          </cell>
        </row>
        <row r="25">
          <cell r="A25" t="str">
            <v>HALON-1301</v>
          </cell>
          <cell r="B25">
            <v>7140</v>
          </cell>
        </row>
        <row r="26">
          <cell r="A26" t="str">
            <v>HALON-2402</v>
          </cell>
          <cell r="B26">
            <v>1640</v>
          </cell>
        </row>
        <row r="27">
          <cell r="A27" t="str">
            <v>HCFC-123</v>
          </cell>
          <cell r="B27">
            <v>77</v>
          </cell>
        </row>
        <row r="28">
          <cell r="A28" t="str">
            <v>HCFC-124</v>
          </cell>
          <cell r="B28">
            <v>609</v>
          </cell>
        </row>
        <row r="29">
          <cell r="A29" t="str">
            <v>HCFC-141b</v>
          </cell>
          <cell r="B29">
            <v>725</v>
          </cell>
        </row>
        <row r="30">
          <cell r="A30" t="str">
            <v>HCFC-142b</v>
          </cell>
          <cell r="B30">
            <v>2310</v>
          </cell>
        </row>
        <row r="31">
          <cell r="A31" t="str">
            <v xml:space="preserve">HCFC-22 </v>
          </cell>
          <cell r="B31">
            <v>1810</v>
          </cell>
        </row>
        <row r="32">
          <cell r="A32" t="str">
            <v>HCFC-225ca</v>
          </cell>
          <cell r="B32">
            <v>122</v>
          </cell>
        </row>
        <row r="33">
          <cell r="A33" t="str">
            <v>HCFC-225cb</v>
          </cell>
          <cell r="B33">
            <v>595</v>
          </cell>
        </row>
        <row r="34">
          <cell r="A34" t="str">
            <v>HFC-125</v>
          </cell>
          <cell r="B34">
            <v>3500</v>
          </cell>
        </row>
        <row r="35">
          <cell r="A35" t="str">
            <v>HFC-134a</v>
          </cell>
          <cell r="B35">
            <v>1430</v>
          </cell>
        </row>
        <row r="36">
          <cell r="A36" t="str">
            <v>HFC-143a</v>
          </cell>
          <cell r="B36">
            <v>4470</v>
          </cell>
        </row>
        <row r="37">
          <cell r="A37" t="str">
            <v>HFC-152a</v>
          </cell>
          <cell r="B37">
            <v>124</v>
          </cell>
        </row>
        <row r="38">
          <cell r="A38" t="str">
            <v>HFC-227ea</v>
          </cell>
          <cell r="B38">
            <v>3220</v>
          </cell>
        </row>
        <row r="39">
          <cell r="A39" t="str">
            <v>HFC-23</v>
          </cell>
          <cell r="B39">
            <v>14800</v>
          </cell>
        </row>
        <row r="40">
          <cell r="A40" t="str">
            <v>HFC-236fa</v>
          </cell>
          <cell r="B40">
            <v>9810</v>
          </cell>
        </row>
        <row r="41">
          <cell r="A41" t="str">
            <v>HFC-32</v>
          </cell>
          <cell r="B41">
            <v>675</v>
          </cell>
        </row>
        <row r="42">
          <cell r="A42" t="str">
            <v>HFC-43-10mee</v>
          </cell>
          <cell r="B42">
            <v>1640</v>
          </cell>
        </row>
        <row r="43">
          <cell r="A43" t="str">
            <v>Methane</v>
          </cell>
          <cell r="B43">
            <v>25</v>
          </cell>
        </row>
        <row r="44">
          <cell r="A44" t="str">
            <v>Methyl Chloride</v>
          </cell>
          <cell r="B44">
            <v>13</v>
          </cell>
        </row>
        <row r="45">
          <cell r="A45" t="str">
            <v>methylbromide</v>
          </cell>
          <cell r="B45">
            <v>5</v>
          </cell>
        </row>
        <row r="46">
          <cell r="A46" t="str">
            <v>Perfluorobutane</v>
          </cell>
          <cell r="B46">
            <v>8860</v>
          </cell>
        </row>
        <row r="47">
          <cell r="A47" t="str">
            <v>Perfluorocyclobutane</v>
          </cell>
          <cell r="B47">
            <v>10300</v>
          </cell>
        </row>
        <row r="48">
          <cell r="A48" t="str">
            <v>Perfluoroethane</v>
          </cell>
          <cell r="B48">
            <v>12200</v>
          </cell>
        </row>
        <row r="49">
          <cell r="A49" t="str">
            <v>Perfluorohexane</v>
          </cell>
          <cell r="B49">
            <v>9300</v>
          </cell>
        </row>
        <row r="50">
          <cell r="A50" t="str">
            <v>Perfluoromethane</v>
          </cell>
          <cell r="B50">
            <v>7390</v>
          </cell>
        </row>
        <row r="51">
          <cell r="A51" t="str">
            <v>Perfluoropropane</v>
          </cell>
          <cell r="B51">
            <v>8830</v>
          </cell>
        </row>
        <row r="52">
          <cell r="A52" t="str">
            <v>Sulphur hexafluoride</v>
          </cell>
          <cell r="B52">
            <v>22800</v>
          </cell>
        </row>
        <row r="53">
          <cell r="A53" t="str">
            <v>Tetrachloromethane</v>
          </cell>
          <cell r="B53">
            <v>1400</v>
          </cell>
        </row>
      </sheetData>
    </sheetDataSet>
  </externalBook>
</externalLink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themasites.pbl.nl/balansvandeleefomgeving/2012/integraal-stikstof/trend-stikstofefficientie-van-de-landbouwsector-nederland-versus-eu" TargetMode="External"/><Relationship Id="rId1" Type="http://schemas.openxmlformats.org/officeDocument/2006/relationships/hyperlink" Target="http://www.cbs.nl/NR/rdonlyres/66F168B9-7628-4FDE-AD09-20BA7CF31364/0/2012benuttingstikstoffosforlandbouwart.pdf." TargetMode="External"/><Relationship Id="rId4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7:V16"/>
  <sheetViews>
    <sheetView workbookViewId="0">
      <selection activeCell="I22" sqref="I22"/>
    </sheetView>
  </sheetViews>
  <sheetFormatPr defaultRowHeight="12.75" x14ac:dyDescent="0.2"/>
  <cols>
    <col min="1" max="16384" width="9.140625" style="259"/>
  </cols>
  <sheetData>
    <row r="7" spans="3:22" ht="13.5" thickBot="1" x14ac:dyDescent="0.25"/>
    <row r="8" spans="3:22" ht="12.75" customHeight="1" x14ac:dyDescent="0.2">
      <c r="C8" s="405" t="s">
        <v>460</v>
      </c>
      <c r="D8" s="406"/>
      <c r="E8" s="406"/>
      <c r="F8" s="406"/>
      <c r="G8" s="406"/>
      <c r="H8" s="406"/>
      <c r="I8" s="406"/>
      <c r="J8" s="406"/>
      <c r="K8" s="406"/>
      <c r="L8" s="406"/>
      <c r="M8" s="406"/>
      <c r="N8" s="406"/>
      <c r="O8" s="406"/>
      <c r="P8" s="406"/>
      <c r="Q8" s="406"/>
      <c r="R8" s="406"/>
      <c r="S8" s="407"/>
      <c r="T8" s="394"/>
      <c r="U8" s="395"/>
      <c r="V8" s="395"/>
    </row>
    <row r="9" spans="3:22" ht="12.75" customHeight="1" x14ac:dyDescent="0.2">
      <c r="C9" s="408"/>
      <c r="D9" s="409"/>
      <c r="E9" s="409"/>
      <c r="F9" s="409"/>
      <c r="G9" s="409"/>
      <c r="H9" s="409"/>
      <c r="I9" s="409"/>
      <c r="J9" s="409"/>
      <c r="K9" s="409"/>
      <c r="L9" s="409"/>
      <c r="M9" s="409"/>
      <c r="N9" s="409"/>
      <c r="O9" s="409"/>
      <c r="P9" s="409"/>
      <c r="Q9" s="409"/>
      <c r="R9" s="409"/>
      <c r="S9" s="410"/>
      <c r="T9" s="394"/>
      <c r="U9" s="395"/>
      <c r="V9" s="395"/>
    </row>
    <row r="10" spans="3:22" ht="12.75" customHeight="1" x14ac:dyDescent="0.2">
      <c r="C10" s="408"/>
      <c r="D10" s="409"/>
      <c r="E10" s="409"/>
      <c r="F10" s="409"/>
      <c r="G10" s="409"/>
      <c r="H10" s="409"/>
      <c r="I10" s="409"/>
      <c r="J10" s="409"/>
      <c r="K10" s="409"/>
      <c r="L10" s="409"/>
      <c r="M10" s="409"/>
      <c r="N10" s="409"/>
      <c r="O10" s="409"/>
      <c r="P10" s="409"/>
      <c r="Q10" s="409"/>
      <c r="R10" s="409"/>
      <c r="S10" s="410"/>
      <c r="T10" s="394"/>
      <c r="U10" s="395"/>
      <c r="V10" s="395"/>
    </row>
    <row r="11" spans="3:22" ht="13.5" customHeight="1" thickBot="1" x14ac:dyDescent="0.25">
      <c r="C11" s="411"/>
      <c r="D11" s="412"/>
      <c r="E11" s="412"/>
      <c r="F11" s="412"/>
      <c r="G11" s="412"/>
      <c r="H11" s="412"/>
      <c r="I11" s="412"/>
      <c r="J11" s="412"/>
      <c r="K11" s="412"/>
      <c r="L11" s="412"/>
      <c r="M11" s="412"/>
      <c r="N11" s="412"/>
      <c r="O11" s="412"/>
      <c r="P11" s="412"/>
      <c r="Q11" s="412"/>
      <c r="R11" s="412"/>
      <c r="S11" s="413"/>
      <c r="T11" s="394"/>
      <c r="U11" s="395"/>
      <c r="V11" s="395"/>
    </row>
    <row r="14" spans="3:22" x14ac:dyDescent="0.2">
      <c r="C14" s="414" t="s">
        <v>459</v>
      </c>
      <c r="D14" s="415"/>
      <c r="E14" s="415"/>
      <c r="F14" s="415"/>
      <c r="G14" s="415"/>
      <c r="H14" s="415"/>
      <c r="I14" s="415"/>
      <c r="J14" s="415"/>
      <c r="K14" s="415"/>
      <c r="L14" s="415"/>
      <c r="M14" s="415"/>
      <c r="N14" s="415"/>
      <c r="O14" s="415"/>
      <c r="P14" s="415"/>
      <c r="Q14" s="415"/>
      <c r="R14" s="415"/>
      <c r="S14" s="416"/>
    </row>
    <row r="15" spans="3:22" x14ac:dyDescent="0.2">
      <c r="C15" s="417"/>
      <c r="D15" s="418"/>
      <c r="E15" s="418"/>
      <c r="F15" s="418"/>
      <c r="G15" s="418"/>
      <c r="H15" s="418"/>
      <c r="I15" s="418"/>
      <c r="J15" s="418"/>
      <c r="K15" s="418"/>
      <c r="L15" s="418"/>
      <c r="M15" s="418"/>
      <c r="N15" s="418"/>
      <c r="O15" s="418"/>
      <c r="P15" s="418"/>
      <c r="Q15" s="418"/>
      <c r="R15" s="418"/>
      <c r="S15" s="419"/>
    </row>
    <row r="16" spans="3:22" x14ac:dyDescent="0.2">
      <c r="C16" s="420"/>
      <c r="D16" s="421"/>
      <c r="E16" s="421"/>
      <c r="F16" s="421"/>
      <c r="G16" s="421"/>
      <c r="H16" s="421"/>
      <c r="I16" s="421"/>
      <c r="J16" s="421"/>
      <c r="K16" s="421"/>
      <c r="L16" s="421"/>
      <c r="M16" s="421"/>
      <c r="N16" s="421"/>
      <c r="O16" s="421"/>
      <c r="P16" s="421"/>
      <c r="Q16" s="421"/>
      <c r="R16" s="421"/>
      <c r="S16" s="422"/>
    </row>
  </sheetData>
  <mergeCells count="2">
    <mergeCell ref="C8:S11"/>
    <mergeCell ref="C14:S16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6"/>
  <sheetViews>
    <sheetView zoomScale="80" zoomScaleNormal="80" workbookViewId="0">
      <selection activeCell="Q42" sqref="Q42"/>
    </sheetView>
  </sheetViews>
  <sheetFormatPr defaultRowHeight="12.75" x14ac:dyDescent="0.2"/>
  <cols>
    <col min="2" max="2" width="2.7109375" customWidth="1"/>
    <col min="3" max="3" width="8.7109375" customWidth="1"/>
    <col min="4" max="4" width="27.5703125" bestFit="1" customWidth="1"/>
    <col min="5" max="5" width="9.85546875" bestFit="1" customWidth="1"/>
    <col min="6" max="6" width="9.85546875" customWidth="1"/>
    <col min="7" max="7" width="9.5703125" bestFit="1" customWidth="1"/>
    <col min="9" max="9" width="9.140625" customWidth="1"/>
    <col min="10" max="10" width="13" bestFit="1" customWidth="1"/>
    <col min="11" max="11" width="12.140625" bestFit="1" customWidth="1"/>
    <col min="12" max="12" width="9.140625" customWidth="1"/>
    <col min="14" max="14" width="16.140625" style="76" bestFit="1" customWidth="1"/>
    <col min="18" max="18" width="14" bestFit="1" customWidth="1"/>
    <col min="20" max="20" width="2.7109375" customWidth="1"/>
    <col min="22" max="22" width="4.7109375" customWidth="1"/>
    <col min="23" max="23" width="9.140625" style="176"/>
    <col min="25" max="25" width="10.7109375" bestFit="1" customWidth="1"/>
    <col min="27" max="27" width="10.7109375" bestFit="1" customWidth="1"/>
  </cols>
  <sheetData>
    <row r="1" spans="1:32" ht="15" thickBot="1" x14ac:dyDescent="0.35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91"/>
      <c r="O1" s="259"/>
      <c r="P1" s="259"/>
      <c r="Q1" s="259"/>
      <c r="R1" s="259"/>
      <c r="S1" s="259"/>
      <c r="T1" s="259"/>
      <c r="U1" s="259"/>
      <c r="V1" s="116"/>
      <c r="W1" s="308"/>
      <c r="X1" s="308"/>
      <c r="Y1" s="308"/>
      <c r="Z1" s="308"/>
      <c r="AA1" s="308"/>
      <c r="AB1" s="308"/>
      <c r="AC1" s="308"/>
      <c r="AD1" s="308"/>
      <c r="AE1" s="308"/>
      <c r="AF1" s="308"/>
    </row>
    <row r="2" spans="1:32" ht="18.75" x14ac:dyDescent="0.3">
      <c r="A2" s="259"/>
      <c r="B2" s="56"/>
      <c r="C2" s="75" t="s">
        <v>401</v>
      </c>
      <c r="D2" s="56"/>
      <c r="E2" s="56"/>
      <c r="F2" s="56"/>
      <c r="G2" s="56"/>
      <c r="H2" s="282" t="s">
        <v>387</v>
      </c>
      <c r="I2" s="283"/>
      <c r="J2" s="283"/>
      <c r="K2" s="283"/>
      <c r="L2" s="283"/>
      <c r="M2" s="284"/>
      <c r="N2" s="291"/>
      <c r="O2" s="259"/>
      <c r="P2" s="259"/>
      <c r="Q2" s="259"/>
      <c r="R2" s="259"/>
      <c r="S2" s="259"/>
      <c r="T2" s="259"/>
      <c r="U2" s="259"/>
      <c r="V2" s="116"/>
      <c r="W2" s="308"/>
      <c r="X2" s="308"/>
      <c r="Y2" s="308"/>
      <c r="Z2" s="308"/>
      <c r="AA2" s="308"/>
      <c r="AB2" s="308"/>
      <c r="AC2" s="308"/>
      <c r="AD2" s="308"/>
      <c r="AE2" s="308"/>
      <c r="AF2" s="308"/>
    </row>
    <row r="3" spans="1:32" ht="16.5" x14ac:dyDescent="0.3">
      <c r="A3" s="259"/>
      <c r="B3" s="56"/>
      <c r="C3" s="56"/>
      <c r="D3" s="56"/>
      <c r="E3" s="56"/>
      <c r="F3" s="56"/>
      <c r="G3" s="56"/>
      <c r="H3" s="285" t="s">
        <v>378</v>
      </c>
      <c r="I3" s="286"/>
      <c r="J3" s="286"/>
      <c r="K3" s="286"/>
      <c r="L3" s="286"/>
      <c r="M3" s="287"/>
      <c r="N3" s="291"/>
      <c r="O3" s="259"/>
      <c r="P3" s="259"/>
      <c r="Q3" s="259"/>
      <c r="R3" s="259"/>
      <c r="S3" s="259"/>
      <c r="T3" s="259"/>
      <c r="U3" s="259"/>
      <c r="V3" s="116"/>
      <c r="W3" s="308"/>
      <c r="X3" s="308"/>
      <c r="Y3" s="308"/>
      <c r="Z3" s="308"/>
      <c r="AA3" s="308"/>
      <c r="AB3" s="308"/>
      <c r="AC3" s="308"/>
      <c r="AD3" s="308"/>
      <c r="AE3" s="308"/>
      <c r="AF3" s="308"/>
    </row>
    <row r="4" spans="1:32" ht="15" thickBot="1" x14ac:dyDescent="0.35">
      <c r="A4" s="259"/>
      <c r="B4" s="56"/>
      <c r="C4" s="56"/>
      <c r="D4" s="56"/>
      <c r="E4" s="56"/>
      <c r="F4" s="56"/>
      <c r="G4" s="56"/>
      <c r="H4" s="288"/>
      <c r="I4" s="289"/>
      <c r="J4" s="289"/>
      <c r="K4" s="289"/>
      <c r="L4" s="289"/>
      <c r="M4" s="290"/>
      <c r="N4" s="291"/>
      <c r="O4" s="259"/>
      <c r="P4" s="259"/>
      <c r="Q4" s="259"/>
      <c r="R4" s="259"/>
      <c r="S4" s="259"/>
      <c r="T4" s="259"/>
      <c r="U4" s="259"/>
      <c r="V4" s="116"/>
      <c r="W4" s="308"/>
      <c r="X4" s="308"/>
      <c r="Y4" s="308"/>
      <c r="Z4" s="308"/>
      <c r="AA4" s="308"/>
      <c r="AB4" s="308"/>
      <c r="AC4" s="308"/>
      <c r="AD4" s="308"/>
      <c r="AE4" s="308"/>
      <c r="AF4" s="308"/>
    </row>
    <row r="5" spans="1:32" ht="14.25" x14ac:dyDescent="0.3">
      <c r="A5" s="25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259"/>
      <c r="V5" s="116"/>
      <c r="W5" s="308"/>
      <c r="X5" s="308"/>
      <c r="Y5" s="308"/>
      <c r="Z5" s="308"/>
      <c r="AA5" s="308"/>
      <c r="AB5" s="308"/>
      <c r="AC5" s="308"/>
      <c r="AD5" s="308"/>
      <c r="AE5" s="308"/>
      <c r="AF5" s="308"/>
    </row>
    <row r="6" spans="1:32" ht="14.25" customHeight="1" x14ac:dyDescent="0.3">
      <c r="A6" s="259"/>
      <c r="B6" s="7"/>
      <c r="C6" s="56"/>
      <c r="D6" s="56"/>
      <c r="E6" s="514" t="s">
        <v>414</v>
      </c>
      <c r="F6" s="514"/>
      <c r="G6" s="56"/>
      <c r="H6" s="264" t="s">
        <v>415</v>
      </c>
      <c r="I6" s="515" t="s">
        <v>390</v>
      </c>
      <c r="J6" s="515"/>
      <c r="K6" s="515"/>
      <c r="L6" s="239"/>
      <c r="M6" s="56"/>
      <c r="N6" s="56"/>
      <c r="O6" s="56"/>
      <c r="P6" s="56"/>
      <c r="Q6" s="56"/>
      <c r="R6" s="56"/>
      <c r="S6" s="29"/>
      <c r="T6" s="7"/>
      <c r="U6" s="259"/>
      <c r="V6" s="116"/>
      <c r="W6" s="308"/>
      <c r="X6" s="243" t="s">
        <v>393</v>
      </c>
      <c r="Y6" s="243"/>
      <c r="Z6" s="243" t="s">
        <v>394</v>
      </c>
      <c r="AA6" s="243"/>
      <c r="AB6" s="308"/>
      <c r="AC6" s="308"/>
      <c r="AD6" s="308"/>
      <c r="AE6" s="308"/>
      <c r="AF6" s="308"/>
    </row>
    <row r="7" spans="1:32" ht="14.25" x14ac:dyDescent="0.3">
      <c r="A7" s="259"/>
      <c r="B7" s="7"/>
      <c r="C7" s="56"/>
      <c r="D7" s="56"/>
      <c r="E7" s="56" t="s">
        <v>416</v>
      </c>
      <c r="F7" s="56" t="s">
        <v>417</v>
      </c>
      <c r="G7" s="56"/>
      <c r="H7" s="264" t="s">
        <v>418</v>
      </c>
      <c r="I7" s="243" t="s">
        <v>400</v>
      </c>
      <c r="J7" s="244" t="s">
        <v>397</v>
      </c>
      <c r="K7" s="244" t="s">
        <v>399</v>
      </c>
      <c r="L7" s="239"/>
      <c r="M7" s="56"/>
      <c r="N7" s="56"/>
      <c r="O7" s="56"/>
      <c r="P7" s="56"/>
      <c r="Q7" s="56"/>
      <c r="R7" s="56"/>
      <c r="S7" s="29"/>
      <c r="T7" s="7"/>
      <c r="U7" s="259"/>
      <c r="V7" s="116"/>
      <c r="W7" s="308"/>
      <c r="X7" s="243" t="s">
        <v>392</v>
      </c>
      <c r="Y7" s="243" t="s">
        <v>391</v>
      </c>
      <c r="Z7" s="243" t="s">
        <v>392</v>
      </c>
      <c r="AA7" s="243" t="s">
        <v>391</v>
      </c>
      <c r="AB7" s="308"/>
      <c r="AC7" s="308"/>
      <c r="AD7" s="308"/>
      <c r="AE7" s="308"/>
      <c r="AF7" s="308"/>
    </row>
    <row r="8" spans="1:32" ht="14.25" x14ac:dyDescent="0.3">
      <c r="A8" s="259"/>
      <c r="B8" s="7"/>
      <c r="C8" s="56"/>
      <c r="D8" s="56"/>
      <c r="E8" s="56" t="s">
        <v>419</v>
      </c>
      <c r="F8" s="56"/>
      <c r="G8" s="56"/>
      <c r="H8" s="264" t="s">
        <v>420</v>
      </c>
      <c r="I8" s="245" t="s">
        <v>398</v>
      </c>
      <c r="J8" s="245" t="s">
        <v>398</v>
      </c>
      <c r="K8" s="245" t="s">
        <v>398</v>
      </c>
      <c r="L8" s="241"/>
      <c r="M8" s="56"/>
      <c r="N8" s="56"/>
      <c r="O8" s="56"/>
      <c r="P8" s="56"/>
      <c r="Q8" s="56"/>
      <c r="R8" s="56"/>
      <c r="S8" s="29"/>
      <c r="T8" s="7"/>
      <c r="U8" s="259"/>
      <c r="V8" s="116"/>
      <c r="W8" s="308"/>
      <c r="X8" s="308"/>
      <c r="Y8" s="308"/>
      <c r="Z8" s="308"/>
      <c r="AA8" s="308"/>
      <c r="AB8" s="308"/>
      <c r="AC8" s="308"/>
      <c r="AD8" s="308"/>
      <c r="AE8" s="308"/>
      <c r="AF8" s="308"/>
    </row>
    <row r="9" spans="1:32" ht="14.25" x14ac:dyDescent="0.3">
      <c r="A9" s="259"/>
      <c r="B9" s="7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29"/>
      <c r="T9" s="7"/>
      <c r="U9" s="259"/>
      <c r="V9" s="116"/>
      <c r="W9" s="308"/>
      <c r="X9" s="308"/>
      <c r="Y9" s="308"/>
      <c r="Z9" s="308"/>
      <c r="AA9" s="308"/>
      <c r="AB9" s="308"/>
      <c r="AC9" s="308"/>
      <c r="AD9" s="308"/>
      <c r="AE9" s="308"/>
      <c r="AF9" s="308"/>
    </row>
    <row r="10" spans="1:32" ht="14.25" x14ac:dyDescent="0.3">
      <c r="A10" s="259"/>
      <c r="B10" s="7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29"/>
      <c r="T10" s="7"/>
      <c r="U10" s="259"/>
      <c r="V10" s="116"/>
      <c r="W10" s="308"/>
      <c r="X10" s="308"/>
      <c r="Y10" s="308"/>
      <c r="Z10" s="308"/>
      <c r="AA10" s="308"/>
      <c r="AB10" s="308"/>
      <c r="AC10" s="308"/>
      <c r="AD10" s="308"/>
      <c r="AE10" s="308"/>
      <c r="AF10" s="308"/>
    </row>
    <row r="11" spans="1:32" ht="15" customHeight="1" thickBot="1" x14ac:dyDescent="0.35">
      <c r="A11" s="259"/>
      <c r="B11" s="7"/>
      <c r="C11" s="56"/>
      <c r="D11" s="90" t="s">
        <v>386</v>
      </c>
      <c r="E11" s="56"/>
      <c r="F11" s="56"/>
      <c r="G11" s="56"/>
      <c r="H11" s="56"/>
      <c r="I11" s="241"/>
      <c r="J11" s="241"/>
      <c r="K11" s="241"/>
      <c r="L11" s="241"/>
      <c r="M11" s="516" t="s">
        <v>205</v>
      </c>
      <c r="N11" s="445"/>
      <c r="O11" s="29"/>
      <c r="P11" s="450" t="s">
        <v>206</v>
      </c>
      <c r="Q11" s="450" t="s">
        <v>207</v>
      </c>
      <c r="R11" s="82"/>
      <c r="S11" s="29"/>
      <c r="T11" s="7"/>
      <c r="U11" s="259"/>
      <c r="V11" s="116"/>
      <c r="W11" s="308"/>
      <c r="X11" s="308"/>
      <c r="Y11" s="308"/>
      <c r="Z11" s="308"/>
      <c r="AA11" s="308"/>
      <c r="AB11" s="308"/>
      <c r="AC11" s="308"/>
      <c r="AD11" s="308"/>
      <c r="AE11" s="308"/>
      <c r="AF11" s="308"/>
    </row>
    <row r="12" spans="1:32" ht="14.25" x14ac:dyDescent="0.3">
      <c r="A12" s="259"/>
      <c r="B12" s="7"/>
      <c r="C12" s="56"/>
      <c r="D12" s="306" t="s">
        <v>412</v>
      </c>
      <c r="E12" s="271">
        <v>150</v>
      </c>
      <c r="F12" s="273"/>
      <c r="G12" s="56"/>
      <c r="H12" s="56"/>
      <c r="I12" s="240"/>
      <c r="J12" s="240"/>
      <c r="K12" s="240"/>
      <c r="L12" s="240"/>
      <c r="M12" s="517"/>
      <c r="N12" s="447"/>
      <c r="O12" s="29"/>
      <c r="P12" s="450"/>
      <c r="Q12" s="450"/>
      <c r="R12" s="82"/>
      <c r="S12" s="29"/>
      <c r="T12" s="7"/>
      <c r="U12" s="259"/>
      <c r="V12" s="116"/>
      <c r="W12" s="308"/>
      <c r="X12" s="308"/>
      <c r="Y12" s="308"/>
      <c r="Z12" s="308"/>
      <c r="AA12" s="308"/>
      <c r="AB12" s="308"/>
      <c r="AC12" s="308"/>
      <c r="AD12" s="308"/>
      <c r="AE12" s="308"/>
      <c r="AF12" s="308"/>
    </row>
    <row r="13" spans="1:32" ht="15" thickBot="1" x14ac:dyDescent="0.35">
      <c r="A13" s="259"/>
      <c r="B13" s="7"/>
      <c r="C13" s="56"/>
      <c r="D13" s="306" t="s">
        <v>413</v>
      </c>
      <c r="E13" s="272">
        <v>50</v>
      </c>
      <c r="F13" s="273"/>
      <c r="G13" s="56"/>
      <c r="H13" s="56"/>
      <c r="I13" s="240"/>
      <c r="J13" s="240"/>
      <c r="K13" s="240"/>
      <c r="L13" s="240"/>
      <c r="M13" s="518"/>
      <c r="N13" s="449"/>
      <c r="O13" s="29"/>
      <c r="P13" s="450"/>
      <c r="Q13" s="450"/>
      <c r="R13" s="82"/>
      <c r="S13" s="29"/>
      <c r="T13" s="7"/>
      <c r="U13" s="259"/>
      <c r="V13" s="116"/>
      <c r="W13" s="308"/>
      <c r="X13" s="308"/>
      <c r="Y13" s="308"/>
      <c r="Z13" s="308"/>
      <c r="AA13" s="308"/>
      <c r="AB13" s="308"/>
      <c r="AC13" s="308"/>
      <c r="AD13" s="308"/>
      <c r="AE13" s="308"/>
      <c r="AF13" s="308"/>
    </row>
    <row r="14" spans="1:32" ht="14.25" x14ac:dyDescent="0.3">
      <c r="A14" s="259"/>
      <c r="B14" s="7"/>
      <c r="C14" s="56"/>
      <c r="D14" s="302" t="s">
        <v>388</v>
      </c>
      <c r="E14" s="246">
        <f>+IF(H3=M37,M14*E12/(M14*E12+P14*E13),100%)</f>
        <v>1</v>
      </c>
      <c r="F14" s="279">
        <f>+E14*F28</f>
        <v>0.793309625191566</v>
      </c>
      <c r="G14" s="56"/>
      <c r="H14" s="276">
        <f>+Landbouw!O3</f>
        <v>0.30419266693521824</v>
      </c>
      <c r="I14" s="303">
        <f>+H14*M14</f>
        <v>1.6602037905222951</v>
      </c>
      <c r="J14" s="304">
        <f>+I14*F14</f>
        <v>1.317055646800859</v>
      </c>
      <c r="K14" s="305">
        <f>+I14*F15</f>
        <v>1.1379276594053978</v>
      </c>
      <c r="L14" s="242"/>
      <c r="M14" s="355">
        <f>+Massabalans!H10</f>
        <v>5.4577377135651233</v>
      </c>
      <c r="N14" s="81" t="s">
        <v>396</v>
      </c>
      <c r="O14" s="29"/>
      <c r="P14" s="198">
        <f>+Massabalans!K10</f>
        <v>5.7074381318328093</v>
      </c>
      <c r="Q14" s="198">
        <f>+Massabalans!L10</f>
        <v>2.6796422028955038</v>
      </c>
      <c r="R14" s="83" t="s">
        <v>395</v>
      </c>
      <c r="T14" s="7"/>
      <c r="U14" s="259"/>
      <c r="V14" s="116"/>
      <c r="W14" s="308"/>
      <c r="X14" s="247">
        <v>17</v>
      </c>
      <c r="Y14" s="248">
        <f>+Massabalans!E9</f>
        <v>0.85</v>
      </c>
      <c r="Z14" s="249">
        <v>17.2</v>
      </c>
      <c r="AA14" s="250">
        <f>3.6/4.3</f>
        <v>0.83720930232558144</v>
      </c>
      <c r="AB14" s="308"/>
      <c r="AC14" s="308"/>
      <c r="AD14" s="308"/>
      <c r="AE14" s="308"/>
      <c r="AF14" s="308"/>
    </row>
    <row r="15" spans="1:32" ht="14.25" x14ac:dyDescent="0.3">
      <c r="A15" s="259"/>
      <c r="B15" s="7"/>
      <c r="C15" s="56"/>
      <c r="D15" s="277" t="s">
        <v>389</v>
      </c>
      <c r="E15" s="237">
        <f>+IF(H3=M37,(M14*X15/Y14)/((M14*X15/Y14)+(P14*Z15/AA14)),100%)</f>
        <v>1</v>
      </c>
      <c r="F15" s="279">
        <f>+E15*F29</f>
        <v>0.68541444484198488</v>
      </c>
      <c r="G15" s="56"/>
      <c r="H15" s="56"/>
      <c r="I15" s="56"/>
      <c r="J15" s="56"/>
      <c r="K15" s="56"/>
      <c r="L15" s="56"/>
      <c r="M15" s="29"/>
      <c r="N15" s="77"/>
      <c r="O15" s="29"/>
      <c r="P15" s="29"/>
      <c r="Q15" s="29"/>
      <c r="R15" s="29"/>
      <c r="S15" s="29"/>
      <c r="T15" s="7"/>
      <c r="U15" s="259"/>
      <c r="V15" s="116"/>
      <c r="W15" s="308"/>
      <c r="X15" s="247">
        <f>+X14*Y14-2.44*(1-Y14)</f>
        <v>14.084</v>
      </c>
      <c r="Y15" s="249"/>
      <c r="Z15" s="247">
        <f>+Z14*AA14-2.44*(1-AA14)</f>
        <v>14.002790697674419</v>
      </c>
      <c r="AA15" s="249"/>
      <c r="AB15" s="308"/>
      <c r="AC15" s="308"/>
      <c r="AD15" s="308"/>
      <c r="AE15" s="308"/>
      <c r="AF15" s="308"/>
    </row>
    <row r="16" spans="1:32" ht="14.25" x14ac:dyDescent="0.3">
      <c r="A16" s="259"/>
      <c r="B16" s="7"/>
      <c r="C16" s="56"/>
      <c r="D16" s="56"/>
      <c r="E16" s="237"/>
      <c r="F16" s="279"/>
      <c r="G16" s="56"/>
      <c r="H16" s="56"/>
      <c r="I16" s="56"/>
      <c r="J16" s="56"/>
      <c r="K16" s="56"/>
      <c r="L16" s="56"/>
      <c r="M16" s="29"/>
      <c r="N16" s="77"/>
      <c r="O16" s="29"/>
      <c r="P16" s="29"/>
      <c r="Q16" s="29"/>
      <c r="R16" s="29"/>
      <c r="S16" s="29"/>
      <c r="T16" s="7"/>
      <c r="U16" s="259"/>
      <c r="V16" s="116"/>
      <c r="W16" s="308"/>
      <c r="X16" s="247"/>
      <c r="Y16" s="249"/>
      <c r="Z16" s="247"/>
      <c r="AA16" s="249"/>
      <c r="AB16" s="308"/>
      <c r="AC16" s="308"/>
      <c r="AD16" s="308"/>
      <c r="AE16" s="308"/>
      <c r="AF16" s="308"/>
    </row>
    <row r="17" spans="1:32" ht="14.25" x14ac:dyDescent="0.3">
      <c r="A17" s="259"/>
      <c r="B17" s="7"/>
      <c r="C17" s="56"/>
      <c r="D17" s="302" t="s">
        <v>388</v>
      </c>
      <c r="E17" s="278">
        <f>+E14</f>
        <v>1</v>
      </c>
      <c r="F17" s="237">
        <f>+E17*F28</f>
        <v>0.793309625191566</v>
      </c>
      <c r="G17" s="56"/>
      <c r="H17" s="56"/>
      <c r="I17" s="303">
        <f>+Transport!K13/1000</f>
        <v>2.1747096788072941E-2</v>
      </c>
      <c r="J17" s="304">
        <f>+I17*F17</f>
        <v>1.7252181201950854E-2</v>
      </c>
      <c r="K17" s="305">
        <f>+I17*F18</f>
        <v>1.4905774271921928E-2</v>
      </c>
      <c r="L17" s="56"/>
      <c r="M17" s="425" t="s">
        <v>213</v>
      </c>
      <c r="N17" s="78"/>
      <c r="O17" s="29"/>
      <c r="Q17" s="29"/>
      <c r="R17" s="29"/>
      <c r="S17" s="29"/>
      <c r="T17" s="7"/>
      <c r="U17" s="259"/>
      <c r="V17" s="116"/>
      <c r="W17" s="308"/>
      <c r="X17" s="308"/>
      <c r="Y17" s="308"/>
      <c r="Z17" s="308"/>
      <c r="AA17" s="308"/>
      <c r="AB17" s="308"/>
      <c r="AC17" s="308"/>
      <c r="AD17" s="308"/>
      <c r="AE17" s="308"/>
      <c r="AF17" s="308"/>
    </row>
    <row r="18" spans="1:32" ht="14.25" x14ac:dyDescent="0.3">
      <c r="A18" s="259"/>
      <c r="B18" s="7"/>
      <c r="C18" s="56"/>
      <c r="D18" s="277" t="s">
        <v>389</v>
      </c>
      <c r="E18" s="278">
        <f>+E15</f>
        <v>1</v>
      </c>
      <c r="F18" s="237">
        <f>+E18*F29</f>
        <v>0.68541444484198488</v>
      </c>
      <c r="G18" s="56"/>
      <c r="H18" s="195"/>
      <c r="I18" s="195"/>
      <c r="J18" s="195"/>
      <c r="K18" s="195"/>
      <c r="L18" s="195"/>
      <c r="M18" s="425"/>
      <c r="N18" s="78"/>
      <c r="O18" s="29"/>
      <c r="P18" s="29"/>
      <c r="Q18" s="29"/>
      <c r="R18" s="29"/>
      <c r="S18" s="29"/>
      <c r="T18" s="7"/>
      <c r="U18" s="259"/>
      <c r="V18" s="116"/>
      <c r="W18" s="308"/>
      <c r="X18" s="308"/>
      <c r="Y18" s="308"/>
      <c r="Z18" s="308"/>
      <c r="AA18" s="308"/>
      <c r="AB18" s="308"/>
      <c r="AC18" s="308"/>
      <c r="AD18" s="308"/>
      <c r="AE18" s="308"/>
      <c r="AF18" s="308"/>
    </row>
    <row r="19" spans="1:32" ht="14.25" x14ac:dyDescent="0.3">
      <c r="A19" s="259"/>
      <c r="B19" s="7"/>
      <c r="C19" s="56"/>
      <c r="D19" s="56"/>
      <c r="E19" s="56"/>
      <c r="F19" s="237"/>
      <c r="G19" s="56"/>
      <c r="H19" s="56"/>
      <c r="I19" s="56"/>
      <c r="J19" s="56"/>
      <c r="K19" s="56"/>
      <c r="L19" s="56"/>
      <c r="M19" s="29"/>
      <c r="N19" s="77"/>
      <c r="O19" s="29"/>
      <c r="P19" s="29"/>
      <c r="Q19" s="29"/>
      <c r="R19" s="29"/>
      <c r="S19" s="29"/>
      <c r="T19" s="7"/>
      <c r="U19" s="259"/>
      <c r="V19" s="116"/>
      <c r="W19" s="308"/>
      <c r="X19" s="308"/>
      <c r="Y19" s="308"/>
      <c r="Z19" s="308"/>
      <c r="AA19" s="308"/>
      <c r="AB19" s="308"/>
      <c r="AC19" s="308"/>
      <c r="AD19" s="308"/>
      <c r="AE19" s="308"/>
      <c r="AF19" s="308"/>
    </row>
    <row r="20" spans="1:32" ht="14.25" x14ac:dyDescent="0.3">
      <c r="A20" s="259"/>
      <c r="B20" s="7"/>
      <c r="C20" s="56"/>
      <c r="D20" s="302" t="s">
        <v>388</v>
      </c>
      <c r="E20" s="278">
        <f>+E14</f>
        <v>1</v>
      </c>
      <c r="F20" s="237">
        <f>+E20*F28</f>
        <v>0.793309625191566</v>
      </c>
      <c r="G20" s="56"/>
      <c r="H20" s="56"/>
      <c r="I20" s="303">
        <f>+Transport!K18/1000</f>
        <v>6.5241290364218815E-2</v>
      </c>
      <c r="J20" s="304">
        <f>+I20*F20</f>
        <v>5.1756543605852558E-2</v>
      </c>
      <c r="K20" s="305">
        <f>+I20*F21</f>
        <v>4.4717322815765778E-2</v>
      </c>
      <c r="L20" s="56"/>
      <c r="M20" s="425" t="s">
        <v>215</v>
      </c>
      <c r="N20" s="78"/>
      <c r="O20" s="29"/>
      <c r="P20" s="29"/>
      <c r="Q20" s="29"/>
      <c r="R20" s="29"/>
      <c r="S20" s="29"/>
      <c r="T20" s="7"/>
      <c r="U20" s="259"/>
      <c r="V20" s="116"/>
      <c r="W20" s="308"/>
      <c r="X20" s="308"/>
      <c r="Y20" s="308"/>
      <c r="Z20" s="308"/>
      <c r="AA20" s="308"/>
      <c r="AB20" s="308"/>
      <c r="AC20" s="308"/>
      <c r="AD20" s="308"/>
      <c r="AE20" s="308"/>
      <c r="AF20" s="308"/>
    </row>
    <row r="21" spans="1:32" ht="14.25" x14ac:dyDescent="0.3">
      <c r="A21" s="259"/>
      <c r="B21" s="7"/>
      <c r="C21" s="56"/>
      <c r="D21" s="277" t="s">
        <v>389</v>
      </c>
      <c r="E21" s="278">
        <f>+E15</f>
        <v>1</v>
      </c>
      <c r="F21" s="237">
        <f>+E21*F29</f>
        <v>0.68541444484198488</v>
      </c>
      <c r="G21" s="56"/>
      <c r="H21" s="56"/>
      <c r="I21" s="56"/>
      <c r="J21" s="56"/>
      <c r="K21" s="56"/>
      <c r="L21" s="56"/>
      <c r="M21" s="425"/>
      <c r="N21" s="78"/>
      <c r="O21" s="29"/>
      <c r="P21" s="29"/>
      <c r="Q21" s="29"/>
      <c r="R21" s="29"/>
      <c r="S21" s="29"/>
      <c r="T21" s="7"/>
      <c r="U21" s="259"/>
      <c r="V21" s="116"/>
      <c r="W21" s="308"/>
      <c r="X21" s="308"/>
      <c r="Y21" s="308"/>
      <c r="Z21" s="308"/>
      <c r="AA21" s="308"/>
      <c r="AB21" s="308"/>
      <c r="AC21" s="308"/>
      <c r="AD21" s="308"/>
      <c r="AE21" s="308"/>
      <c r="AF21" s="308"/>
    </row>
    <row r="22" spans="1:32" ht="14.25" x14ac:dyDescent="0.3">
      <c r="A22" s="259"/>
      <c r="B22" s="7"/>
      <c r="C22" s="56"/>
      <c r="D22" s="56"/>
      <c r="E22" s="56"/>
      <c r="F22" s="237"/>
      <c r="G22" s="56"/>
      <c r="H22" s="56"/>
      <c r="I22" s="56"/>
      <c r="J22" s="56"/>
      <c r="K22" s="56"/>
      <c r="L22" s="56"/>
      <c r="M22" s="29"/>
      <c r="N22" s="77"/>
      <c r="O22" s="29"/>
      <c r="P22" s="29"/>
      <c r="Q22" s="29"/>
      <c r="R22" s="29"/>
      <c r="S22" s="29"/>
      <c r="T22" s="7"/>
      <c r="U22" s="259"/>
      <c r="V22" s="116"/>
      <c r="W22" s="308"/>
      <c r="X22" s="308"/>
      <c r="Y22" s="308"/>
      <c r="Z22" s="308"/>
      <c r="AA22" s="308"/>
      <c r="AB22" s="308"/>
      <c r="AC22" s="308"/>
      <c r="AD22" s="308"/>
      <c r="AE22" s="308"/>
      <c r="AF22" s="308"/>
    </row>
    <row r="23" spans="1:32" ht="14.25" x14ac:dyDescent="0.3">
      <c r="A23" s="259"/>
      <c r="B23" s="7"/>
      <c r="C23" s="56"/>
      <c r="D23" s="56"/>
      <c r="E23" s="56"/>
      <c r="F23" s="237"/>
      <c r="G23" s="56"/>
      <c r="H23" s="56"/>
      <c r="I23" s="56"/>
      <c r="J23" s="56"/>
      <c r="K23" s="56"/>
      <c r="L23" s="56"/>
      <c r="M23" s="29"/>
      <c r="N23" s="77"/>
      <c r="O23" s="29"/>
      <c r="P23" s="29"/>
      <c r="Q23" s="29"/>
      <c r="R23" s="29"/>
      <c r="S23" s="29"/>
      <c r="T23" s="7"/>
      <c r="U23" s="259"/>
      <c r="V23" s="116"/>
      <c r="W23" s="308"/>
      <c r="X23" s="308"/>
      <c r="Y23" s="308"/>
      <c r="Z23" s="308"/>
      <c r="AA23" s="308"/>
      <c r="AB23" s="308"/>
      <c r="AC23" s="308"/>
      <c r="AD23" s="308"/>
      <c r="AE23" s="308"/>
      <c r="AF23" s="308"/>
    </row>
    <row r="24" spans="1:32" ht="14.25" x14ac:dyDescent="0.3">
      <c r="A24" s="259"/>
      <c r="B24" s="7"/>
      <c r="C24" s="56"/>
      <c r="D24" s="56"/>
      <c r="E24" s="56"/>
      <c r="F24" s="237"/>
      <c r="G24" s="56"/>
      <c r="H24" s="56"/>
      <c r="I24" s="56"/>
      <c r="J24" s="56"/>
      <c r="K24" s="56"/>
      <c r="L24" s="56"/>
      <c r="M24" s="29"/>
      <c r="N24" s="77"/>
      <c r="O24" s="29"/>
      <c r="P24" s="29"/>
      <c r="Q24" s="29"/>
      <c r="R24" s="29"/>
      <c r="S24" s="29"/>
      <c r="T24" s="7"/>
      <c r="U24" s="259"/>
      <c r="V24" s="116"/>
      <c r="W24" s="308"/>
      <c r="X24" s="308"/>
      <c r="Y24" s="308"/>
      <c r="Z24" s="308"/>
      <c r="AA24" s="308"/>
      <c r="AB24" s="308"/>
      <c r="AC24" s="308"/>
      <c r="AD24" s="308"/>
      <c r="AE24" s="308"/>
      <c r="AF24" s="308"/>
    </row>
    <row r="25" spans="1:32" ht="15" thickBot="1" x14ac:dyDescent="0.35">
      <c r="A25" s="259"/>
      <c r="B25" s="7"/>
      <c r="C25" s="56"/>
      <c r="D25" s="90" t="s">
        <v>385</v>
      </c>
      <c r="E25" s="87"/>
      <c r="F25" s="280"/>
      <c r="G25" s="87"/>
      <c r="H25" s="56"/>
      <c r="I25" s="56"/>
      <c r="J25" s="56"/>
      <c r="K25" s="56"/>
      <c r="L25" s="56"/>
      <c r="M25" s="428" t="s">
        <v>216</v>
      </c>
      <c r="N25" s="428"/>
      <c r="O25" s="29"/>
      <c r="P25" s="29"/>
      <c r="Q25" s="442" t="s">
        <v>217</v>
      </c>
      <c r="R25" s="84"/>
      <c r="S25" s="29"/>
      <c r="T25" s="7"/>
      <c r="U25" s="259"/>
      <c r="V25" s="116"/>
      <c r="W25" s="308"/>
      <c r="X25" s="308"/>
      <c r="Y25" s="308"/>
      <c r="Z25" s="308"/>
      <c r="AA25" s="308"/>
      <c r="AB25" s="308"/>
      <c r="AC25" s="308"/>
      <c r="AD25" s="308"/>
      <c r="AE25" s="308"/>
      <c r="AF25" s="308"/>
    </row>
    <row r="26" spans="1:32" ht="14.25" x14ac:dyDescent="0.3">
      <c r="A26" s="259"/>
      <c r="B26" s="7"/>
      <c r="C26" s="56"/>
      <c r="D26" s="306" t="s">
        <v>384</v>
      </c>
      <c r="E26" s="236">
        <v>500</v>
      </c>
      <c r="F26" s="281"/>
      <c r="G26" s="274"/>
      <c r="H26" s="56"/>
      <c r="I26" s="56"/>
      <c r="J26" s="56"/>
      <c r="K26" s="56"/>
      <c r="L26" s="56"/>
      <c r="M26" s="428"/>
      <c r="N26" s="428"/>
      <c r="O26" s="29"/>
      <c r="P26" s="29"/>
      <c r="Q26" s="443"/>
      <c r="R26" s="85"/>
      <c r="S26" s="29"/>
      <c r="T26" s="7"/>
      <c r="U26" s="259"/>
      <c r="V26" s="116"/>
      <c r="W26" s="308"/>
      <c r="X26" s="308"/>
      <c r="Y26" s="308"/>
      <c r="Z26" s="308"/>
      <c r="AA26" s="308"/>
      <c r="AB26" s="308"/>
      <c r="AC26" s="308"/>
      <c r="AD26" s="308"/>
      <c r="AE26" s="308"/>
      <c r="AF26" s="308"/>
    </row>
    <row r="27" spans="1:32" ht="15" thickBot="1" x14ac:dyDescent="0.35">
      <c r="A27" s="259"/>
      <c r="B27" s="7"/>
      <c r="C27" s="56"/>
      <c r="D27" s="306" t="s">
        <v>383</v>
      </c>
      <c r="E27" s="235">
        <v>150</v>
      </c>
      <c r="F27" s="281"/>
      <c r="G27" s="275"/>
      <c r="H27" s="56"/>
      <c r="I27" s="56"/>
      <c r="J27" s="56"/>
      <c r="K27" s="56"/>
      <c r="L27" s="56"/>
      <c r="M27" s="428"/>
      <c r="N27" s="428"/>
      <c r="O27" s="29"/>
      <c r="P27" s="29"/>
      <c r="Q27" s="443"/>
      <c r="R27" s="85"/>
      <c r="S27" s="29"/>
      <c r="T27" s="7"/>
      <c r="U27" s="259"/>
      <c r="V27" s="116"/>
      <c r="W27" s="308"/>
      <c r="X27" s="308"/>
      <c r="Y27" s="308"/>
      <c r="Z27" s="308"/>
      <c r="AA27" s="308"/>
      <c r="AB27" s="308"/>
      <c r="AC27" s="308"/>
      <c r="AD27" s="308"/>
      <c r="AE27" s="308"/>
      <c r="AF27" s="308"/>
    </row>
    <row r="28" spans="1:32" ht="14.25" x14ac:dyDescent="0.3">
      <c r="A28" s="259"/>
      <c r="B28" s="7"/>
      <c r="C28" s="56"/>
      <c r="D28" s="302" t="s">
        <v>388</v>
      </c>
      <c r="E28" s="246">
        <f>+M28*E26/(M28*E26+Q28*E27)</f>
        <v>0.793309625191566</v>
      </c>
      <c r="F28" s="279">
        <f>+E28*E33</f>
        <v>0.793309625191566</v>
      </c>
      <c r="G28" s="56"/>
      <c r="H28" s="276">
        <f>+'Bewerking 1'!I3</f>
        <v>0.24099321000000007</v>
      </c>
      <c r="I28" s="303">
        <f>+H28*M28</f>
        <v>0.4081622849779088</v>
      </c>
      <c r="J28" s="304">
        <f>+E28*I28</f>
        <v>0.32379906931315799</v>
      </c>
      <c r="K28" s="305">
        <f>+E29*I28</f>
        <v>0.27976032596356937</v>
      </c>
      <c r="L28" s="56"/>
      <c r="M28" s="355">
        <f>+Massabalans!H21</f>
        <v>1.6936671575846833</v>
      </c>
      <c r="N28" s="79" t="s">
        <v>230</v>
      </c>
      <c r="O28" s="29"/>
      <c r="P28" s="29"/>
      <c r="Q28" s="89">
        <f>+Massabalans!L21</f>
        <v>1.4709040391695762</v>
      </c>
      <c r="R28" s="86" t="s">
        <v>395</v>
      </c>
      <c r="S28" s="29"/>
      <c r="T28" s="7"/>
      <c r="U28" s="259"/>
      <c r="V28" s="116"/>
      <c r="W28" s="308"/>
      <c r="X28" s="249">
        <v>26.81</v>
      </c>
      <c r="Y28" s="248">
        <v>1</v>
      </c>
      <c r="Z28" s="249">
        <v>18.7</v>
      </c>
      <c r="AA28" s="251">
        <v>0.35</v>
      </c>
      <c r="AB28" s="308"/>
      <c r="AC28" s="308"/>
      <c r="AD28" s="308"/>
      <c r="AE28" s="308"/>
      <c r="AF28" s="308"/>
    </row>
    <row r="29" spans="1:32" ht="14.25" x14ac:dyDescent="0.3">
      <c r="A29" s="259"/>
      <c r="B29" s="7"/>
      <c r="C29" s="56"/>
      <c r="D29" s="277" t="s">
        <v>389</v>
      </c>
      <c r="E29" s="237">
        <f>+(M28*X29/Y28)/((M28*X29/Y28)+(Q28*Z29/AA28))</f>
        <v>0.68541444484198488</v>
      </c>
      <c r="F29" s="279">
        <f>+E29*E34</f>
        <v>0.68541444484198488</v>
      </c>
      <c r="G29" s="56"/>
      <c r="H29" s="56"/>
      <c r="I29" s="238"/>
      <c r="J29" s="56"/>
      <c r="K29" s="56"/>
      <c r="L29" s="56"/>
      <c r="M29" s="29"/>
      <c r="N29" s="77"/>
      <c r="O29" s="29"/>
      <c r="P29" s="29"/>
      <c r="Q29" s="29"/>
      <c r="R29" s="29"/>
      <c r="S29" s="29"/>
      <c r="T29" s="7"/>
      <c r="U29" s="259"/>
      <c r="V29" s="116"/>
      <c r="W29" s="308"/>
      <c r="X29" s="247">
        <f>+X28*Y28-2.44*(1-Y28)</f>
        <v>26.81</v>
      </c>
      <c r="Y29" s="249"/>
      <c r="Z29" s="247">
        <f>+Z28*AA28-2.44*(1-AA28)</f>
        <v>4.9589999999999987</v>
      </c>
      <c r="AA29" s="249"/>
      <c r="AB29" s="308"/>
      <c r="AC29" s="308"/>
      <c r="AD29" s="308"/>
      <c r="AE29" s="308"/>
      <c r="AF29" s="308"/>
    </row>
    <row r="30" spans="1:32" ht="14.25" x14ac:dyDescent="0.3">
      <c r="A30" s="259"/>
      <c r="B30" s="7"/>
      <c r="C30" s="56"/>
      <c r="D30" s="56"/>
      <c r="E30" s="237"/>
      <c r="F30" s="279"/>
      <c r="G30" s="56"/>
      <c r="H30" s="56"/>
      <c r="I30" s="238"/>
      <c r="J30" s="56"/>
      <c r="K30" s="56"/>
      <c r="L30" s="56"/>
      <c r="M30" s="29"/>
      <c r="N30" s="77"/>
      <c r="O30" s="29"/>
      <c r="P30" s="29"/>
      <c r="Q30" s="29"/>
      <c r="R30" s="29"/>
      <c r="S30" s="29"/>
      <c r="T30" s="7"/>
      <c r="U30" s="259"/>
      <c r="V30" s="116"/>
      <c r="W30" s="308"/>
      <c r="X30" s="247"/>
      <c r="Y30" s="249"/>
      <c r="Z30" s="247"/>
      <c r="AA30" s="249"/>
      <c r="AB30" s="308"/>
      <c r="AC30" s="308"/>
      <c r="AD30" s="308"/>
      <c r="AE30" s="308"/>
      <c r="AF30" s="308"/>
    </row>
    <row r="31" spans="1:32" ht="14.25" x14ac:dyDescent="0.3">
      <c r="A31" s="259"/>
      <c r="B31" s="7"/>
      <c r="C31" s="56"/>
      <c r="D31" s="56"/>
      <c r="E31" s="56"/>
      <c r="F31" s="237"/>
      <c r="G31" s="56"/>
      <c r="H31" s="56"/>
      <c r="I31" s="238"/>
      <c r="J31" s="56"/>
      <c r="K31" s="56"/>
      <c r="L31" s="56"/>
      <c r="M31" s="428" t="s">
        <v>8</v>
      </c>
      <c r="N31" s="428"/>
      <c r="O31" s="29"/>
      <c r="P31" s="29"/>
      <c r="Q31" s="29"/>
      <c r="R31" s="29"/>
      <c r="S31" s="29"/>
      <c r="T31" s="7"/>
      <c r="U31" s="259"/>
      <c r="V31" s="116"/>
      <c r="W31" s="308"/>
      <c r="X31" s="308"/>
      <c r="Y31" s="308"/>
      <c r="Z31" s="308"/>
      <c r="AA31" s="308"/>
      <c r="AB31" s="308"/>
      <c r="AC31" s="308"/>
      <c r="AD31" s="308"/>
      <c r="AE31" s="308"/>
      <c r="AF31" s="308"/>
    </row>
    <row r="32" spans="1:32" ht="14.25" x14ac:dyDescent="0.3">
      <c r="A32" s="259"/>
      <c r="B32" s="7"/>
      <c r="C32" s="56"/>
      <c r="D32" s="56"/>
      <c r="E32" s="56"/>
      <c r="F32" s="237"/>
      <c r="G32" s="56"/>
      <c r="H32" s="56"/>
      <c r="I32" s="238"/>
      <c r="J32" s="56"/>
      <c r="K32" s="56"/>
      <c r="L32" s="56"/>
      <c r="M32" s="428"/>
      <c r="N32" s="428"/>
      <c r="O32" s="29"/>
      <c r="P32" s="29"/>
      <c r="Q32" s="29"/>
      <c r="R32" s="29"/>
      <c r="S32" s="29"/>
      <c r="T32" s="7"/>
      <c r="U32" s="259"/>
      <c r="V32" s="116"/>
      <c r="W32" s="308"/>
      <c r="X32" s="308"/>
      <c r="Y32" s="308"/>
      <c r="Z32" s="308"/>
      <c r="AA32" s="308"/>
      <c r="AB32" s="308"/>
      <c r="AC32" s="308"/>
      <c r="AD32" s="308"/>
      <c r="AE32" s="308"/>
      <c r="AF32" s="308"/>
    </row>
    <row r="33" spans="1:32" ht="14.25" x14ac:dyDescent="0.3">
      <c r="A33" s="259"/>
      <c r="B33" s="7"/>
      <c r="C33" s="56"/>
      <c r="D33" s="302" t="s">
        <v>388</v>
      </c>
      <c r="E33" s="278">
        <v>1</v>
      </c>
      <c r="F33" s="237"/>
      <c r="G33" s="56"/>
      <c r="H33" s="56"/>
      <c r="I33" s="238"/>
      <c r="J33" s="56"/>
      <c r="K33" s="56"/>
      <c r="L33" s="56"/>
      <c r="M33" s="428"/>
      <c r="N33" s="428"/>
      <c r="O33" s="29"/>
      <c r="P33" s="29"/>
      <c r="Q33" s="29"/>
      <c r="R33" s="29"/>
      <c r="S33" s="29"/>
      <c r="T33" s="7"/>
      <c r="U33" s="259"/>
      <c r="V33" s="116"/>
      <c r="W33" s="308"/>
      <c r="X33" s="308"/>
      <c r="Y33" s="308"/>
      <c r="Z33" s="308"/>
      <c r="AA33" s="308"/>
      <c r="AB33" s="308"/>
      <c r="AC33" s="308"/>
      <c r="AD33" s="308"/>
      <c r="AE33" s="308"/>
      <c r="AF33" s="308"/>
    </row>
    <row r="34" spans="1:32" ht="18" x14ac:dyDescent="0.3">
      <c r="A34" s="259"/>
      <c r="B34" s="7"/>
      <c r="C34" s="56"/>
      <c r="D34" s="277" t="s">
        <v>389</v>
      </c>
      <c r="E34" s="278">
        <v>1</v>
      </c>
      <c r="F34" s="237"/>
      <c r="G34" s="56"/>
      <c r="H34" s="276">
        <f>+Productie!I3</f>
        <v>0.24099321000000007</v>
      </c>
      <c r="I34" s="303">
        <f>+H34*M34</f>
        <v>0.24099321000000007</v>
      </c>
      <c r="J34" s="304">
        <f>+I34</f>
        <v>0.24099321000000007</v>
      </c>
      <c r="K34" s="305">
        <f>+I34</f>
        <v>0.24099321000000007</v>
      </c>
      <c r="L34" s="56"/>
      <c r="M34" s="354">
        <v>1</v>
      </c>
      <c r="N34" s="79" t="s">
        <v>231</v>
      </c>
      <c r="O34" s="29"/>
      <c r="P34" s="29"/>
      <c r="Q34" s="29"/>
      <c r="R34" s="29"/>
      <c r="S34" s="29"/>
      <c r="T34" s="7"/>
      <c r="U34" s="259"/>
      <c r="V34" s="116"/>
      <c r="W34" s="308"/>
      <c r="X34" s="308"/>
      <c r="Y34" s="308"/>
      <c r="Z34" s="308"/>
      <c r="AA34" s="308"/>
      <c r="AB34" s="308"/>
      <c r="AC34" s="308"/>
      <c r="AD34" s="308"/>
      <c r="AE34" s="308"/>
      <c r="AF34" s="308"/>
    </row>
    <row r="35" spans="1:32" ht="15" thickBot="1" x14ac:dyDescent="0.35">
      <c r="A35" s="259"/>
      <c r="B35" s="7"/>
      <c r="C35" s="56"/>
      <c r="D35" s="241"/>
      <c r="E35" s="241"/>
      <c r="F35" s="241"/>
      <c r="G35" s="56"/>
      <c r="H35" s="241"/>
      <c r="I35" s="241"/>
      <c r="J35" s="241"/>
      <c r="K35" s="241"/>
      <c r="L35" s="241"/>
      <c r="M35" s="29"/>
      <c r="N35" s="77"/>
      <c r="O35" s="29"/>
      <c r="P35" s="29"/>
      <c r="Q35" s="29"/>
      <c r="R35" s="29"/>
      <c r="S35" s="29"/>
      <c r="T35" s="7"/>
      <c r="U35" s="259"/>
      <c r="V35" s="116"/>
      <c r="W35" s="308"/>
      <c r="X35" s="308"/>
      <c r="Y35" s="308"/>
      <c r="Z35" s="308"/>
      <c r="AA35" s="308"/>
      <c r="AB35" s="308"/>
      <c r="AC35" s="308"/>
      <c r="AD35" s="308"/>
      <c r="AE35" s="308"/>
      <c r="AF35" s="308"/>
    </row>
    <row r="36" spans="1:32" ht="15" thickBot="1" x14ac:dyDescent="0.35">
      <c r="A36" s="259"/>
      <c r="B36" s="7"/>
      <c r="C36" s="241"/>
      <c r="D36" s="366" t="s">
        <v>402</v>
      </c>
      <c r="E36" s="256" t="s">
        <v>230</v>
      </c>
      <c r="F36" s="257"/>
      <c r="G36" s="56"/>
      <c r="H36" s="255"/>
      <c r="I36" s="255"/>
      <c r="J36" s="367">
        <f>+SUM(J14:J34)</f>
        <v>1.9508566509218204</v>
      </c>
      <c r="K36" s="368">
        <f>+SUM(K14:K34)</f>
        <v>1.7183042924566547</v>
      </c>
      <c r="L36" s="241"/>
      <c r="M36" s="29"/>
      <c r="N36" s="77"/>
      <c r="O36" s="29"/>
      <c r="P36" s="29"/>
      <c r="Q36" s="29"/>
      <c r="R36" s="29"/>
      <c r="S36" s="29"/>
      <c r="T36" s="252"/>
      <c r="U36" s="259"/>
      <c r="V36" s="117"/>
      <c r="W36" s="308"/>
      <c r="X36" s="308"/>
      <c r="Y36" s="308"/>
      <c r="Z36" s="308"/>
      <c r="AA36" s="308"/>
      <c r="AB36" s="308"/>
      <c r="AC36" s="308"/>
      <c r="AD36" s="308"/>
      <c r="AE36" s="308"/>
      <c r="AF36" s="308"/>
    </row>
    <row r="37" spans="1:32" ht="14.25" x14ac:dyDescent="0.3">
      <c r="A37" s="259"/>
      <c r="B37" s="7"/>
      <c r="C37" s="252"/>
      <c r="D37" s="252"/>
      <c r="E37" s="252"/>
      <c r="F37" s="252"/>
      <c r="G37" s="252"/>
      <c r="H37" s="253"/>
      <c r="I37" s="252"/>
      <c r="J37" s="252"/>
      <c r="K37" s="252"/>
      <c r="L37" s="252"/>
      <c r="M37" s="254" t="s">
        <v>377</v>
      </c>
      <c r="N37" s="254" t="s">
        <v>378</v>
      </c>
      <c r="O37" s="252"/>
      <c r="P37" s="252"/>
      <c r="Q37" s="252"/>
      <c r="R37" s="252"/>
      <c r="S37" s="252"/>
      <c r="T37" s="252"/>
      <c r="U37" s="259"/>
      <c r="V37" s="117"/>
      <c r="W37" s="308"/>
      <c r="X37" s="308"/>
      <c r="Y37" s="308"/>
      <c r="Z37" s="308"/>
      <c r="AA37" s="308"/>
      <c r="AB37" s="308"/>
      <c r="AC37" s="308"/>
      <c r="AD37" s="308"/>
      <c r="AE37" s="308"/>
      <c r="AF37" s="308"/>
    </row>
    <row r="38" spans="1:32" ht="14.25" x14ac:dyDescent="0.3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93"/>
      <c r="M38" s="259"/>
      <c r="N38" s="291"/>
      <c r="O38" s="293"/>
      <c r="P38" s="293"/>
      <c r="Q38" s="293"/>
      <c r="R38" s="294"/>
      <c r="S38" s="293"/>
      <c r="T38" s="293"/>
      <c r="U38" s="259"/>
      <c r="V38" s="117"/>
      <c r="W38" s="308"/>
      <c r="X38" s="308"/>
      <c r="Y38" s="308"/>
      <c r="Z38" s="308"/>
      <c r="AA38" s="308"/>
      <c r="AB38" s="308"/>
      <c r="AC38" s="308"/>
      <c r="AD38" s="308"/>
      <c r="AE38" s="308"/>
      <c r="AF38" s="308"/>
    </row>
    <row r="39" spans="1:32" ht="14.25" x14ac:dyDescent="0.3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91"/>
      <c r="O39" s="259"/>
      <c r="P39" s="259"/>
      <c r="Q39" s="259"/>
      <c r="R39" s="259"/>
      <c r="S39" s="259"/>
      <c r="T39" s="259"/>
      <c r="U39" s="259"/>
      <c r="V39" s="117"/>
      <c r="W39" s="308"/>
      <c r="X39" s="308"/>
      <c r="Y39" s="308"/>
      <c r="Z39" s="308"/>
      <c r="AA39" s="308"/>
      <c r="AB39" s="308"/>
      <c r="AC39" s="308"/>
      <c r="AD39" s="308"/>
      <c r="AE39" s="308"/>
      <c r="AF39" s="308"/>
    </row>
    <row r="40" spans="1:32" ht="14.25" x14ac:dyDescent="0.3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91"/>
      <c r="O40" s="259"/>
      <c r="P40" s="259"/>
      <c r="Q40" s="259"/>
      <c r="R40" s="259"/>
      <c r="S40" s="259"/>
      <c r="T40" s="259"/>
      <c r="U40" s="259"/>
      <c r="V40" s="117"/>
      <c r="W40" s="308"/>
      <c r="X40" s="308"/>
      <c r="Y40" s="308"/>
      <c r="Z40" s="308"/>
      <c r="AA40" s="308"/>
      <c r="AB40" s="308"/>
      <c r="AC40" s="308"/>
      <c r="AD40" s="308"/>
      <c r="AE40" s="308"/>
      <c r="AF40" s="308"/>
    </row>
    <row r="41" spans="1:32" ht="14.25" x14ac:dyDescent="0.3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91"/>
      <c r="O41" s="259"/>
      <c r="P41" s="259"/>
      <c r="Q41" s="259"/>
      <c r="R41" s="259"/>
      <c r="S41" s="259"/>
      <c r="T41" s="259"/>
      <c r="U41" s="259"/>
      <c r="V41" s="117"/>
      <c r="W41" s="308"/>
      <c r="X41" s="308"/>
      <c r="Y41" s="308"/>
      <c r="Z41" s="308"/>
      <c r="AA41" s="308"/>
      <c r="AB41" s="308"/>
      <c r="AC41" s="308"/>
      <c r="AD41" s="308"/>
      <c r="AE41" s="308"/>
      <c r="AF41" s="308"/>
    </row>
    <row r="42" spans="1:32" ht="14.25" x14ac:dyDescent="0.3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91"/>
      <c r="O42" s="259"/>
      <c r="P42" s="259"/>
      <c r="Q42" s="259"/>
      <c r="R42" s="259"/>
      <c r="S42" s="259"/>
      <c r="T42" s="259"/>
      <c r="U42" s="259"/>
      <c r="V42" s="117"/>
      <c r="W42" s="308"/>
      <c r="X42" s="308"/>
      <c r="Y42" s="308"/>
      <c r="Z42" s="308"/>
      <c r="AA42" s="308"/>
      <c r="AB42" s="308"/>
      <c r="AC42" s="308"/>
      <c r="AD42" s="308"/>
      <c r="AE42" s="308"/>
      <c r="AF42" s="308"/>
    </row>
    <row r="43" spans="1:32" ht="14.25" x14ac:dyDescent="0.3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91"/>
      <c r="O43" s="259"/>
      <c r="P43" s="259"/>
      <c r="Q43" s="259"/>
      <c r="R43" s="259"/>
      <c r="S43" s="259"/>
      <c r="T43" s="259"/>
      <c r="U43" s="259"/>
      <c r="V43" s="117"/>
      <c r="W43" s="308"/>
      <c r="X43" s="308"/>
      <c r="Y43" s="308"/>
      <c r="Z43" s="308"/>
      <c r="AA43" s="308"/>
      <c r="AB43" s="308"/>
      <c r="AC43" s="308"/>
      <c r="AD43" s="308"/>
      <c r="AE43" s="308"/>
      <c r="AF43" s="308"/>
    </row>
    <row r="44" spans="1:32" ht="14.25" x14ac:dyDescent="0.3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91"/>
      <c r="O44" s="259"/>
      <c r="P44" s="259"/>
      <c r="Q44" s="259"/>
      <c r="R44" s="259"/>
      <c r="S44" s="259"/>
      <c r="T44" s="259"/>
      <c r="U44" s="259"/>
      <c r="V44" s="117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</row>
    <row r="45" spans="1:32" ht="14.25" x14ac:dyDescent="0.3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91"/>
      <c r="O45" s="259"/>
      <c r="P45" s="259"/>
      <c r="Q45" s="259"/>
      <c r="R45" s="259"/>
      <c r="S45" s="259"/>
      <c r="T45" s="259"/>
      <c r="U45" s="259"/>
      <c r="V45" s="117"/>
      <c r="W45" s="308"/>
      <c r="X45" s="308"/>
      <c r="Y45" s="308"/>
      <c r="Z45" s="308"/>
      <c r="AA45" s="308"/>
      <c r="AB45" s="308"/>
      <c r="AC45" s="308"/>
      <c r="AD45" s="308"/>
      <c r="AE45" s="308"/>
      <c r="AF45" s="308"/>
    </row>
    <row r="46" spans="1:32" ht="14.25" x14ac:dyDescent="0.3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91"/>
      <c r="O46" s="259"/>
      <c r="P46" s="259"/>
      <c r="Q46" s="259"/>
      <c r="R46" s="259"/>
      <c r="S46" s="259"/>
      <c r="T46" s="259"/>
      <c r="U46" s="259"/>
      <c r="V46" s="117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</row>
    <row r="47" spans="1:32" ht="14.25" x14ac:dyDescent="0.3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91"/>
      <c r="O47" s="259"/>
      <c r="P47" s="259"/>
      <c r="Q47" s="259"/>
      <c r="R47" s="259"/>
      <c r="S47" s="259"/>
      <c r="T47" s="259"/>
      <c r="U47" s="259"/>
      <c r="V47" s="117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</row>
    <row r="48" spans="1:32" ht="14.25" x14ac:dyDescent="0.3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91"/>
      <c r="O48" s="259"/>
      <c r="P48" s="259"/>
      <c r="Q48" s="259"/>
      <c r="R48" s="259"/>
      <c r="S48" s="259"/>
      <c r="T48" s="259"/>
      <c r="U48" s="259"/>
      <c r="V48" s="117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</row>
    <row r="49" spans="1:32" ht="14.25" x14ac:dyDescent="0.3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91"/>
      <c r="O49" s="259"/>
      <c r="P49" s="259"/>
      <c r="Q49" s="259"/>
      <c r="R49" s="259"/>
      <c r="S49" s="259"/>
      <c r="T49" s="259"/>
      <c r="U49" s="259"/>
      <c r="V49" s="117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</row>
    <row r="50" spans="1:32" ht="14.25" x14ac:dyDescent="0.3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91"/>
      <c r="O50" s="259"/>
      <c r="P50" s="259"/>
      <c r="Q50" s="259"/>
      <c r="R50" s="259"/>
      <c r="S50" s="259"/>
      <c r="T50" s="259"/>
      <c r="U50" s="259"/>
      <c r="V50" s="117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</row>
    <row r="51" spans="1:32" ht="14.25" x14ac:dyDescent="0.3">
      <c r="A51" s="259"/>
      <c r="B51" s="259"/>
      <c r="C51" s="259"/>
      <c r="D51" s="293"/>
      <c r="E51" s="293"/>
      <c r="F51" s="293"/>
      <c r="G51" s="293"/>
      <c r="H51" s="293"/>
      <c r="I51" s="293"/>
      <c r="J51" s="293"/>
      <c r="K51" s="293"/>
      <c r="L51" s="293"/>
      <c r="M51" s="259"/>
      <c r="N51" s="291"/>
      <c r="O51" s="259"/>
      <c r="P51" s="259"/>
      <c r="Q51" s="259"/>
      <c r="R51" s="259"/>
      <c r="S51" s="259"/>
      <c r="T51" s="259"/>
      <c r="U51" s="259"/>
      <c r="V51" s="117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</row>
    <row r="52" spans="1:32" ht="14.25" x14ac:dyDescent="0.3">
      <c r="A52" s="259"/>
      <c r="B52" s="259"/>
      <c r="C52" s="259"/>
      <c r="D52" s="293"/>
      <c r="E52" s="293"/>
      <c r="F52" s="293"/>
      <c r="G52" s="293"/>
      <c r="H52" s="293"/>
      <c r="I52" s="293"/>
      <c r="J52" s="293"/>
      <c r="K52" s="293"/>
      <c r="L52" s="293"/>
      <c r="M52" s="259"/>
      <c r="N52" s="291"/>
      <c r="O52" s="259"/>
      <c r="P52" s="259"/>
      <c r="Q52" s="259"/>
      <c r="R52" s="259"/>
      <c r="S52" s="259"/>
      <c r="T52" s="259"/>
      <c r="U52" s="259"/>
      <c r="V52" s="117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</row>
    <row r="53" spans="1:32" ht="14.25" x14ac:dyDescent="0.3">
      <c r="A53" s="259"/>
      <c r="B53" s="259"/>
      <c r="C53" s="259"/>
      <c r="D53" s="293"/>
      <c r="E53" s="293"/>
      <c r="F53" s="293"/>
      <c r="G53" s="293"/>
      <c r="H53" s="293"/>
      <c r="I53" s="293"/>
      <c r="J53" s="293"/>
      <c r="K53" s="293"/>
      <c r="L53" s="293"/>
      <c r="M53" s="259"/>
      <c r="N53" s="291"/>
      <c r="O53" s="259"/>
      <c r="P53" s="259"/>
      <c r="Q53" s="259"/>
      <c r="R53" s="259"/>
      <c r="S53" s="259"/>
      <c r="T53" s="259"/>
      <c r="U53" s="259"/>
      <c r="V53" s="117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</row>
    <row r="54" spans="1:32" ht="14.25" x14ac:dyDescent="0.3">
      <c r="A54" s="259"/>
      <c r="B54" s="259"/>
      <c r="C54" s="259"/>
      <c r="D54" s="293"/>
      <c r="E54" s="293"/>
      <c r="F54" s="293"/>
      <c r="G54" s="293"/>
      <c r="H54" s="293"/>
      <c r="I54" s="293"/>
      <c r="J54" s="293"/>
      <c r="K54" s="293"/>
      <c r="L54" s="293"/>
      <c r="M54" s="259"/>
      <c r="N54" s="291"/>
      <c r="O54" s="259"/>
      <c r="P54" s="259"/>
      <c r="Q54" s="259"/>
      <c r="R54" s="259"/>
      <c r="S54" s="259"/>
      <c r="T54" s="259"/>
      <c r="U54" s="259"/>
      <c r="V54" s="117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</row>
    <row r="55" spans="1:32" ht="14.25" x14ac:dyDescent="0.3">
      <c r="A55" s="259"/>
      <c r="B55" s="259"/>
      <c r="C55" s="259"/>
      <c r="D55" s="293"/>
      <c r="E55" s="293"/>
      <c r="F55" s="293"/>
      <c r="G55" s="293"/>
      <c r="H55" s="293"/>
      <c r="I55" s="293"/>
      <c r="J55" s="293"/>
      <c r="K55" s="293"/>
      <c r="L55" s="293"/>
      <c r="M55" s="259"/>
      <c r="N55" s="291"/>
      <c r="O55" s="259"/>
      <c r="P55" s="259"/>
      <c r="Q55" s="259"/>
      <c r="R55" s="259"/>
      <c r="S55" s="259"/>
      <c r="T55" s="259"/>
      <c r="U55" s="259"/>
      <c r="V55" s="117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</row>
    <row r="56" spans="1:32" ht="14.25" x14ac:dyDescent="0.3">
      <c r="A56" s="259"/>
      <c r="B56" s="259"/>
      <c r="C56" s="259"/>
      <c r="D56" s="293"/>
      <c r="E56" s="293"/>
      <c r="F56" s="293"/>
      <c r="G56" s="293"/>
      <c r="H56" s="293"/>
      <c r="I56" s="293"/>
      <c r="J56" s="293"/>
      <c r="K56" s="293"/>
      <c r="L56" s="293"/>
      <c r="M56" s="259"/>
      <c r="N56" s="291"/>
      <c r="O56" s="259"/>
      <c r="P56" s="259"/>
      <c r="Q56" s="259"/>
      <c r="R56" s="259"/>
      <c r="S56" s="259"/>
      <c r="T56" s="259"/>
      <c r="U56" s="259"/>
      <c r="V56" s="117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</row>
    <row r="57" spans="1:32" ht="14.25" x14ac:dyDescent="0.3">
      <c r="A57" s="259"/>
      <c r="B57" s="259"/>
      <c r="C57" s="259"/>
      <c r="D57" s="293"/>
      <c r="E57" s="293"/>
      <c r="F57" s="293"/>
      <c r="G57" s="293"/>
      <c r="H57" s="293"/>
      <c r="I57" s="293"/>
      <c r="J57" s="293"/>
      <c r="K57" s="293"/>
      <c r="L57" s="293"/>
      <c r="M57" s="259"/>
      <c r="N57" s="291"/>
      <c r="O57" s="259"/>
      <c r="P57" s="259"/>
      <c r="Q57" s="259"/>
      <c r="R57" s="259"/>
      <c r="S57" s="259"/>
      <c r="T57" s="259"/>
      <c r="U57" s="259"/>
      <c r="V57" s="117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</row>
    <row r="58" spans="1:32" ht="14.25" x14ac:dyDescent="0.3">
      <c r="A58" s="259"/>
      <c r="B58" s="259"/>
      <c r="C58" s="259"/>
      <c r="D58" s="293"/>
      <c r="E58" s="293"/>
      <c r="F58" s="293"/>
      <c r="G58" s="293"/>
      <c r="H58" s="293"/>
      <c r="I58" s="293"/>
      <c r="J58" s="293"/>
      <c r="K58" s="293"/>
      <c r="L58" s="293"/>
      <c r="M58" s="259"/>
      <c r="N58" s="291"/>
      <c r="O58" s="259"/>
      <c r="P58" s="259"/>
      <c r="Q58" s="259"/>
      <c r="R58" s="259"/>
      <c r="S58" s="259"/>
      <c r="T58" s="259"/>
      <c r="U58" s="259"/>
      <c r="V58" s="117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</row>
    <row r="59" spans="1:32" ht="14.25" x14ac:dyDescent="0.3">
      <c r="A59" s="259"/>
      <c r="B59" s="259"/>
      <c r="C59" s="259"/>
      <c r="D59" s="293"/>
      <c r="E59" s="293"/>
      <c r="F59" s="293"/>
      <c r="G59" s="293"/>
      <c r="H59" s="293"/>
      <c r="I59" s="293"/>
      <c r="J59" s="293"/>
      <c r="K59" s="293"/>
      <c r="L59" s="293"/>
      <c r="M59" s="259"/>
      <c r="N59" s="291"/>
      <c r="O59" s="259"/>
      <c r="P59" s="259"/>
      <c r="Q59" s="259"/>
      <c r="R59" s="259"/>
      <c r="S59" s="259"/>
      <c r="T59" s="259"/>
      <c r="U59" s="259"/>
      <c r="V59" s="117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</row>
    <row r="60" spans="1:32" ht="14.25" x14ac:dyDescent="0.3">
      <c r="A60" s="259"/>
      <c r="B60" s="259"/>
      <c r="C60" s="259"/>
      <c r="D60" s="293"/>
      <c r="E60" s="293"/>
      <c r="F60" s="293"/>
      <c r="G60" s="293"/>
      <c r="H60" s="293"/>
      <c r="I60" s="293"/>
      <c r="J60" s="293"/>
      <c r="K60" s="293"/>
      <c r="L60" s="293"/>
      <c r="M60" s="259"/>
      <c r="N60" s="291"/>
      <c r="O60" s="259"/>
      <c r="P60" s="259"/>
      <c r="Q60" s="259"/>
      <c r="R60" s="259"/>
      <c r="S60" s="259"/>
      <c r="T60" s="259"/>
      <c r="U60" s="259"/>
      <c r="V60" s="117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</row>
    <row r="61" spans="1:32" ht="14.25" x14ac:dyDescent="0.3">
      <c r="A61" s="259"/>
      <c r="B61" s="259"/>
      <c r="C61" s="259"/>
      <c r="D61" s="293"/>
      <c r="E61" s="293"/>
      <c r="F61" s="293"/>
      <c r="G61" s="293"/>
      <c r="H61" s="293"/>
      <c r="I61" s="293"/>
      <c r="J61" s="293"/>
      <c r="K61" s="293"/>
      <c r="L61" s="293"/>
      <c r="M61" s="259"/>
      <c r="N61" s="291"/>
      <c r="O61" s="259"/>
      <c r="P61" s="259"/>
      <c r="Q61" s="259"/>
      <c r="R61" s="259"/>
      <c r="S61" s="259"/>
      <c r="T61" s="259"/>
      <c r="U61" s="259"/>
      <c r="V61" s="117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</row>
    <row r="62" spans="1:32" ht="14.25" x14ac:dyDescent="0.3">
      <c r="A62" s="259"/>
      <c r="B62" s="259"/>
      <c r="C62" s="259"/>
      <c r="D62" s="293"/>
      <c r="E62" s="293"/>
      <c r="F62" s="293"/>
      <c r="G62" s="293"/>
      <c r="H62" s="293"/>
      <c r="I62" s="293"/>
      <c r="J62" s="293"/>
      <c r="K62" s="293"/>
      <c r="L62" s="293"/>
      <c r="M62" s="259"/>
      <c r="N62" s="291"/>
      <c r="O62" s="259"/>
      <c r="P62" s="259"/>
      <c r="Q62" s="259"/>
      <c r="R62" s="259"/>
      <c r="S62" s="259"/>
      <c r="T62" s="259"/>
      <c r="U62" s="259"/>
      <c r="V62" s="117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</row>
    <row r="63" spans="1:32" ht="14.25" x14ac:dyDescent="0.3">
      <c r="A63" s="259"/>
      <c r="B63" s="259"/>
      <c r="C63" s="259"/>
      <c r="D63" s="293"/>
      <c r="E63" s="293"/>
      <c r="F63" s="293"/>
      <c r="G63" s="293"/>
      <c r="H63" s="293"/>
      <c r="I63" s="293"/>
      <c r="J63" s="293"/>
      <c r="K63" s="293"/>
      <c r="L63" s="293"/>
      <c r="M63" s="259"/>
      <c r="N63" s="291"/>
      <c r="O63" s="259"/>
      <c r="P63" s="259"/>
      <c r="Q63" s="259"/>
      <c r="R63" s="259"/>
      <c r="S63" s="259"/>
      <c r="T63" s="259"/>
      <c r="U63" s="259"/>
      <c r="V63" s="117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</row>
    <row r="64" spans="1:32" ht="14.25" x14ac:dyDescent="0.3">
      <c r="A64" s="259"/>
      <c r="B64" s="259"/>
      <c r="C64" s="259"/>
      <c r="D64" s="293"/>
      <c r="E64" s="293"/>
      <c r="F64" s="293"/>
      <c r="G64" s="293"/>
      <c r="H64" s="293"/>
      <c r="I64" s="293"/>
      <c r="J64" s="293"/>
      <c r="K64" s="293"/>
      <c r="L64" s="293"/>
      <c r="M64" s="259"/>
      <c r="N64" s="291"/>
      <c r="O64" s="259"/>
      <c r="P64" s="259"/>
      <c r="Q64" s="259"/>
      <c r="R64" s="259"/>
      <c r="S64" s="259"/>
      <c r="T64" s="259"/>
      <c r="U64" s="259"/>
      <c r="V64" s="117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</row>
    <row r="65" spans="1:32" ht="14.25" x14ac:dyDescent="0.3">
      <c r="A65" s="259"/>
      <c r="B65" s="259"/>
      <c r="C65" s="259"/>
      <c r="D65" s="293"/>
      <c r="E65" s="293"/>
      <c r="F65" s="293"/>
      <c r="G65" s="293"/>
      <c r="H65" s="293"/>
      <c r="I65" s="293"/>
      <c r="J65" s="293"/>
      <c r="K65" s="293"/>
      <c r="L65" s="293"/>
      <c r="M65" s="259"/>
      <c r="N65" s="291"/>
      <c r="O65" s="259"/>
      <c r="P65" s="259"/>
      <c r="Q65" s="259"/>
      <c r="R65" s="259"/>
      <c r="S65" s="259"/>
      <c r="T65" s="259"/>
      <c r="U65" s="259"/>
      <c r="V65" s="117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</row>
    <row r="66" spans="1:32" ht="14.25" x14ac:dyDescent="0.3">
      <c r="A66" s="259"/>
      <c r="B66" s="259"/>
      <c r="C66" s="259"/>
      <c r="D66" s="293"/>
      <c r="E66" s="293"/>
      <c r="F66" s="293"/>
      <c r="G66" s="293"/>
      <c r="H66" s="293"/>
      <c r="I66" s="293"/>
      <c r="J66" s="293"/>
      <c r="K66" s="293"/>
      <c r="L66" s="293"/>
      <c r="M66" s="259"/>
      <c r="N66" s="291"/>
      <c r="O66" s="259"/>
      <c r="P66" s="259"/>
      <c r="Q66" s="259"/>
      <c r="R66" s="259"/>
      <c r="S66" s="259"/>
      <c r="T66" s="259"/>
      <c r="U66" s="259"/>
      <c r="V66" s="117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</row>
    <row r="67" spans="1:32" ht="14.25" x14ac:dyDescent="0.3">
      <c r="A67" s="259"/>
      <c r="B67" s="259"/>
      <c r="C67" s="259"/>
      <c r="D67" s="293"/>
      <c r="E67" s="293"/>
      <c r="F67" s="293"/>
      <c r="G67" s="293"/>
      <c r="H67" s="293"/>
      <c r="I67" s="293"/>
      <c r="J67" s="293"/>
      <c r="K67" s="293"/>
      <c r="L67" s="293"/>
      <c r="M67" s="259"/>
      <c r="N67" s="291"/>
      <c r="O67" s="259"/>
      <c r="P67" s="259"/>
      <c r="Q67" s="259"/>
      <c r="R67" s="259"/>
      <c r="S67" s="259"/>
      <c r="T67" s="259"/>
      <c r="U67" s="259"/>
      <c r="V67" s="117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</row>
    <row r="68" spans="1:32" ht="14.25" x14ac:dyDescent="0.3">
      <c r="A68" s="259"/>
      <c r="B68" s="259"/>
      <c r="C68" s="259"/>
      <c r="D68" s="293"/>
      <c r="E68" s="293"/>
      <c r="F68" s="293"/>
      <c r="G68" s="293"/>
      <c r="H68" s="293"/>
      <c r="I68" s="293"/>
      <c r="J68" s="293"/>
      <c r="K68" s="293"/>
      <c r="L68" s="293"/>
      <c r="M68" s="259"/>
      <c r="N68" s="291"/>
      <c r="O68" s="259"/>
      <c r="P68" s="259"/>
      <c r="Q68" s="259"/>
      <c r="R68" s="259"/>
      <c r="S68" s="259"/>
      <c r="T68" s="259"/>
      <c r="U68" s="259"/>
      <c r="V68" s="117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</row>
    <row r="69" spans="1:32" ht="14.25" x14ac:dyDescent="0.3">
      <c r="A69" s="259"/>
      <c r="B69" s="259"/>
      <c r="C69" s="259"/>
      <c r="D69" s="293"/>
      <c r="E69" s="293"/>
      <c r="F69" s="293"/>
      <c r="G69" s="293"/>
      <c r="H69" s="293"/>
      <c r="I69" s="293"/>
      <c r="J69" s="293"/>
      <c r="K69" s="293"/>
      <c r="L69" s="293"/>
      <c r="M69" s="259"/>
      <c r="N69" s="291"/>
      <c r="O69" s="259"/>
      <c r="P69" s="259"/>
      <c r="Q69" s="259"/>
      <c r="R69" s="259"/>
      <c r="S69" s="259"/>
      <c r="T69" s="259"/>
      <c r="U69" s="259"/>
      <c r="V69" s="117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</row>
    <row r="70" spans="1:32" ht="14.25" x14ac:dyDescent="0.3">
      <c r="A70" s="259"/>
      <c r="B70" s="259"/>
      <c r="C70" s="259"/>
      <c r="D70" s="293"/>
      <c r="E70" s="293"/>
      <c r="F70" s="293"/>
      <c r="G70" s="293"/>
      <c r="H70" s="293"/>
      <c r="I70" s="293"/>
      <c r="J70" s="293"/>
      <c r="K70" s="293"/>
      <c r="L70" s="293"/>
      <c r="M70" s="259"/>
      <c r="N70" s="291"/>
      <c r="O70" s="259"/>
      <c r="P70" s="259"/>
      <c r="Q70" s="259"/>
      <c r="R70" s="259"/>
      <c r="S70" s="259"/>
      <c r="T70" s="259"/>
      <c r="U70" s="259"/>
      <c r="V70" s="117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</row>
    <row r="71" spans="1:32" ht="14.25" x14ac:dyDescent="0.3">
      <c r="A71" s="259"/>
      <c r="B71" s="259"/>
      <c r="C71" s="259"/>
      <c r="D71" s="293"/>
      <c r="E71" s="293"/>
      <c r="F71" s="293"/>
      <c r="G71" s="293"/>
      <c r="H71" s="293"/>
      <c r="I71" s="293"/>
      <c r="J71" s="293"/>
      <c r="K71" s="293"/>
      <c r="L71" s="293"/>
      <c r="M71" s="259"/>
      <c r="N71" s="291"/>
      <c r="O71" s="259"/>
      <c r="P71" s="259"/>
      <c r="Q71" s="259"/>
      <c r="R71" s="259"/>
      <c r="S71" s="259"/>
      <c r="T71" s="259"/>
      <c r="U71" s="259"/>
      <c r="V71" s="117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</row>
    <row r="72" spans="1:32" ht="14.25" x14ac:dyDescent="0.3">
      <c r="A72" s="259"/>
      <c r="B72" s="259"/>
      <c r="C72" s="259"/>
      <c r="D72" s="293"/>
      <c r="E72" s="293"/>
      <c r="F72" s="293"/>
      <c r="G72" s="293"/>
      <c r="H72" s="293"/>
      <c r="I72" s="293"/>
      <c r="J72" s="293"/>
      <c r="K72" s="293"/>
      <c r="L72" s="293"/>
      <c r="M72" s="259"/>
      <c r="N72" s="291"/>
      <c r="O72" s="259"/>
      <c r="P72" s="259"/>
      <c r="Q72" s="259"/>
      <c r="R72" s="259"/>
      <c r="S72" s="259"/>
      <c r="T72" s="259"/>
      <c r="U72" s="259"/>
      <c r="V72" s="117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</row>
    <row r="73" spans="1:32" ht="14.25" x14ac:dyDescent="0.3">
      <c r="A73" s="259"/>
      <c r="B73" s="259"/>
      <c r="C73" s="259"/>
      <c r="D73" s="293"/>
      <c r="E73" s="293"/>
      <c r="F73" s="293"/>
      <c r="G73" s="293"/>
      <c r="H73" s="293"/>
      <c r="I73" s="293"/>
      <c r="J73" s="293"/>
      <c r="K73" s="293"/>
      <c r="L73" s="293"/>
      <c r="M73" s="259"/>
      <c r="N73" s="291"/>
      <c r="O73" s="259"/>
      <c r="P73" s="259"/>
      <c r="Q73" s="259"/>
      <c r="R73" s="259"/>
      <c r="S73" s="259"/>
      <c r="T73" s="259"/>
      <c r="U73" s="259"/>
      <c r="V73" s="117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</row>
    <row r="74" spans="1:32" ht="14.25" x14ac:dyDescent="0.3">
      <c r="A74" s="259"/>
      <c r="B74" s="259"/>
      <c r="C74" s="259"/>
      <c r="D74" s="293"/>
      <c r="E74" s="293"/>
      <c r="F74" s="293"/>
      <c r="G74" s="293"/>
      <c r="H74" s="293"/>
      <c r="I74" s="293"/>
      <c r="J74" s="293"/>
      <c r="K74" s="293"/>
      <c r="L74" s="293"/>
      <c r="M74" s="259"/>
      <c r="N74" s="291"/>
      <c r="O74" s="259"/>
      <c r="P74" s="259"/>
      <c r="Q74" s="259"/>
      <c r="R74" s="259"/>
      <c r="S74" s="259"/>
      <c r="T74" s="259"/>
      <c r="U74" s="259"/>
      <c r="V74" s="11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</row>
    <row r="75" spans="1:32" ht="14.25" x14ac:dyDescent="0.3">
      <c r="A75" s="259"/>
      <c r="B75" s="259"/>
      <c r="C75" s="259"/>
      <c r="D75" s="293"/>
      <c r="E75" s="293"/>
      <c r="F75" s="293"/>
      <c r="G75" s="293"/>
      <c r="H75" s="293"/>
      <c r="I75" s="293"/>
      <c r="J75" s="293"/>
      <c r="K75" s="293"/>
      <c r="L75" s="293"/>
      <c r="M75" s="259"/>
      <c r="N75" s="291"/>
      <c r="O75" s="259"/>
      <c r="P75" s="259"/>
      <c r="Q75" s="259"/>
      <c r="R75" s="259"/>
      <c r="S75" s="259"/>
      <c r="T75" s="259"/>
      <c r="U75" s="259"/>
      <c r="V75" s="11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</row>
    <row r="76" spans="1:32" ht="14.25" x14ac:dyDescent="0.3">
      <c r="A76" s="259"/>
      <c r="B76" s="259"/>
      <c r="C76" s="259"/>
      <c r="D76" s="293"/>
      <c r="E76" s="293"/>
      <c r="F76" s="293"/>
      <c r="G76" s="293"/>
      <c r="H76" s="293"/>
      <c r="I76" s="293"/>
      <c r="J76" s="293"/>
      <c r="K76" s="293"/>
      <c r="L76" s="293"/>
      <c r="M76" s="259"/>
      <c r="N76" s="291"/>
      <c r="O76" s="259"/>
      <c r="P76" s="259"/>
      <c r="Q76" s="259"/>
      <c r="R76" s="259"/>
      <c r="S76" s="259"/>
      <c r="T76" s="259"/>
      <c r="U76" s="259"/>
      <c r="V76" s="11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</row>
    <row r="77" spans="1:32" ht="14.25" x14ac:dyDescent="0.3">
      <c r="A77" s="259"/>
      <c r="B77" s="259"/>
      <c r="C77" s="259"/>
      <c r="D77" s="292"/>
      <c r="E77" s="292"/>
      <c r="F77" s="292"/>
      <c r="G77" s="292"/>
      <c r="H77" s="292"/>
      <c r="I77" s="292"/>
      <c r="J77" s="292"/>
      <c r="K77" s="292"/>
      <c r="L77" s="292"/>
      <c r="M77" s="259"/>
      <c r="N77" s="291"/>
      <c r="O77" s="259"/>
      <c r="P77" s="259"/>
      <c r="Q77" s="259"/>
      <c r="R77" s="259"/>
      <c r="S77" s="259"/>
      <c r="T77" s="259"/>
      <c r="U77" s="292"/>
      <c r="V77" s="11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</row>
    <row r="78" spans="1:32" ht="14.25" x14ac:dyDescent="0.3">
      <c r="A78" s="259"/>
      <c r="B78" s="259"/>
      <c r="C78" s="259"/>
      <c r="D78" s="292"/>
      <c r="E78" s="292"/>
      <c r="F78" s="292"/>
      <c r="G78" s="292"/>
      <c r="H78" s="292"/>
      <c r="I78" s="292"/>
      <c r="J78" s="292"/>
      <c r="K78" s="292"/>
      <c r="L78" s="292"/>
      <c r="M78" s="259"/>
      <c r="N78" s="291"/>
      <c r="O78" s="259"/>
      <c r="P78" s="259"/>
      <c r="Q78" s="259"/>
      <c r="R78" s="259"/>
      <c r="S78" s="259"/>
      <c r="T78" s="259"/>
      <c r="U78" s="292"/>
      <c r="V78" s="118"/>
      <c r="W78" s="308"/>
      <c r="X78" s="308"/>
      <c r="Y78" s="308"/>
      <c r="Z78" s="308"/>
      <c r="AA78" s="308"/>
      <c r="AB78" s="308"/>
      <c r="AC78" s="308"/>
      <c r="AD78" s="308"/>
      <c r="AE78" s="308"/>
      <c r="AF78" s="308"/>
    </row>
    <row r="79" spans="1:32" ht="14.25" x14ac:dyDescent="0.3">
      <c r="A79" s="259"/>
      <c r="B79" s="259"/>
      <c r="C79" s="259"/>
      <c r="D79" s="292"/>
      <c r="E79" s="292"/>
      <c r="F79" s="292"/>
      <c r="G79" s="292"/>
      <c r="H79" s="292"/>
      <c r="I79" s="292"/>
      <c r="J79" s="292"/>
      <c r="K79" s="292"/>
      <c r="L79" s="292"/>
      <c r="M79" s="259"/>
      <c r="N79" s="291"/>
      <c r="O79" s="259"/>
      <c r="P79" s="259"/>
      <c r="Q79" s="259"/>
      <c r="R79" s="259"/>
      <c r="S79" s="259"/>
      <c r="T79" s="259"/>
      <c r="U79" s="292"/>
      <c r="V79" s="118"/>
      <c r="W79" s="308"/>
      <c r="X79" s="308"/>
      <c r="Y79" s="308"/>
      <c r="Z79" s="308"/>
      <c r="AA79" s="308"/>
      <c r="AB79" s="308"/>
      <c r="AC79" s="308"/>
      <c r="AD79" s="308"/>
      <c r="AE79" s="308"/>
      <c r="AF79" s="308"/>
    </row>
    <row r="80" spans="1:32" x14ac:dyDescent="0.2"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W80"/>
    </row>
    <row r="81" spans="4:22" x14ac:dyDescent="0.2">
      <c r="D81" s="9"/>
      <c r="E81" s="9"/>
      <c r="F81" s="9"/>
      <c r="G81" s="9"/>
      <c r="H81" s="9"/>
      <c r="I81" s="9"/>
      <c r="J81" s="9"/>
      <c r="K81" s="9"/>
      <c r="L81" s="9"/>
      <c r="M81" s="9"/>
      <c r="N81" s="95"/>
      <c r="O81" s="9"/>
      <c r="P81" s="9"/>
      <c r="Q81" s="9"/>
      <c r="R81" s="9"/>
      <c r="S81" s="9"/>
      <c r="T81" s="9"/>
      <c r="U81" s="9"/>
      <c r="V81" s="9"/>
    </row>
    <row r="82" spans="4:22" x14ac:dyDescent="0.2">
      <c r="D82" s="9"/>
      <c r="E82" s="9"/>
      <c r="F82" s="9"/>
      <c r="G82" s="9"/>
      <c r="H82" s="9"/>
      <c r="I82" s="9"/>
      <c r="J82" s="9"/>
      <c r="K82" s="9"/>
      <c r="L82" s="9"/>
      <c r="M82" s="9"/>
      <c r="N82" s="95"/>
      <c r="O82" s="9"/>
      <c r="P82" s="9"/>
      <c r="Q82" s="9"/>
      <c r="R82" s="9"/>
      <c r="S82" s="9"/>
      <c r="T82" s="9"/>
      <c r="U82" s="9"/>
      <c r="V82" s="9"/>
    </row>
    <row r="83" spans="4:22" x14ac:dyDescent="0.2">
      <c r="D83" s="9"/>
      <c r="E83" s="9"/>
      <c r="F83" s="9"/>
      <c r="G83" s="9"/>
      <c r="H83" s="9"/>
      <c r="I83" s="9"/>
      <c r="J83" s="9"/>
      <c r="K83" s="9"/>
      <c r="L83" s="9"/>
      <c r="M83" s="9"/>
      <c r="N83" s="95"/>
      <c r="O83" s="9"/>
      <c r="P83" s="9"/>
      <c r="Q83" s="9"/>
      <c r="R83" s="9"/>
      <c r="S83" s="9"/>
      <c r="T83" s="9"/>
      <c r="U83" s="9"/>
      <c r="V83" s="9"/>
    </row>
    <row r="84" spans="4:22" x14ac:dyDescent="0.2">
      <c r="D84" s="9"/>
      <c r="E84" s="9"/>
      <c r="F84" s="9"/>
      <c r="G84" s="9"/>
      <c r="H84" s="9"/>
      <c r="I84" s="9"/>
      <c r="J84" s="9"/>
      <c r="K84" s="9"/>
      <c r="L84" s="9"/>
      <c r="M84" s="9"/>
      <c r="N84" s="95"/>
      <c r="O84" s="9"/>
      <c r="P84" s="9"/>
      <c r="Q84" s="9"/>
      <c r="R84" s="9"/>
      <c r="S84" s="9"/>
      <c r="T84" s="9"/>
    </row>
    <row r="85" spans="4:22" x14ac:dyDescent="0.2">
      <c r="D85" s="9"/>
      <c r="E85" s="9"/>
      <c r="F85" s="9"/>
      <c r="G85" s="9"/>
      <c r="H85" s="9"/>
      <c r="I85" s="9"/>
      <c r="J85" s="9"/>
      <c r="K85" s="9"/>
      <c r="L85" s="9"/>
      <c r="M85" s="9"/>
      <c r="N85" s="95"/>
      <c r="O85" s="9"/>
      <c r="P85" s="9"/>
      <c r="Q85" s="9"/>
      <c r="R85" s="9"/>
      <c r="S85" s="9"/>
      <c r="T85" s="9"/>
    </row>
    <row r="86" spans="4:22" x14ac:dyDescent="0.2">
      <c r="D86" s="9"/>
      <c r="E86" s="9"/>
      <c r="F86" s="9"/>
      <c r="G86" s="9"/>
      <c r="H86" s="9"/>
      <c r="I86" s="9"/>
      <c r="J86" s="9"/>
      <c r="K86" s="9"/>
      <c r="L86" s="9"/>
      <c r="M86" s="9"/>
      <c r="N86" s="95"/>
      <c r="O86" s="9"/>
      <c r="P86" s="9"/>
      <c r="Q86" s="9"/>
      <c r="R86" s="9"/>
      <c r="S86" s="9"/>
      <c r="T86" s="9"/>
    </row>
  </sheetData>
  <mergeCells count="10">
    <mergeCell ref="E6:F6"/>
    <mergeCell ref="M31:N33"/>
    <mergeCell ref="I6:K6"/>
    <mergeCell ref="M11:N13"/>
    <mergeCell ref="P11:P13"/>
    <mergeCell ref="Q11:Q13"/>
    <mergeCell ref="M17:M18"/>
    <mergeCell ref="M20:M21"/>
    <mergeCell ref="M25:N27"/>
    <mergeCell ref="Q25:Q27"/>
  </mergeCells>
  <dataValidations count="1">
    <dataValidation type="list" allowBlank="1" showInputMessage="1" showErrorMessage="1" sqref="H3:L3">
      <formula1>$M$37:$N$37</formula1>
    </dataValidation>
  </dataValidations>
  <pageMargins left="0.7" right="0.7" top="0.75" bottom="0.75" header="0.3" footer="0.3"/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zoomScale="105" zoomScaleNormal="105" workbookViewId="0">
      <selection activeCell="D14" sqref="D14"/>
    </sheetView>
  </sheetViews>
  <sheetFormatPr defaultColWidth="11.5703125" defaultRowHeight="12.75" x14ac:dyDescent="0.2"/>
  <cols>
    <col min="1" max="1" width="29.42578125" customWidth="1"/>
    <col min="2" max="2" width="14.42578125" customWidth="1"/>
    <col min="3" max="3" width="16.7109375" customWidth="1"/>
    <col min="4" max="4" width="18.42578125" customWidth="1"/>
    <col min="5" max="5" width="14.85546875" customWidth="1"/>
    <col min="6" max="6" width="15.140625" customWidth="1"/>
    <col min="7" max="7" width="14.5703125" customWidth="1"/>
    <col min="8" max="8" width="14.42578125" customWidth="1"/>
    <col min="9" max="10" width="13.7109375" customWidth="1"/>
    <col min="11" max="11" width="13.5703125" customWidth="1"/>
    <col min="12" max="12" width="13.7109375" customWidth="1"/>
    <col min="13" max="13" width="12.42578125" customWidth="1"/>
  </cols>
  <sheetData>
    <row r="1" spans="1:14" x14ac:dyDescent="0.2">
      <c r="A1" t="s">
        <v>44</v>
      </c>
    </row>
    <row r="2" spans="1:14" x14ac:dyDescent="0.2">
      <c r="A2" s="10"/>
      <c r="B2" s="10"/>
      <c r="C2" s="10"/>
      <c r="D2" s="10"/>
      <c r="E2" s="519" t="s">
        <v>45</v>
      </c>
      <c r="F2" s="519"/>
      <c r="G2" s="519"/>
      <c r="H2" s="519"/>
      <c r="J2" s="520" t="s">
        <v>46</v>
      </c>
      <c r="K2" s="520"/>
      <c r="L2" s="520"/>
      <c r="M2" s="520"/>
      <c r="N2" s="11" t="s">
        <v>47</v>
      </c>
    </row>
    <row r="3" spans="1:14" x14ac:dyDescent="0.2">
      <c r="A3" s="12" t="s">
        <v>48</v>
      </c>
      <c r="B3" s="12" t="s">
        <v>16</v>
      </c>
      <c r="C3" s="12" t="s">
        <v>49</v>
      </c>
      <c r="D3" s="12" t="s">
        <v>50</v>
      </c>
      <c r="E3" s="13" t="s">
        <v>18</v>
      </c>
      <c r="F3" s="13" t="s">
        <v>19</v>
      </c>
      <c r="G3" s="13" t="s">
        <v>20</v>
      </c>
      <c r="H3" s="13" t="s">
        <v>51</v>
      </c>
      <c r="J3" s="11" t="s">
        <v>18</v>
      </c>
      <c r="K3" s="11" t="s">
        <v>19</v>
      </c>
      <c r="L3" s="11" t="s">
        <v>20</v>
      </c>
      <c r="M3" s="11" t="s">
        <v>51</v>
      </c>
      <c r="N3" s="11" t="s">
        <v>52</v>
      </c>
    </row>
    <row r="4" spans="1:14" x14ac:dyDescent="0.2">
      <c r="A4" s="12"/>
      <c r="B4" s="12"/>
      <c r="C4" s="12"/>
      <c r="D4" s="12"/>
      <c r="E4" s="13"/>
      <c r="F4" s="13"/>
      <c r="G4" s="13"/>
      <c r="H4" s="13"/>
      <c r="J4" s="11"/>
      <c r="K4" s="11"/>
      <c r="L4" s="11"/>
      <c r="M4" s="11"/>
      <c r="N4" s="11"/>
    </row>
    <row r="5" spans="1:14" x14ac:dyDescent="0.2">
      <c r="A5" s="10" t="s">
        <v>23</v>
      </c>
      <c r="B5" s="10" t="s">
        <v>53</v>
      </c>
      <c r="C5" s="10">
        <v>0.83200000000000007</v>
      </c>
      <c r="D5" s="10">
        <v>43.1</v>
      </c>
      <c r="E5" s="341">
        <f t="shared" ref="E5:G8" si="0">J5*$D5*$C5</f>
        <v>3368.872231111111</v>
      </c>
      <c r="F5" s="340">
        <f t="shared" si="0"/>
        <v>0</v>
      </c>
      <c r="G5" s="14">
        <f t="shared" si="0"/>
        <v>0</v>
      </c>
      <c r="H5" s="15"/>
      <c r="J5" s="16">
        <v>93.947222222222209</v>
      </c>
      <c r="K5" s="16"/>
      <c r="L5" s="16"/>
      <c r="M5" s="16"/>
      <c r="N5" s="17">
        <v>1.2</v>
      </c>
    </row>
    <row r="6" spans="1:14" x14ac:dyDescent="0.2">
      <c r="A6" s="10" t="s">
        <v>54</v>
      </c>
      <c r="B6" s="10" t="s">
        <v>53</v>
      </c>
      <c r="C6" s="10">
        <v>0.745</v>
      </c>
      <c r="D6" s="10">
        <v>43.2</v>
      </c>
      <c r="E6" s="341">
        <f t="shared" si="0"/>
        <v>2974.4274000000005</v>
      </c>
      <c r="F6" s="340">
        <f t="shared" si="0"/>
        <v>0</v>
      </c>
      <c r="G6" s="14">
        <f t="shared" si="0"/>
        <v>0</v>
      </c>
      <c r="H6" s="15"/>
      <c r="J6" s="16">
        <v>92.419444444444451</v>
      </c>
      <c r="K6" s="16"/>
      <c r="L6" s="16"/>
      <c r="M6" s="16"/>
      <c r="N6" s="17">
        <v>1.2</v>
      </c>
    </row>
    <row r="7" spans="1:14" x14ac:dyDescent="0.2">
      <c r="A7" s="10" t="s">
        <v>55</v>
      </c>
      <c r="B7" s="10" t="s">
        <v>53</v>
      </c>
      <c r="C7" s="18">
        <v>0.97</v>
      </c>
      <c r="D7" s="10">
        <v>40.5</v>
      </c>
      <c r="E7" s="341">
        <f t="shared" si="0"/>
        <v>3665.2905000000001</v>
      </c>
      <c r="F7" s="340">
        <f t="shared" si="0"/>
        <v>0</v>
      </c>
      <c r="G7" s="14">
        <f t="shared" si="0"/>
        <v>0</v>
      </c>
      <c r="H7" s="15"/>
      <c r="J7" s="16">
        <v>93.3</v>
      </c>
      <c r="K7" s="16"/>
      <c r="L7" s="16"/>
      <c r="M7" s="16"/>
      <c r="N7" s="17">
        <v>1.1599999999999999</v>
      </c>
    </row>
    <row r="8" spans="1:14" x14ac:dyDescent="0.2">
      <c r="A8" s="10" t="s">
        <v>56</v>
      </c>
      <c r="B8" s="10" t="s">
        <v>53</v>
      </c>
      <c r="C8" s="18">
        <v>0.97</v>
      </c>
      <c r="D8" s="10">
        <v>40.5</v>
      </c>
      <c r="E8" s="341">
        <f t="shared" si="0"/>
        <v>3665.2905000000001</v>
      </c>
      <c r="F8" s="340">
        <f t="shared" si="0"/>
        <v>0</v>
      </c>
      <c r="G8" s="14">
        <f t="shared" si="0"/>
        <v>0</v>
      </c>
      <c r="H8" s="15"/>
      <c r="J8" s="16">
        <v>93.3</v>
      </c>
      <c r="K8" s="16"/>
      <c r="L8" s="16"/>
      <c r="M8" s="16"/>
      <c r="N8" s="17">
        <v>1.1599999999999999</v>
      </c>
    </row>
    <row r="9" spans="1:14" x14ac:dyDescent="0.2">
      <c r="A9" s="10" t="s">
        <v>57</v>
      </c>
      <c r="B9" s="10" t="s">
        <v>53</v>
      </c>
      <c r="C9" s="10">
        <v>0.79400000000000004</v>
      </c>
      <c r="D9" s="10">
        <v>26.81</v>
      </c>
      <c r="E9" s="341"/>
      <c r="F9" s="340"/>
      <c r="G9" s="14"/>
      <c r="H9" s="15"/>
      <c r="J9" s="16"/>
      <c r="K9" s="16"/>
      <c r="L9" s="16"/>
      <c r="M9" s="16"/>
      <c r="N9" s="17"/>
    </row>
    <row r="10" spans="1:14" x14ac:dyDescent="0.2">
      <c r="A10" s="10" t="s">
        <v>58</v>
      </c>
      <c r="B10" s="10" t="s">
        <v>53</v>
      </c>
      <c r="C10" s="10">
        <v>0.79300000000000004</v>
      </c>
      <c r="D10" s="10">
        <v>19.95</v>
      </c>
      <c r="E10" s="341">
        <f>J10*$D10*$C10</f>
        <v>1546.2867219041664</v>
      </c>
      <c r="F10" s="340">
        <f>K10*$D10*$C10</f>
        <v>4.8036734958333325</v>
      </c>
      <c r="G10" s="14">
        <f>L10*$D10*$C10</f>
        <v>8.3496291666666656E-3</v>
      </c>
      <c r="H10" s="15"/>
      <c r="J10" s="16">
        <v>97.740361111111099</v>
      </c>
      <c r="K10" s="16">
        <v>0.30363888888888885</v>
      </c>
      <c r="L10" s="16">
        <v>5.2777777777777773E-4</v>
      </c>
      <c r="M10" s="16"/>
      <c r="N10" s="17">
        <v>1.7624</v>
      </c>
    </row>
    <row r="11" spans="1:14" x14ac:dyDescent="0.2">
      <c r="A11" s="10" t="s">
        <v>37</v>
      </c>
      <c r="B11" s="10" t="s">
        <v>59</v>
      </c>
      <c r="C11" s="10"/>
      <c r="D11" s="10">
        <v>49.2</v>
      </c>
      <c r="E11" s="341">
        <f>J11</f>
        <v>66.45427777777779</v>
      </c>
      <c r="F11" s="340">
        <f>K11</f>
        <v>0.20744444444444443</v>
      </c>
      <c r="G11" s="14">
        <f>L11</f>
        <v>3.6111111111111109E-4</v>
      </c>
      <c r="H11" s="15"/>
      <c r="J11" s="16">
        <v>66.45427777777779</v>
      </c>
      <c r="K11" s="16">
        <v>0.20744444444444443</v>
      </c>
      <c r="L11" s="16">
        <v>3.6111111111111109E-4</v>
      </c>
      <c r="M11" s="20"/>
      <c r="N11" s="17">
        <v>1.1990999999999998</v>
      </c>
    </row>
    <row r="12" spans="1:14" x14ac:dyDescent="0.2">
      <c r="A12" s="10" t="s">
        <v>60</v>
      </c>
      <c r="B12" s="10" t="s">
        <v>59</v>
      </c>
      <c r="C12" s="10">
        <v>0.72</v>
      </c>
      <c r="D12" s="10">
        <v>50</v>
      </c>
      <c r="E12" s="341"/>
      <c r="F12" s="340"/>
      <c r="G12" s="14"/>
      <c r="H12" s="15"/>
      <c r="J12" s="16"/>
      <c r="K12" s="16"/>
      <c r="L12" s="16"/>
      <c r="M12" s="20"/>
      <c r="N12" s="17"/>
    </row>
    <row r="13" spans="1:14" x14ac:dyDescent="0.2">
      <c r="A13" s="10" t="s">
        <v>61</v>
      </c>
      <c r="B13" s="10" t="s">
        <v>59</v>
      </c>
      <c r="C13" s="10"/>
      <c r="D13" s="10">
        <v>46</v>
      </c>
      <c r="E13" s="341">
        <f>J13</f>
        <v>72.87444444444445</v>
      </c>
      <c r="F13" s="340">
        <f>K13</f>
        <v>1.563888888888889E-2</v>
      </c>
      <c r="G13" s="14">
        <f>L13</f>
        <v>2.7777777777777779E-5</v>
      </c>
      <c r="H13" s="15"/>
      <c r="J13" s="16">
        <v>72.87444444444445</v>
      </c>
      <c r="K13" s="16">
        <v>1.563888888888889E-2</v>
      </c>
      <c r="L13" s="16">
        <v>2.7777777777777779E-5</v>
      </c>
      <c r="M13" s="20"/>
      <c r="N13" s="17">
        <v>1.1069</v>
      </c>
    </row>
    <row r="14" spans="1:14" x14ac:dyDescent="0.2">
      <c r="A14" s="10" t="s">
        <v>62</v>
      </c>
      <c r="B14" s="10" t="s">
        <v>63</v>
      </c>
      <c r="C14" s="10"/>
      <c r="D14" s="10"/>
      <c r="E14" s="341">
        <f t="shared" ref="E14:G16" si="1">3.6*J14</f>
        <v>642.42150000000004</v>
      </c>
      <c r="F14" s="340">
        <f t="shared" si="1"/>
        <v>2.3007</v>
      </c>
      <c r="G14" s="14">
        <f t="shared" si="1"/>
        <v>2.3199999999999998E-2</v>
      </c>
      <c r="H14" s="15"/>
      <c r="J14" s="16">
        <v>178.45041666666668</v>
      </c>
      <c r="K14" s="16">
        <v>0.63908333333333334</v>
      </c>
      <c r="L14" s="16">
        <v>6.4444444444444436E-3</v>
      </c>
      <c r="M14" s="20"/>
      <c r="N14" s="17">
        <v>2.3453499999999998</v>
      </c>
    </row>
    <row r="15" spans="1:14" x14ac:dyDescent="0.2">
      <c r="A15" s="10" t="s">
        <v>64</v>
      </c>
      <c r="B15" s="10" t="s">
        <v>63</v>
      </c>
      <c r="C15" s="10"/>
      <c r="D15" s="10"/>
      <c r="E15" s="341">
        <f t="shared" si="1"/>
        <v>683.27970000000005</v>
      </c>
      <c r="F15" s="340">
        <f t="shared" si="1"/>
        <v>2.4470999999999998</v>
      </c>
      <c r="G15" s="14">
        <f t="shared" si="1"/>
        <v>2.46E-2</v>
      </c>
      <c r="H15" s="15"/>
      <c r="J15" s="16">
        <v>189.79991666666669</v>
      </c>
      <c r="K15" s="16">
        <v>0.67974999999999997</v>
      </c>
      <c r="L15" s="16">
        <v>6.8333333333333336E-3</v>
      </c>
      <c r="M15" s="20"/>
      <c r="N15" s="17">
        <v>2.4944999999999999</v>
      </c>
    </row>
    <row r="16" spans="1:14" x14ac:dyDescent="0.2">
      <c r="A16" s="10" t="s">
        <v>65</v>
      </c>
      <c r="B16" s="10" t="s">
        <v>63</v>
      </c>
      <c r="C16" s="10"/>
      <c r="D16" s="10"/>
      <c r="E16" s="341">
        <f t="shared" si="1"/>
        <v>187.56</v>
      </c>
      <c r="F16" s="340">
        <f t="shared" si="1"/>
        <v>0.28044000000000002</v>
      </c>
      <c r="G16" s="14">
        <f t="shared" si="1"/>
        <v>6.9480000000000002E-3</v>
      </c>
      <c r="H16" s="15"/>
      <c r="J16" s="20">
        <v>52.1</v>
      </c>
      <c r="K16" s="20">
        <v>7.7899999999999997E-2</v>
      </c>
      <c r="L16" s="20">
        <v>1.9300000000000001E-3</v>
      </c>
      <c r="M16" s="20"/>
      <c r="N16" s="20"/>
    </row>
    <row r="17" spans="1:14" x14ac:dyDescent="0.2">
      <c r="A17" s="10"/>
      <c r="B17" s="10"/>
      <c r="C17" s="10"/>
      <c r="D17" s="10"/>
      <c r="E17" s="341"/>
      <c r="F17" s="15"/>
      <c r="G17" s="14"/>
      <c r="H17" s="15"/>
      <c r="J17" s="20"/>
      <c r="K17" s="20"/>
      <c r="L17" s="20"/>
      <c r="M17" s="20"/>
      <c r="N17" s="20"/>
    </row>
    <row r="18" spans="1:14" x14ac:dyDescent="0.2">
      <c r="A18" s="10"/>
      <c r="B18" s="10"/>
      <c r="C18" s="10"/>
      <c r="D18" s="10"/>
      <c r="E18" s="15"/>
      <c r="F18" s="15"/>
      <c r="G18" s="15"/>
      <c r="H18" s="15"/>
      <c r="J18" s="20"/>
      <c r="K18" s="20"/>
      <c r="L18" s="20"/>
      <c r="M18" s="20"/>
      <c r="N18" s="20"/>
    </row>
    <row r="19" spans="1:14" x14ac:dyDescent="0.2">
      <c r="A19" s="10"/>
      <c r="B19" s="10"/>
      <c r="C19" s="10"/>
      <c r="D19" s="10"/>
      <c r="E19" s="15"/>
      <c r="F19" s="15"/>
      <c r="G19" s="15"/>
      <c r="H19" s="15"/>
      <c r="J19" s="20"/>
      <c r="K19" s="20"/>
      <c r="L19" s="20"/>
      <c r="M19" s="20"/>
      <c r="N19" s="20"/>
    </row>
    <row r="20" spans="1:14" x14ac:dyDescent="0.2">
      <c r="A20" s="10"/>
      <c r="B20" s="10"/>
      <c r="C20" s="10"/>
      <c r="D20" s="10"/>
      <c r="E20" s="15"/>
      <c r="F20" s="15"/>
      <c r="G20" s="15"/>
      <c r="H20" s="15"/>
      <c r="J20" s="20"/>
      <c r="K20" s="20"/>
      <c r="L20" s="20"/>
      <c r="M20" s="20"/>
      <c r="N20" s="20"/>
    </row>
    <row r="21" spans="1:14" x14ac:dyDescent="0.2">
      <c r="A21" s="10"/>
      <c r="B21" s="10"/>
      <c r="C21" s="10"/>
      <c r="D21" s="10"/>
      <c r="E21" s="15"/>
      <c r="F21" s="15"/>
      <c r="G21" s="15"/>
      <c r="H21" s="15"/>
      <c r="J21" s="20"/>
      <c r="K21" s="20"/>
      <c r="L21" s="20"/>
      <c r="M21" s="20"/>
      <c r="N21" s="20"/>
    </row>
    <row r="22" spans="1:14" x14ac:dyDescent="0.2">
      <c r="A22" s="10"/>
      <c r="B22" s="10"/>
      <c r="C22" s="10"/>
      <c r="D22" s="10"/>
      <c r="E22" s="15"/>
      <c r="F22" s="15"/>
      <c r="G22" s="15"/>
      <c r="H22" s="15"/>
      <c r="J22" s="20"/>
      <c r="K22" s="20"/>
      <c r="L22" s="20"/>
      <c r="M22" s="20"/>
      <c r="N22" s="20"/>
    </row>
    <row r="23" spans="1:14" x14ac:dyDescent="0.2">
      <c r="A23" s="10"/>
      <c r="B23" s="10"/>
      <c r="C23" s="10"/>
      <c r="D23" s="10"/>
      <c r="E23" s="15"/>
      <c r="F23" s="15"/>
      <c r="G23" s="15"/>
      <c r="H23" s="15"/>
      <c r="J23" s="20"/>
      <c r="K23" s="20"/>
      <c r="L23" s="20"/>
      <c r="M23" s="20"/>
      <c r="N23" s="20"/>
    </row>
    <row r="24" spans="1:14" x14ac:dyDescent="0.2">
      <c r="A24" s="10"/>
      <c r="B24" s="10"/>
      <c r="C24" s="10"/>
      <c r="D24" s="10"/>
      <c r="E24" s="15"/>
      <c r="F24" s="15"/>
      <c r="G24" s="15"/>
      <c r="H24" s="15"/>
      <c r="J24" s="20"/>
      <c r="K24" s="20"/>
      <c r="L24" s="20"/>
      <c r="M24" s="20"/>
      <c r="N24" s="20"/>
    </row>
    <row r="25" spans="1:14" x14ac:dyDescent="0.2">
      <c r="A25" s="10"/>
      <c r="B25" s="10"/>
      <c r="C25" s="10"/>
      <c r="D25" s="10"/>
      <c r="E25" s="15"/>
      <c r="F25" s="15"/>
      <c r="G25" s="15"/>
      <c r="H25" s="15"/>
      <c r="J25" s="20"/>
      <c r="K25" s="20"/>
      <c r="L25" s="20"/>
      <c r="M25" s="20"/>
      <c r="N25" s="20"/>
    </row>
    <row r="26" spans="1:14" x14ac:dyDescent="0.2">
      <c r="A26" s="10"/>
      <c r="B26" s="10"/>
      <c r="C26" s="10"/>
      <c r="D26" s="10"/>
      <c r="E26" s="15"/>
      <c r="F26" s="15"/>
      <c r="G26" s="15"/>
      <c r="H26" s="15"/>
      <c r="J26" s="20"/>
      <c r="K26" s="20"/>
      <c r="L26" s="20"/>
      <c r="M26" s="20"/>
      <c r="N26" s="20"/>
    </row>
    <row r="27" spans="1:14" x14ac:dyDescent="0.2">
      <c r="A27" s="10"/>
      <c r="B27" s="10"/>
      <c r="C27" s="10"/>
      <c r="D27" s="10"/>
      <c r="E27" s="15"/>
      <c r="F27" s="15"/>
      <c r="G27" s="15"/>
      <c r="H27" s="15"/>
      <c r="J27" s="20"/>
      <c r="K27" s="20"/>
      <c r="L27" s="20"/>
      <c r="M27" s="20"/>
      <c r="N27" s="20"/>
    </row>
    <row r="28" spans="1:14" x14ac:dyDescent="0.2">
      <c r="A28" s="10"/>
      <c r="B28" s="10"/>
      <c r="C28" s="10"/>
      <c r="D28" s="10"/>
      <c r="E28" s="15"/>
      <c r="F28" s="15"/>
      <c r="G28" s="15"/>
      <c r="H28" s="15"/>
      <c r="J28" s="20"/>
      <c r="K28" s="20"/>
      <c r="L28" s="20"/>
      <c r="M28" s="20"/>
      <c r="N28" s="20"/>
    </row>
    <row r="29" spans="1:14" x14ac:dyDescent="0.2">
      <c r="A29" s="10"/>
      <c r="B29" s="10"/>
      <c r="C29" s="10"/>
      <c r="D29" s="10"/>
      <c r="E29" s="15"/>
      <c r="F29" s="15"/>
      <c r="G29" s="15"/>
      <c r="H29" s="15"/>
      <c r="J29" s="20"/>
      <c r="K29" s="20"/>
      <c r="L29" s="20"/>
      <c r="M29" s="20"/>
      <c r="N29" s="20"/>
    </row>
    <row r="30" spans="1:14" x14ac:dyDescent="0.2">
      <c r="A30" s="10"/>
      <c r="B30" s="10"/>
      <c r="C30" s="10"/>
      <c r="D30" s="10"/>
      <c r="E30" s="15"/>
      <c r="F30" s="15"/>
      <c r="G30" s="15"/>
      <c r="H30" s="15"/>
      <c r="J30" s="20"/>
      <c r="K30" s="20"/>
      <c r="L30" s="20"/>
      <c r="M30" s="20"/>
      <c r="N30" s="20"/>
    </row>
    <row r="31" spans="1:14" x14ac:dyDescent="0.2">
      <c r="A31" s="10"/>
      <c r="B31" s="10"/>
      <c r="C31" s="10"/>
      <c r="D31" s="10"/>
      <c r="E31" s="15"/>
      <c r="F31" s="15"/>
      <c r="G31" s="15"/>
      <c r="H31" s="15"/>
      <c r="J31" s="20"/>
      <c r="K31" s="20"/>
      <c r="L31" s="20"/>
      <c r="M31" s="20"/>
      <c r="N31" s="20"/>
    </row>
    <row r="32" spans="1:14" x14ac:dyDescent="0.2">
      <c r="A32" s="10"/>
      <c r="B32" s="10"/>
      <c r="C32" s="10"/>
      <c r="D32" s="10"/>
      <c r="E32" s="15"/>
      <c r="F32" s="15"/>
      <c r="G32" s="15"/>
      <c r="H32" s="15"/>
      <c r="J32" s="20"/>
      <c r="K32" s="20"/>
      <c r="L32" s="20"/>
      <c r="M32" s="20"/>
      <c r="N32" s="20"/>
    </row>
  </sheetData>
  <sheetProtection selectLockedCells="1" selectUnlockedCells="1"/>
  <mergeCells count="2">
    <mergeCell ref="E2:H2"/>
    <mergeCell ref="J2:M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opLeftCell="H1" zoomScale="105" zoomScaleNormal="105" workbookViewId="0">
      <selection activeCell="Q11" sqref="Q11:Q12"/>
    </sheetView>
  </sheetViews>
  <sheetFormatPr defaultColWidth="11.5703125" defaultRowHeight="12.75" x14ac:dyDescent="0.2"/>
  <cols>
    <col min="1" max="1" width="30" customWidth="1"/>
    <col min="2" max="2" width="14.42578125" customWidth="1"/>
    <col min="3" max="3" width="14.85546875" customWidth="1"/>
    <col min="4" max="4" width="15.140625" customWidth="1"/>
    <col min="5" max="5" width="14.5703125" customWidth="1"/>
    <col min="6" max="6" width="14.42578125" customWidth="1"/>
    <col min="7" max="7" width="14.85546875" customWidth="1"/>
    <col min="8" max="8" width="15.140625" customWidth="1"/>
    <col min="9" max="9" width="14.5703125" customWidth="1"/>
    <col min="10" max="10" width="14.42578125" customWidth="1"/>
    <col min="11" max="11" width="13.7109375" customWidth="1"/>
    <col min="12" max="12" width="13.5703125" customWidth="1"/>
    <col min="13" max="13" width="13.7109375" customWidth="1"/>
    <col min="14" max="14" width="12.42578125" customWidth="1"/>
    <col min="15" max="15" width="12.85546875" customWidth="1"/>
    <col min="16" max="16" width="13.5703125" customWidth="1"/>
    <col min="17" max="17" width="15.5703125" customWidth="1"/>
    <col min="18" max="18" width="15" customWidth="1"/>
  </cols>
  <sheetData>
    <row r="1" spans="1:10" x14ac:dyDescent="0.2">
      <c r="A1" t="s">
        <v>66</v>
      </c>
    </row>
    <row r="2" spans="1:10" x14ac:dyDescent="0.2">
      <c r="A2" s="10"/>
      <c r="B2" s="10"/>
      <c r="C2" s="520" t="s">
        <v>67</v>
      </c>
      <c r="D2" s="520"/>
      <c r="E2" s="520"/>
      <c r="F2" s="520"/>
      <c r="G2" s="519" t="s">
        <v>68</v>
      </c>
      <c r="H2" s="519"/>
      <c r="I2" s="519"/>
      <c r="J2" s="519"/>
    </row>
    <row r="3" spans="1:10" x14ac:dyDescent="0.2">
      <c r="A3" s="12" t="s">
        <v>69</v>
      </c>
      <c r="B3" s="12" t="s">
        <v>16</v>
      </c>
      <c r="C3" s="11" t="s">
        <v>18</v>
      </c>
      <c r="D3" s="11" t="s">
        <v>19</v>
      </c>
      <c r="E3" s="11" t="s">
        <v>20</v>
      </c>
      <c r="F3" s="11" t="s">
        <v>51</v>
      </c>
      <c r="G3" s="13" t="s">
        <v>18</v>
      </c>
      <c r="H3" s="13" t="s">
        <v>19</v>
      </c>
      <c r="I3" s="13" t="s">
        <v>20</v>
      </c>
      <c r="J3" s="13" t="s">
        <v>51</v>
      </c>
    </row>
    <row r="4" spans="1:10" x14ac:dyDescent="0.2">
      <c r="A4" s="12"/>
      <c r="B4" s="12"/>
      <c r="C4" s="11"/>
      <c r="D4" s="11"/>
      <c r="E4" s="11"/>
      <c r="F4" s="11"/>
      <c r="G4" s="13"/>
      <c r="H4" s="13"/>
      <c r="I4" s="13"/>
      <c r="J4" s="13"/>
    </row>
    <row r="5" spans="1:10" x14ac:dyDescent="0.2">
      <c r="A5" s="10" t="s">
        <v>77</v>
      </c>
      <c r="B5" s="10" t="s">
        <v>78</v>
      </c>
      <c r="C5" s="343">
        <v>82.934799999999996</v>
      </c>
      <c r="D5" s="17">
        <v>0.23300000000000001</v>
      </c>
      <c r="E5" s="344">
        <v>3.0000000000000001E-3</v>
      </c>
      <c r="F5" s="20"/>
      <c r="G5" s="14">
        <v>82.934799999999996</v>
      </c>
      <c r="H5" s="14">
        <v>0.23300000000000001</v>
      </c>
      <c r="I5" s="14">
        <v>3.0000000000000001E-3</v>
      </c>
      <c r="J5" s="15"/>
    </row>
    <row r="6" spans="1:10" x14ac:dyDescent="0.2">
      <c r="A6" s="10" t="s">
        <v>79</v>
      </c>
      <c r="B6" s="10" t="s">
        <v>80</v>
      </c>
      <c r="C6" s="343">
        <v>46.467160171530423</v>
      </c>
      <c r="D6" s="17">
        <v>0.13054650544724999</v>
      </c>
      <c r="E6" s="344">
        <v>1.6808562933122318E-3</v>
      </c>
      <c r="F6" s="20"/>
      <c r="G6" s="14">
        <v>46.467160171530423</v>
      </c>
      <c r="H6" s="14">
        <v>0.13054650544724999</v>
      </c>
      <c r="I6" s="14">
        <v>1.6808562933122318E-3</v>
      </c>
      <c r="J6" s="15"/>
    </row>
    <row r="7" spans="1:10" x14ac:dyDescent="0.2">
      <c r="A7" s="10" t="s">
        <v>71</v>
      </c>
      <c r="B7" s="10" t="s">
        <v>72</v>
      </c>
      <c r="C7" s="343">
        <v>3680</v>
      </c>
      <c r="D7" s="17">
        <v>7.49</v>
      </c>
      <c r="E7" s="344">
        <v>2.351</v>
      </c>
      <c r="F7" s="20"/>
      <c r="G7" s="14">
        <v>3680</v>
      </c>
      <c r="H7" s="14">
        <v>7.49</v>
      </c>
      <c r="I7" s="14">
        <v>2.351</v>
      </c>
      <c r="J7" s="15"/>
    </row>
    <row r="8" spans="1:10" x14ac:dyDescent="0.2">
      <c r="A8" s="10" t="s">
        <v>81</v>
      </c>
      <c r="B8" s="10" t="s">
        <v>72</v>
      </c>
      <c r="C8" s="343">
        <v>2670.8656716417909</v>
      </c>
      <c r="D8" s="17">
        <v>6.937313432835821</v>
      </c>
      <c r="E8" s="344">
        <v>2.0951617750175293</v>
      </c>
      <c r="F8" s="20"/>
      <c r="G8" s="14">
        <v>2670.8656716417909</v>
      </c>
      <c r="H8" s="14">
        <v>6.937313432835821</v>
      </c>
      <c r="I8" s="14">
        <v>2.0951617750175293</v>
      </c>
      <c r="J8" s="15"/>
    </row>
    <row r="9" spans="1:10" x14ac:dyDescent="0.2">
      <c r="A9" s="10" t="s">
        <v>82</v>
      </c>
      <c r="B9" s="10" t="s">
        <v>72</v>
      </c>
      <c r="C9" s="343">
        <v>2560.3809523809523</v>
      </c>
      <c r="D9" s="17">
        <v>6.5371428571428556</v>
      </c>
      <c r="E9" s="344">
        <v>0</v>
      </c>
      <c r="F9" s="20"/>
      <c r="G9" s="19">
        <v>2560.3809523809523</v>
      </c>
      <c r="H9" s="19">
        <v>6.5371428571428556</v>
      </c>
      <c r="I9" s="19">
        <v>0</v>
      </c>
      <c r="J9" s="15"/>
    </row>
    <row r="10" spans="1:10" x14ac:dyDescent="0.2">
      <c r="A10" s="10" t="s">
        <v>83</v>
      </c>
      <c r="B10" s="10" t="s">
        <v>72</v>
      </c>
      <c r="C10" s="343">
        <v>2560.8461538461534</v>
      </c>
      <c r="D10" s="17">
        <v>8.85230769230769</v>
      </c>
      <c r="E10" s="344">
        <v>1.2731027361899843</v>
      </c>
      <c r="F10" s="20"/>
      <c r="G10" s="19">
        <v>2560.8461538461534</v>
      </c>
      <c r="H10" s="19">
        <v>8.85230769230769</v>
      </c>
      <c r="I10" s="19">
        <v>1.2731027361899843</v>
      </c>
      <c r="J10" s="15"/>
    </row>
    <row r="11" spans="1:10" x14ac:dyDescent="0.2">
      <c r="A11" s="10" t="s">
        <v>84</v>
      </c>
      <c r="B11" s="10" t="s">
        <v>72</v>
      </c>
      <c r="C11" s="343">
        <v>2661.8048780487807</v>
      </c>
      <c r="D11" s="17">
        <v>6.7960975609756105</v>
      </c>
      <c r="E11" s="344">
        <v>0</v>
      </c>
      <c r="F11" s="20"/>
      <c r="G11" s="19">
        <v>2661.8048780487807</v>
      </c>
      <c r="H11" s="19">
        <v>6.7960975609756105</v>
      </c>
      <c r="I11" s="19">
        <v>0</v>
      </c>
      <c r="J11" s="15"/>
    </row>
    <row r="12" spans="1:10" x14ac:dyDescent="0.2">
      <c r="A12" s="10" t="s">
        <v>26</v>
      </c>
      <c r="B12" s="10" t="s">
        <v>72</v>
      </c>
      <c r="C12" s="343">
        <v>2862.8888888888887</v>
      </c>
      <c r="D12" s="17">
        <v>7.340740740740741</v>
      </c>
      <c r="E12" s="344">
        <v>2.0938354461844395</v>
      </c>
      <c r="F12" s="20"/>
      <c r="G12" s="15">
        <v>2862.8888888888887</v>
      </c>
      <c r="H12" s="15">
        <v>7.340740740740741</v>
      </c>
      <c r="I12" s="15">
        <v>2.0938354461844395</v>
      </c>
      <c r="J12" s="15"/>
    </row>
    <row r="13" spans="1:10" x14ac:dyDescent="0.2">
      <c r="A13" s="10" t="s">
        <v>85</v>
      </c>
      <c r="B13" s="10" t="s">
        <v>72</v>
      </c>
      <c r="C13" s="343">
        <v>2652.5161290322585</v>
      </c>
      <c r="D13" s="17">
        <v>6.9574193548387093</v>
      </c>
      <c r="E13" s="344">
        <v>5.1071660532582808</v>
      </c>
      <c r="F13" s="20"/>
      <c r="G13" s="15">
        <v>2652.5161290322585</v>
      </c>
      <c r="H13" s="15">
        <v>6.9574193548387093</v>
      </c>
      <c r="I13" s="15">
        <v>5.1071660532582808</v>
      </c>
      <c r="J13" s="15"/>
    </row>
    <row r="14" spans="1:10" x14ac:dyDescent="0.2">
      <c r="A14" s="21" t="s">
        <v>86</v>
      </c>
      <c r="B14" s="21" t="s">
        <v>72</v>
      </c>
      <c r="C14" s="343">
        <v>1702.608695652174</v>
      </c>
      <c r="D14" s="17">
        <v>9.2869565217391301</v>
      </c>
      <c r="E14" s="344">
        <v>0</v>
      </c>
      <c r="F14" s="22"/>
      <c r="G14" s="15">
        <v>1702.608695652174</v>
      </c>
      <c r="H14" s="15">
        <v>9.2869565217391301</v>
      </c>
      <c r="I14" s="15">
        <v>0</v>
      </c>
      <c r="J14" s="15"/>
    </row>
    <row r="15" spans="1:10" x14ac:dyDescent="0.2">
      <c r="A15" s="21" t="s">
        <v>87</v>
      </c>
      <c r="B15" s="21" t="s">
        <v>72</v>
      </c>
      <c r="C15" s="343">
        <v>2181.6000000000004</v>
      </c>
      <c r="D15" s="17">
        <v>7.5413333333333341</v>
      </c>
      <c r="E15" s="344">
        <v>1.084563758389262</v>
      </c>
      <c r="F15" s="22"/>
      <c r="G15" s="15">
        <v>2181.6000000000004</v>
      </c>
      <c r="H15" s="15">
        <v>7.5413333333333341</v>
      </c>
      <c r="I15" s="15">
        <v>1.084563758389262</v>
      </c>
      <c r="J15" s="15"/>
    </row>
    <row r="16" spans="1:10" ht="15.75" x14ac:dyDescent="0.3">
      <c r="A16" s="10" t="s">
        <v>73</v>
      </c>
      <c r="B16" s="10" t="s">
        <v>74</v>
      </c>
      <c r="C16" s="343">
        <v>1112.1129000000001</v>
      </c>
      <c r="D16" s="17">
        <v>1.9198999999999999</v>
      </c>
      <c r="E16" s="344">
        <v>5.3600000000000002E-2</v>
      </c>
      <c r="F16" s="20"/>
      <c r="G16" s="14">
        <v>1112.1129000000001</v>
      </c>
      <c r="H16" s="14">
        <v>1.9198999999999999</v>
      </c>
      <c r="I16" s="14">
        <v>5.3600000000000002E-2</v>
      </c>
      <c r="J16" s="15"/>
    </row>
    <row r="17" spans="1:10" x14ac:dyDescent="0.2">
      <c r="A17" s="10" t="s">
        <v>28</v>
      </c>
      <c r="B17" s="10" t="s">
        <v>74</v>
      </c>
      <c r="C17" s="343">
        <v>516.5625</v>
      </c>
      <c r="D17" s="17">
        <v>0.87</v>
      </c>
      <c r="E17" s="344">
        <v>1.8246644295302015E-2</v>
      </c>
      <c r="F17" s="20"/>
      <c r="G17" s="15">
        <v>516.5625</v>
      </c>
      <c r="H17" s="15">
        <v>0.87</v>
      </c>
      <c r="I17" s="15">
        <v>1.8246644295302015E-2</v>
      </c>
      <c r="J17" s="15"/>
    </row>
    <row r="18" spans="1:10" ht="14.25" x14ac:dyDescent="0.3">
      <c r="A18" s="10" t="s">
        <v>88</v>
      </c>
      <c r="B18" s="10" t="s">
        <v>74</v>
      </c>
      <c r="C18" s="343">
        <v>95</v>
      </c>
      <c r="D18" s="17">
        <v>0</v>
      </c>
      <c r="E18" s="344">
        <v>0</v>
      </c>
      <c r="F18" s="20"/>
      <c r="G18" s="15">
        <v>95</v>
      </c>
      <c r="H18" s="15">
        <v>0</v>
      </c>
      <c r="I18" s="15">
        <v>0</v>
      </c>
      <c r="J18" s="15"/>
    </row>
    <row r="19" spans="1:10" ht="14.25" x14ac:dyDescent="0.3">
      <c r="A19" s="10" t="s">
        <v>89</v>
      </c>
      <c r="B19" s="10" t="s">
        <v>74</v>
      </c>
      <c r="C19" s="343">
        <v>967.11538461538464</v>
      </c>
      <c r="D19" s="17">
        <v>2.4692307692307689</v>
      </c>
      <c r="E19" s="344">
        <v>0</v>
      </c>
      <c r="F19" s="20"/>
      <c r="G19" s="15">
        <v>967.11538461538464</v>
      </c>
      <c r="H19" s="15">
        <v>2.4692307692307689</v>
      </c>
      <c r="I19" s="15">
        <v>0</v>
      </c>
      <c r="J19" s="15"/>
    </row>
    <row r="20" spans="1:10" x14ac:dyDescent="0.2">
      <c r="A20" s="10" t="s">
        <v>90</v>
      </c>
      <c r="B20" s="10" t="s">
        <v>74</v>
      </c>
      <c r="C20" s="343">
        <v>1459.0434782608695</v>
      </c>
      <c r="D20" s="17">
        <v>3.72521739130435</v>
      </c>
      <c r="E20" s="344">
        <v>0</v>
      </c>
      <c r="F20" s="20"/>
      <c r="G20" s="15">
        <v>1459.0434782608695</v>
      </c>
      <c r="H20" s="15">
        <v>3.72521739130435</v>
      </c>
      <c r="I20" s="15">
        <v>0</v>
      </c>
      <c r="J20" s="15"/>
    </row>
    <row r="21" spans="1:10" ht="15.75" x14ac:dyDescent="0.3">
      <c r="A21" s="10" t="s">
        <v>75</v>
      </c>
      <c r="B21" s="10" t="s">
        <v>76</v>
      </c>
      <c r="C21" s="343">
        <v>588.70870000000002</v>
      </c>
      <c r="D21" s="17">
        <v>1.7172000000000001</v>
      </c>
      <c r="E21" s="344">
        <v>1.35E-2</v>
      </c>
      <c r="F21" s="20"/>
      <c r="G21" s="14">
        <v>588.70870000000002</v>
      </c>
      <c r="H21" s="14">
        <v>1.7172000000000001</v>
      </c>
      <c r="I21" s="14">
        <v>1.35E-2</v>
      </c>
      <c r="J21" s="15"/>
    </row>
    <row r="22" spans="1:10" x14ac:dyDescent="0.2">
      <c r="A22" s="10" t="s">
        <v>91</v>
      </c>
      <c r="B22" s="10" t="s">
        <v>76</v>
      </c>
      <c r="C22" s="343">
        <v>409.2</v>
      </c>
      <c r="D22" s="17">
        <v>0.16533333333333333</v>
      </c>
      <c r="E22" s="344">
        <v>0</v>
      </c>
      <c r="F22" s="20"/>
      <c r="G22" s="15">
        <v>409.2</v>
      </c>
      <c r="H22" s="15">
        <v>0.16533333333333333</v>
      </c>
      <c r="I22" s="15">
        <v>0</v>
      </c>
      <c r="J22" s="15"/>
    </row>
    <row r="23" spans="1:10" x14ac:dyDescent="0.2">
      <c r="A23" s="10"/>
      <c r="B23" s="10"/>
      <c r="C23" s="20"/>
      <c r="D23" s="20"/>
      <c r="E23" s="20"/>
      <c r="F23" s="20"/>
      <c r="G23" s="15"/>
      <c r="H23" s="15"/>
      <c r="I23" s="15"/>
      <c r="J23" s="15"/>
    </row>
    <row r="24" spans="1:10" x14ac:dyDescent="0.2">
      <c r="A24" s="10"/>
      <c r="B24" s="10"/>
      <c r="C24" s="20"/>
      <c r="D24" s="20"/>
      <c r="E24" s="20"/>
      <c r="F24" s="20"/>
      <c r="G24" s="15"/>
      <c r="H24" s="15"/>
      <c r="I24" s="15"/>
      <c r="J24" s="15"/>
    </row>
    <row r="25" spans="1:10" x14ac:dyDescent="0.2">
      <c r="A25" s="10"/>
      <c r="B25" s="10"/>
      <c r="C25" s="20"/>
      <c r="D25" s="20"/>
      <c r="E25" s="20"/>
      <c r="F25" s="20"/>
      <c r="G25" s="15"/>
      <c r="H25" s="15"/>
      <c r="I25" s="15"/>
      <c r="J25" s="15"/>
    </row>
    <row r="26" spans="1:10" x14ac:dyDescent="0.2">
      <c r="A26" s="10"/>
      <c r="B26" s="10"/>
      <c r="C26" s="20"/>
      <c r="D26" s="20"/>
      <c r="E26" s="20"/>
      <c r="F26" s="20"/>
      <c r="G26" s="15"/>
      <c r="H26" s="15"/>
      <c r="I26" s="15"/>
      <c r="J26" s="15"/>
    </row>
    <row r="27" spans="1:10" x14ac:dyDescent="0.2">
      <c r="A27" s="10"/>
      <c r="B27" s="10"/>
      <c r="C27" s="20"/>
      <c r="D27" s="20"/>
      <c r="E27" s="20"/>
      <c r="F27" s="20"/>
      <c r="G27" s="15"/>
      <c r="H27" s="15"/>
      <c r="I27" s="15"/>
      <c r="J27" s="15"/>
    </row>
    <row r="28" spans="1:10" x14ac:dyDescent="0.2">
      <c r="A28" s="10"/>
      <c r="B28" s="10"/>
      <c r="C28" s="20"/>
      <c r="D28" s="20"/>
      <c r="E28" s="20"/>
      <c r="F28" s="20"/>
      <c r="G28" s="15"/>
      <c r="H28" s="15"/>
      <c r="I28" s="15"/>
      <c r="J28" s="15"/>
    </row>
    <row r="29" spans="1:10" x14ac:dyDescent="0.2">
      <c r="A29" s="10"/>
      <c r="B29" s="10"/>
      <c r="C29" s="20"/>
      <c r="D29" s="20"/>
      <c r="E29" s="20"/>
      <c r="F29" s="20"/>
      <c r="G29" s="15"/>
      <c r="H29" s="15"/>
      <c r="I29" s="15"/>
      <c r="J29" s="15"/>
    </row>
    <row r="30" spans="1:10" x14ac:dyDescent="0.2">
      <c r="A30" s="10"/>
      <c r="B30" s="10"/>
      <c r="C30" s="20"/>
      <c r="D30" s="20"/>
      <c r="E30" s="20"/>
      <c r="F30" s="20"/>
      <c r="G30" s="15"/>
      <c r="H30" s="15"/>
      <c r="I30" s="15"/>
      <c r="J30" s="15"/>
    </row>
    <row r="31" spans="1:10" x14ac:dyDescent="0.2">
      <c r="A31" s="10"/>
      <c r="B31" s="10"/>
      <c r="C31" s="20"/>
      <c r="D31" s="20"/>
      <c r="E31" s="20"/>
      <c r="F31" s="20"/>
      <c r="G31" s="15"/>
      <c r="H31" s="15"/>
      <c r="I31" s="15"/>
      <c r="J31" s="15"/>
    </row>
    <row r="32" spans="1:10" x14ac:dyDescent="0.2">
      <c r="A32" s="10"/>
      <c r="B32" s="10"/>
      <c r="C32" s="20"/>
      <c r="D32" s="20"/>
      <c r="E32" s="20"/>
      <c r="F32" s="20"/>
      <c r="G32" s="15"/>
      <c r="H32" s="15"/>
      <c r="I32" s="15"/>
      <c r="J32" s="15"/>
    </row>
    <row r="35" spans="1:10" x14ac:dyDescent="0.2">
      <c r="A35" s="23" t="s">
        <v>92</v>
      </c>
      <c r="B35" s="23"/>
      <c r="C35" s="23"/>
      <c r="D35" s="23"/>
      <c r="E35" s="23"/>
      <c r="F35" s="23"/>
      <c r="G35" s="23"/>
      <c r="H35" s="23"/>
      <c r="I35" s="23"/>
      <c r="J35" s="23"/>
    </row>
  </sheetData>
  <sheetProtection selectLockedCells="1" selectUnlockedCells="1"/>
  <mergeCells count="2">
    <mergeCell ref="C2:F2"/>
    <mergeCell ref="G2:J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zoomScale="105" zoomScaleNormal="105" workbookViewId="0">
      <selection activeCell="C5" sqref="C5:E22"/>
    </sheetView>
  </sheetViews>
  <sheetFormatPr defaultColWidth="11.5703125" defaultRowHeight="12.75" x14ac:dyDescent="0.2"/>
  <cols>
    <col min="1" max="1" width="30" customWidth="1"/>
    <col min="2" max="2" width="14.42578125" customWidth="1"/>
    <col min="3" max="3" width="14.85546875" customWidth="1"/>
    <col min="4" max="4" width="15.140625" customWidth="1"/>
    <col min="5" max="5" width="14.5703125" customWidth="1"/>
    <col min="6" max="6" width="14.42578125" customWidth="1"/>
    <col min="7" max="7" width="14.85546875" customWidth="1"/>
    <col min="8" max="8" width="15.140625" customWidth="1"/>
    <col min="9" max="9" width="14.5703125" customWidth="1"/>
    <col min="10" max="10" width="14.42578125" customWidth="1"/>
    <col min="11" max="11" width="13.7109375" customWidth="1"/>
    <col min="12" max="12" width="13.5703125" customWidth="1"/>
    <col min="13" max="13" width="13.7109375" customWidth="1"/>
    <col min="14" max="14" width="12.42578125" customWidth="1"/>
    <col min="18" max="18" width="13.7109375" customWidth="1"/>
  </cols>
  <sheetData>
    <row r="1" spans="1:10" x14ac:dyDescent="0.2">
      <c r="A1" t="s">
        <v>93</v>
      </c>
    </row>
    <row r="2" spans="1:10" x14ac:dyDescent="0.2">
      <c r="A2" s="10"/>
      <c r="B2" s="10"/>
      <c r="C2" s="520" t="s">
        <v>67</v>
      </c>
      <c r="D2" s="520"/>
      <c r="E2" s="520"/>
      <c r="F2" s="520"/>
      <c r="G2" s="519" t="s">
        <v>68</v>
      </c>
      <c r="H2" s="519"/>
      <c r="I2" s="519"/>
      <c r="J2" s="519"/>
    </row>
    <row r="3" spans="1:10" x14ac:dyDescent="0.2">
      <c r="A3" s="12" t="s">
        <v>69</v>
      </c>
      <c r="B3" s="12" t="s">
        <v>16</v>
      </c>
      <c r="C3" s="11" t="s">
        <v>18</v>
      </c>
      <c r="D3" s="11" t="s">
        <v>19</v>
      </c>
      <c r="E3" s="11" t="s">
        <v>20</v>
      </c>
      <c r="F3" s="11" t="s">
        <v>51</v>
      </c>
      <c r="G3" s="13" t="s">
        <v>18</v>
      </c>
      <c r="H3" s="13" t="s">
        <v>19</v>
      </c>
      <c r="I3" s="13" t="s">
        <v>20</v>
      </c>
      <c r="J3" s="13" t="s">
        <v>51</v>
      </c>
    </row>
    <row r="4" spans="1:10" x14ac:dyDescent="0.2">
      <c r="A4" s="12"/>
      <c r="B4" s="12"/>
      <c r="C4" s="11"/>
      <c r="D4" s="11"/>
      <c r="E4" s="11"/>
      <c r="F4" s="11"/>
      <c r="G4" s="13"/>
      <c r="H4" s="13"/>
      <c r="I4" s="13"/>
      <c r="J4" s="13"/>
    </row>
    <row r="5" spans="1:10" x14ac:dyDescent="0.2">
      <c r="A5" s="10" t="s">
        <v>77</v>
      </c>
      <c r="B5" s="10" t="s">
        <v>78</v>
      </c>
      <c r="C5" s="343">
        <v>82.934799999999996</v>
      </c>
      <c r="D5" s="17">
        <v>0.23300000000000001</v>
      </c>
      <c r="E5" s="344">
        <v>3.0000000000000001E-3</v>
      </c>
      <c r="F5" s="20"/>
      <c r="G5" s="14">
        <v>82.934799999999996</v>
      </c>
      <c r="H5" s="14">
        <v>0.23300000000000001</v>
      </c>
      <c r="I5" s="14">
        <v>3.0000000000000001E-3</v>
      </c>
      <c r="J5" s="15"/>
    </row>
    <row r="6" spans="1:10" x14ac:dyDescent="0.2">
      <c r="A6" s="10" t="s">
        <v>79</v>
      </c>
      <c r="B6" s="10" t="s">
        <v>80</v>
      </c>
      <c r="C6" s="343">
        <v>46.467160171530423</v>
      </c>
      <c r="D6" s="17">
        <v>0.13054650544724999</v>
      </c>
      <c r="E6" s="344">
        <v>1.6808562933122318E-3</v>
      </c>
      <c r="F6" s="20"/>
      <c r="G6" s="14">
        <v>46.467160171530423</v>
      </c>
      <c r="H6" s="14">
        <v>0.13054650544724999</v>
      </c>
      <c r="I6" s="14">
        <v>1.6808562933122318E-3</v>
      </c>
      <c r="J6" s="15"/>
    </row>
    <row r="7" spans="1:10" x14ac:dyDescent="0.2">
      <c r="A7" s="10" t="s">
        <v>71</v>
      </c>
      <c r="B7" s="10" t="s">
        <v>72</v>
      </c>
      <c r="C7" s="343">
        <v>3680</v>
      </c>
      <c r="D7" s="17">
        <v>7.49</v>
      </c>
      <c r="E7" s="344">
        <v>2.351</v>
      </c>
      <c r="F7" s="20"/>
      <c r="G7" s="14">
        <v>3680</v>
      </c>
      <c r="H7" s="14">
        <v>7.49</v>
      </c>
      <c r="I7" s="14">
        <v>2.351</v>
      </c>
      <c r="J7" s="15"/>
    </row>
    <row r="8" spans="1:10" x14ac:dyDescent="0.2">
      <c r="A8" s="10" t="s">
        <v>81</v>
      </c>
      <c r="B8" s="10" t="s">
        <v>72</v>
      </c>
      <c r="C8" s="343">
        <v>2670.8656716417909</v>
      </c>
      <c r="D8" s="17">
        <v>6.937313432835821</v>
      </c>
      <c r="E8" s="344">
        <v>2.0951617750175293</v>
      </c>
      <c r="F8" s="20"/>
      <c r="G8" s="14">
        <v>2670.8656716417909</v>
      </c>
      <c r="H8" s="14">
        <v>6.937313432835821</v>
      </c>
      <c r="I8" s="14">
        <v>2.0951617750175293</v>
      </c>
      <c r="J8" s="15"/>
    </row>
    <row r="9" spans="1:10" x14ac:dyDescent="0.2">
      <c r="A9" s="10" t="s">
        <v>82</v>
      </c>
      <c r="B9" s="10" t="s">
        <v>72</v>
      </c>
      <c r="C9" s="343">
        <v>2560.3809523809523</v>
      </c>
      <c r="D9" s="17">
        <v>6.5371428571428556</v>
      </c>
      <c r="E9" s="344">
        <v>0</v>
      </c>
      <c r="F9" s="20"/>
      <c r="G9" s="19">
        <v>2560.3809523809523</v>
      </c>
      <c r="H9" s="19">
        <v>6.5371428571428556</v>
      </c>
      <c r="I9" s="19">
        <v>0</v>
      </c>
      <c r="J9" s="15"/>
    </row>
    <row r="10" spans="1:10" x14ac:dyDescent="0.2">
      <c r="A10" s="10" t="s">
        <v>83</v>
      </c>
      <c r="B10" s="10" t="s">
        <v>72</v>
      </c>
      <c r="C10" s="343">
        <v>2560.8461538461534</v>
      </c>
      <c r="D10" s="17">
        <v>8.85230769230769</v>
      </c>
      <c r="E10" s="344">
        <v>1.2731027361899843</v>
      </c>
      <c r="F10" s="20"/>
      <c r="G10" s="19">
        <v>2560.8461538461534</v>
      </c>
      <c r="H10" s="19">
        <v>8.85230769230769</v>
      </c>
      <c r="I10" s="19">
        <v>1.2731027361899843</v>
      </c>
      <c r="J10" s="15"/>
    </row>
    <row r="11" spans="1:10" x14ac:dyDescent="0.2">
      <c r="A11" s="10" t="s">
        <v>84</v>
      </c>
      <c r="B11" s="10" t="s">
        <v>72</v>
      </c>
      <c r="C11" s="343">
        <v>2661.8048780487807</v>
      </c>
      <c r="D11" s="17">
        <v>6.7960975609756105</v>
      </c>
      <c r="E11" s="344">
        <v>0</v>
      </c>
      <c r="F11" s="20"/>
      <c r="G11" s="19">
        <v>2661.8048780487807</v>
      </c>
      <c r="H11" s="19">
        <v>6.7960975609756105</v>
      </c>
      <c r="I11" s="19">
        <v>0</v>
      </c>
      <c r="J11" s="15"/>
    </row>
    <row r="12" spans="1:10" x14ac:dyDescent="0.2">
      <c r="A12" s="10" t="s">
        <v>26</v>
      </c>
      <c r="B12" s="10" t="s">
        <v>72</v>
      </c>
      <c r="C12" s="343">
        <v>2862.8888888888887</v>
      </c>
      <c r="D12" s="17">
        <v>7.340740740740741</v>
      </c>
      <c r="E12" s="344">
        <v>2.0938354461844395</v>
      </c>
      <c r="F12" s="20"/>
      <c r="G12" s="15">
        <v>2862.8888888888887</v>
      </c>
      <c r="H12" s="15">
        <v>7.340740740740741</v>
      </c>
      <c r="I12" s="15">
        <v>2.0938354461844395</v>
      </c>
      <c r="J12" s="15"/>
    </row>
    <row r="13" spans="1:10" x14ac:dyDescent="0.2">
      <c r="A13" s="10" t="s">
        <v>85</v>
      </c>
      <c r="B13" s="10" t="s">
        <v>72</v>
      </c>
      <c r="C13" s="343">
        <v>2652.5161290322585</v>
      </c>
      <c r="D13" s="17">
        <v>6.9574193548387093</v>
      </c>
      <c r="E13" s="344">
        <v>5.1071660532582808</v>
      </c>
      <c r="F13" s="20"/>
      <c r="G13" s="15">
        <v>2652.5161290322585</v>
      </c>
      <c r="H13" s="15">
        <v>6.9574193548387093</v>
      </c>
      <c r="I13" s="15">
        <v>5.1071660532582808</v>
      </c>
      <c r="J13" s="15"/>
    </row>
    <row r="14" spans="1:10" x14ac:dyDescent="0.2">
      <c r="A14" s="21" t="s">
        <v>86</v>
      </c>
      <c r="B14" s="21" t="s">
        <v>72</v>
      </c>
      <c r="C14" s="343">
        <v>1702.608695652174</v>
      </c>
      <c r="D14" s="17">
        <v>9.2869565217391301</v>
      </c>
      <c r="E14" s="344">
        <v>0</v>
      </c>
      <c r="F14" s="22"/>
      <c r="G14" s="15">
        <v>1702.608695652174</v>
      </c>
      <c r="H14" s="15">
        <v>9.2869565217391301</v>
      </c>
      <c r="I14" s="15">
        <v>0</v>
      </c>
      <c r="J14" s="15"/>
    </row>
    <row r="15" spans="1:10" x14ac:dyDescent="0.2">
      <c r="A15" s="21" t="s">
        <v>87</v>
      </c>
      <c r="B15" s="21" t="s">
        <v>72</v>
      </c>
      <c r="C15" s="343">
        <v>2181.6000000000004</v>
      </c>
      <c r="D15" s="17">
        <v>7.5413333333333341</v>
      </c>
      <c r="E15" s="344">
        <v>1.084563758389262</v>
      </c>
      <c r="F15" s="22"/>
      <c r="G15" s="15">
        <v>2181.6000000000004</v>
      </c>
      <c r="H15" s="15">
        <v>7.5413333333333341</v>
      </c>
      <c r="I15" s="15">
        <v>1.084563758389262</v>
      </c>
      <c r="J15" s="15"/>
    </row>
    <row r="16" spans="1:10" ht="15.75" x14ac:dyDescent="0.3">
      <c r="A16" s="10" t="s">
        <v>73</v>
      </c>
      <c r="B16" s="10" t="s">
        <v>74</v>
      </c>
      <c r="C16" s="343">
        <v>1112.1129000000001</v>
      </c>
      <c r="D16" s="17">
        <v>1.9198999999999999</v>
      </c>
      <c r="E16" s="344">
        <v>5.3600000000000002E-2</v>
      </c>
      <c r="F16" s="20"/>
      <c r="G16" s="14">
        <v>1112.1129000000001</v>
      </c>
      <c r="H16" s="14">
        <v>1.9198999999999999</v>
      </c>
      <c r="I16" s="14">
        <v>5.3600000000000002E-2</v>
      </c>
      <c r="J16" s="15"/>
    </row>
    <row r="17" spans="1:10" x14ac:dyDescent="0.2">
      <c r="A17" s="10" t="s">
        <v>28</v>
      </c>
      <c r="B17" s="10" t="s">
        <v>74</v>
      </c>
      <c r="C17" s="343">
        <v>516.5625</v>
      </c>
      <c r="D17" s="17">
        <v>0.87</v>
      </c>
      <c r="E17" s="344">
        <v>1.8246644295302015E-2</v>
      </c>
      <c r="F17" s="20"/>
      <c r="G17" s="15">
        <v>516.5625</v>
      </c>
      <c r="H17" s="15">
        <v>0.87</v>
      </c>
      <c r="I17" s="15">
        <v>1.8246644295302015E-2</v>
      </c>
      <c r="J17" s="15"/>
    </row>
    <row r="18" spans="1:10" ht="14.25" x14ac:dyDescent="0.3">
      <c r="A18" s="10" t="s">
        <v>88</v>
      </c>
      <c r="B18" s="10" t="s">
        <v>74</v>
      </c>
      <c r="C18" s="343">
        <v>95</v>
      </c>
      <c r="D18" s="17">
        <v>0</v>
      </c>
      <c r="E18" s="344">
        <v>0</v>
      </c>
      <c r="F18" s="20"/>
      <c r="G18" s="15">
        <v>95</v>
      </c>
      <c r="H18" s="15">
        <v>0</v>
      </c>
      <c r="I18" s="15">
        <v>0</v>
      </c>
      <c r="J18" s="15"/>
    </row>
    <row r="19" spans="1:10" ht="14.25" x14ac:dyDescent="0.3">
      <c r="A19" s="10" t="s">
        <v>89</v>
      </c>
      <c r="B19" s="10" t="s">
        <v>74</v>
      </c>
      <c r="C19" s="343">
        <v>967.11538461538464</v>
      </c>
      <c r="D19" s="17">
        <v>2.4692307692307689</v>
      </c>
      <c r="E19" s="344">
        <v>0</v>
      </c>
      <c r="F19" s="20"/>
      <c r="G19" s="15">
        <v>967.11538461538464</v>
      </c>
      <c r="H19" s="15">
        <v>2.4692307692307689</v>
      </c>
      <c r="I19" s="15">
        <v>0</v>
      </c>
      <c r="J19" s="15"/>
    </row>
    <row r="20" spans="1:10" x14ac:dyDescent="0.2">
      <c r="A20" s="10" t="s">
        <v>90</v>
      </c>
      <c r="B20" s="10" t="s">
        <v>74</v>
      </c>
      <c r="C20" s="343">
        <v>1459.0434782608695</v>
      </c>
      <c r="D20" s="17">
        <v>3.72521739130435</v>
      </c>
      <c r="E20" s="344">
        <v>0</v>
      </c>
      <c r="F20" s="20"/>
      <c r="G20" s="15">
        <v>1459.0434782608695</v>
      </c>
      <c r="H20" s="15">
        <v>3.72521739130435</v>
      </c>
      <c r="I20" s="15">
        <v>0</v>
      </c>
      <c r="J20" s="15"/>
    </row>
    <row r="21" spans="1:10" ht="15.75" x14ac:dyDescent="0.3">
      <c r="A21" s="10" t="s">
        <v>75</v>
      </c>
      <c r="B21" s="10" t="s">
        <v>76</v>
      </c>
      <c r="C21" s="343">
        <v>588.70870000000002</v>
      </c>
      <c r="D21" s="17">
        <v>1.7172000000000001</v>
      </c>
      <c r="E21" s="344">
        <v>1.35E-2</v>
      </c>
      <c r="F21" s="20"/>
      <c r="G21" s="14">
        <v>588.70870000000002</v>
      </c>
      <c r="H21" s="14">
        <v>1.7172000000000001</v>
      </c>
      <c r="I21" s="14">
        <v>1.35E-2</v>
      </c>
      <c r="J21" s="15"/>
    </row>
    <row r="22" spans="1:10" x14ac:dyDescent="0.2">
      <c r="A22" s="10" t="s">
        <v>91</v>
      </c>
      <c r="B22" s="10" t="s">
        <v>76</v>
      </c>
      <c r="C22" s="343">
        <v>409.2</v>
      </c>
      <c r="D22" s="17">
        <v>0.16533333333333333</v>
      </c>
      <c r="E22" s="344">
        <v>0</v>
      </c>
      <c r="F22" s="20"/>
      <c r="G22" s="15">
        <v>409.2</v>
      </c>
      <c r="H22" s="15">
        <v>0.16533333333333333</v>
      </c>
      <c r="I22" s="15">
        <v>0</v>
      </c>
      <c r="J22" s="15"/>
    </row>
    <row r="23" spans="1:10" x14ac:dyDescent="0.2">
      <c r="A23" s="10"/>
      <c r="B23" s="10"/>
      <c r="C23" s="20"/>
      <c r="D23" s="20"/>
      <c r="E23" s="20"/>
      <c r="F23" s="20"/>
      <c r="G23" s="15"/>
      <c r="H23" s="15"/>
      <c r="I23" s="15"/>
      <c r="J23" s="15"/>
    </row>
    <row r="24" spans="1:10" x14ac:dyDescent="0.2">
      <c r="A24" s="10"/>
      <c r="B24" s="10"/>
      <c r="C24" s="20"/>
      <c r="D24" s="20"/>
      <c r="E24" s="20"/>
      <c r="F24" s="20"/>
      <c r="G24" s="15"/>
      <c r="H24" s="15"/>
      <c r="I24" s="15"/>
      <c r="J24" s="15"/>
    </row>
    <row r="25" spans="1:10" x14ac:dyDescent="0.2">
      <c r="A25" s="10"/>
      <c r="B25" s="10"/>
      <c r="C25" s="20"/>
      <c r="D25" s="20"/>
      <c r="E25" s="20"/>
      <c r="F25" s="20"/>
      <c r="G25" s="15"/>
      <c r="H25" s="15"/>
      <c r="I25" s="15"/>
      <c r="J25" s="15"/>
    </row>
    <row r="26" spans="1:10" x14ac:dyDescent="0.2">
      <c r="A26" s="10"/>
      <c r="B26" s="10"/>
      <c r="C26" s="20"/>
      <c r="D26" s="20"/>
      <c r="E26" s="20"/>
      <c r="F26" s="20"/>
      <c r="G26" s="15"/>
      <c r="H26" s="15"/>
      <c r="I26" s="15"/>
      <c r="J26" s="15"/>
    </row>
    <row r="27" spans="1:10" x14ac:dyDescent="0.2">
      <c r="A27" s="10"/>
      <c r="B27" s="10"/>
      <c r="C27" s="20"/>
      <c r="D27" s="20"/>
      <c r="E27" s="20"/>
      <c r="F27" s="20"/>
      <c r="G27" s="15"/>
      <c r="H27" s="15"/>
      <c r="I27" s="15"/>
      <c r="J27" s="15"/>
    </row>
    <row r="28" spans="1:10" x14ac:dyDescent="0.2">
      <c r="A28" s="10"/>
      <c r="B28" s="10"/>
      <c r="C28" s="20"/>
      <c r="D28" s="20"/>
      <c r="E28" s="20"/>
      <c r="F28" s="20"/>
      <c r="G28" s="15"/>
      <c r="H28" s="15"/>
      <c r="I28" s="15"/>
      <c r="J28" s="15"/>
    </row>
    <row r="29" spans="1:10" x14ac:dyDescent="0.2">
      <c r="A29" s="10"/>
      <c r="B29" s="10"/>
      <c r="C29" s="20"/>
      <c r="D29" s="20"/>
      <c r="E29" s="20"/>
      <c r="F29" s="20"/>
      <c r="G29" s="15"/>
      <c r="H29" s="15"/>
      <c r="I29" s="15"/>
      <c r="J29" s="15"/>
    </row>
    <row r="30" spans="1:10" x14ac:dyDescent="0.2">
      <c r="A30" s="10"/>
      <c r="B30" s="10"/>
      <c r="C30" s="20"/>
      <c r="D30" s="20"/>
      <c r="E30" s="20"/>
      <c r="F30" s="20"/>
      <c r="G30" s="15"/>
      <c r="H30" s="15"/>
      <c r="I30" s="15"/>
      <c r="J30" s="15"/>
    </row>
    <row r="31" spans="1:10" x14ac:dyDescent="0.2">
      <c r="A31" s="10"/>
      <c r="B31" s="10"/>
      <c r="C31" s="20"/>
      <c r="D31" s="20"/>
      <c r="E31" s="20"/>
      <c r="F31" s="20"/>
      <c r="G31" s="15"/>
      <c r="H31" s="15"/>
      <c r="I31" s="15"/>
      <c r="J31" s="15"/>
    </row>
    <row r="32" spans="1:10" x14ac:dyDescent="0.2">
      <c r="A32" s="10"/>
      <c r="B32" s="10"/>
      <c r="C32" s="20"/>
      <c r="D32" s="20"/>
      <c r="E32" s="20"/>
      <c r="F32" s="20"/>
      <c r="G32" s="15"/>
      <c r="H32" s="15"/>
      <c r="I32" s="15"/>
      <c r="J32" s="15"/>
    </row>
    <row r="35" spans="1:10" x14ac:dyDescent="0.2">
      <c r="A35" s="23" t="s">
        <v>92</v>
      </c>
      <c r="B35" s="23"/>
      <c r="C35" s="23"/>
      <c r="D35" s="23"/>
      <c r="E35" s="23"/>
      <c r="F35" s="23"/>
      <c r="G35" s="23"/>
      <c r="H35" s="23"/>
      <c r="I35" s="23"/>
      <c r="J35" s="23"/>
    </row>
  </sheetData>
  <sheetProtection selectLockedCells="1" selectUnlockedCells="1"/>
  <mergeCells count="2">
    <mergeCell ref="C2:F2"/>
    <mergeCell ref="G2:J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zoomScale="95" zoomScaleNormal="95" workbookViewId="0">
      <selection activeCell="I3" sqref="I3"/>
    </sheetView>
  </sheetViews>
  <sheetFormatPr defaultColWidth="11.5703125" defaultRowHeight="12.75" x14ac:dyDescent="0.2"/>
  <cols>
    <col min="1" max="1" width="30" customWidth="1"/>
    <col min="2" max="2" width="14.42578125" customWidth="1"/>
    <col min="3" max="3" width="14.85546875" customWidth="1"/>
    <col min="4" max="4" width="15.140625" customWidth="1"/>
    <col min="5" max="5" width="14.5703125" customWidth="1"/>
    <col min="6" max="6" width="14.42578125" customWidth="1"/>
  </cols>
  <sheetData>
    <row r="1" spans="1:6" x14ac:dyDescent="0.2">
      <c r="A1" t="s">
        <v>94</v>
      </c>
    </row>
    <row r="2" spans="1:6" x14ac:dyDescent="0.2">
      <c r="A2" s="10"/>
      <c r="B2" s="10"/>
      <c r="C2" s="519" t="s">
        <v>68</v>
      </c>
      <c r="D2" s="519"/>
      <c r="E2" s="519"/>
      <c r="F2" s="519"/>
    </row>
    <row r="3" spans="1:6" x14ac:dyDescent="0.2">
      <c r="A3" s="12" t="s">
        <v>69</v>
      </c>
      <c r="B3" s="12" t="s">
        <v>16</v>
      </c>
      <c r="C3" s="13" t="s">
        <v>18</v>
      </c>
      <c r="D3" s="13" t="s">
        <v>19</v>
      </c>
      <c r="E3" s="13" t="s">
        <v>20</v>
      </c>
      <c r="F3" s="13" t="s">
        <v>51</v>
      </c>
    </row>
    <row r="4" spans="1:6" x14ac:dyDescent="0.2">
      <c r="A4" s="12"/>
      <c r="B4" s="12"/>
      <c r="C4" s="13"/>
      <c r="D4" s="13"/>
      <c r="E4" s="13"/>
      <c r="F4" s="13"/>
    </row>
    <row r="5" spans="1:6" x14ac:dyDescent="0.2">
      <c r="A5" s="10" t="s">
        <v>95</v>
      </c>
      <c r="B5" s="10" t="s">
        <v>96</v>
      </c>
      <c r="C5" s="341">
        <v>1570.2</v>
      </c>
      <c r="D5" s="342">
        <v>0</v>
      </c>
      <c r="E5" s="14">
        <v>0</v>
      </c>
      <c r="F5" s="15"/>
    </row>
    <row r="6" spans="1:6" x14ac:dyDescent="0.2">
      <c r="A6" s="10" t="s">
        <v>97</v>
      </c>
      <c r="B6" s="10" t="s">
        <v>96</v>
      </c>
      <c r="C6" s="341">
        <v>2366.5841999999998</v>
      </c>
      <c r="D6" s="342">
        <v>7.3475000000000001</v>
      </c>
      <c r="E6" s="14">
        <v>1.49E-2</v>
      </c>
      <c r="F6" s="15"/>
    </row>
    <row r="7" spans="1:6" x14ac:dyDescent="0.2">
      <c r="A7" s="10" t="s">
        <v>98</v>
      </c>
      <c r="B7" s="10" t="s">
        <v>96</v>
      </c>
      <c r="C7" s="341">
        <v>1000</v>
      </c>
      <c r="D7" s="342">
        <v>0</v>
      </c>
      <c r="E7" s="14">
        <v>0</v>
      </c>
      <c r="F7" s="15"/>
    </row>
    <row r="8" spans="1:6" x14ac:dyDescent="0.2">
      <c r="A8" s="10" t="s">
        <v>99</v>
      </c>
      <c r="B8" s="10" t="s">
        <v>96</v>
      </c>
      <c r="C8" s="341">
        <v>10000</v>
      </c>
      <c r="D8" s="342">
        <v>0</v>
      </c>
      <c r="E8" s="14">
        <v>0</v>
      </c>
      <c r="F8" s="15"/>
    </row>
    <row r="9" spans="1:6" x14ac:dyDescent="0.2">
      <c r="A9" s="10" t="s">
        <v>100</v>
      </c>
      <c r="B9" s="10" t="s">
        <v>96</v>
      </c>
      <c r="C9" s="341">
        <v>963.1</v>
      </c>
      <c r="D9" s="342">
        <v>0</v>
      </c>
      <c r="E9" s="14">
        <v>0</v>
      </c>
      <c r="F9" s="15"/>
    </row>
    <row r="10" spans="1:6" x14ac:dyDescent="0.2">
      <c r="A10" s="10" t="s">
        <v>101</v>
      </c>
      <c r="B10" s="10" t="s">
        <v>96</v>
      </c>
      <c r="C10" s="341">
        <v>7500</v>
      </c>
      <c r="D10" s="342">
        <v>0</v>
      </c>
      <c r="E10" s="14">
        <v>0</v>
      </c>
      <c r="F10" s="15"/>
    </row>
    <row r="11" spans="1:6" x14ac:dyDescent="0.2">
      <c r="A11" s="10" t="s">
        <v>102</v>
      </c>
      <c r="B11" s="10" t="s">
        <v>96</v>
      </c>
      <c r="C11" s="341">
        <v>723</v>
      </c>
      <c r="D11" s="342">
        <v>0</v>
      </c>
      <c r="E11" s="14">
        <v>0</v>
      </c>
      <c r="F11" s="15"/>
    </row>
    <row r="12" spans="1:6" x14ac:dyDescent="0.2">
      <c r="A12" s="10" t="s">
        <v>103</v>
      </c>
      <c r="B12" s="10" t="s">
        <v>96</v>
      </c>
      <c r="C12" s="341"/>
      <c r="D12" s="342"/>
      <c r="E12" s="14"/>
      <c r="F12" s="15"/>
    </row>
    <row r="13" spans="1:6" x14ac:dyDescent="0.2">
      <c r="A13" s="10" t="s">
        <v>104</v>
      </c>
      <c r="B13" s="10" t="s">
        <v>96</v>
      </c>
      <c r="C13" s="341">
        <v>197</v>
      </c>
      <c r="D13" s="342">
        <v>3.73E-2</v>
      </c>
      <c r="E13" s="14">
        <v>6.3E-3</v>
      </c>
      <c r="F13" s="15"/>
    </row>
    <row r="14" spans="1:6" x14ac:dyDescent="0.2">
      <c r="A14" s="10" t="s">
        <v>105</v>
      </c>
      <c r="B14" s="10" t="s">
        <v>96</v>
      </c>
      <c r="C14" s="341">
        <v>1252.9209000000001</v>
      </c>
      <c r="D14" s="342">
        <v>4.4340999999999999</v>
      </c>
      <c r="E14" s="14">
        <v>3.95E-2</v>
      </c>
      <c r="F14" s="15"/>
    </row>
    <row r="15" spans="1:6" x14ac:dyDescent="0.2">
      <c r="A15" s="10" t="s">
        <v>106</v>
      </c>
      <c r="B15" s="10" t="s">
        <v>96</v>
      </c>
      <c r="C15" s="341"/>
      <c r="D15" s="342"/>
      <c r="E15" s="14"/>
      <c r="F15" s="15"/>
    </row>
    <row r="16" spans="1:6" x14ac:dyDescent="0.2">
      <c r="A16" s="21" t="s">
        <v>107</v>
      </c>
      <c r="B16" s="10" t="s">
        <v>96</v>
      </c>
      <c r="C16" s="341">
        <v>1501</v>
      </c>
      <c r="D16" s="342">
        <v>0</v>
      </c>
      <c r="E16" s="14">
        <v>0</v>
      </c>
      <c r="F16" s="15"/>
    </row>
    <row r="17" spans="1:6" x14ac:dyDescent="0.2">
      <c r="A17" s="21" t="s">
        <v>108</v>
      </c>
      <c r="B17" s="10" t="s">
        <v>96</v>
      </c>
      <c r="C17" s="341">
        <v>12.4933</v>
      </c>
      <c r="D17" s="342">
        <v>8.8999999999999999E-3</v>
      </c>
      <c r="E17" s="14">
        <v>4.0000000000000002E-4</v>
      </c>
      <c r="F17" s="15"/>
    </row>
    <row r="18" spans="1:6" x14ac:dyDescent="0.2">
      <c r="A18" s="10" t="s">
        <v>109</v>
      </c>
      <c r="B18" s="10" t="s">
        <v>96</v>
      </c>
      <c r="C18" s="341">
        <v>947</v>
      </c>
      <c r="D18" s="342">
        <v>0</v>
      </c>
      <c r="E18" s="14">
        <v>0</v>
      </c>
      <c r="F18" s="15"/>
    </row>
    <row r="19" spans="1:6" x14ac:dyDescent="0.2">
      <c r="A19" s="10" t="s">
        <v>110</v>
      </c>
      <c r="B19" s="10" t="s">
        <v>96</v>
      </c>
      <c r="C19" s="341">
        <v>71.373000000000005</v>
      </c>
      <c r="D19" s="342">
        <v>0.25559999999999999</v>
      </c>
      <c r="E19" s="14">
        <v>2.5999999999999999E-3</v>
      </c>
      <c r="F19" s="15"/>
    </row>
    <row r="20" spans="1:6" ht="14.25" x14ac:dyDescent="0.3">
      <c r="A20" s="10" t="s">
        <v>111</v>
      </c>
      <c r="B20" s="10" t="s">
        <v>96</v>
      </c>
      <c r="C20" s="341">
        <v>2826.1563999999998</v>
      </c>
      <c r="D20" s="342">
        <v>11.467499999999999</v>
      </c>
      <c r="E20" s="14">
        <v>0.10680000000000001</v>
      </c>
      <c r="F20" s="15"/>
    </row>
    <row r="21" spans="1:6" x14ac:dyDescent="0.2">
      <c r="A21" s="10" t="s">
        <v>112</v>
      </c>
      <c r="B21" s="10" t="s">
        <v>96</v>
      </c>
      <c r="C21" s="341">
        <v>568.79560000000004</v>
      </c>
      <c r="D21" s="342">
        <v>2.0224000000000002</v>
      </c>
      <c r="E21" s="14">
        <v>2.3199999999999998E-2</v>
      </c>
      <c r="F21" s="15"/>
    </row>
    <row r="22" spans="1:6" x14ac:dyDescent="0.2">
      <c r="A22" s="10" t="s">
        <v>113</v>
      </c>
      <c r="B22" s="10" t="s">
        <v>96</v>
      </c>
      <c r="C22" s="341">
        <v>1073.7185999999999</v>
      </c>
      <c r="D22" s="342">
        <v>0.96389999999999998</v>
      </c>
      <c r="E22" s="14">
        <v>7.3000000000000001E-3</v>
      </c>
      <c r="F22" s="15"/>
    </row>
    <row r="23" spans="1:6" ht="14.25" x14ac:dyDescent="0.3">
      <c r="A23" s="10" t="s">
        <v>114</v>
      </c>
      <c r="B23" s="10" t="s">
        <v>96</v>
      </c>
      <c r="C23" s="341">
        <v>1148.9676999999999</v>
      </c>
      <c r="D23" s="342">
        <v>4.6679000000000004</v>
      </c>
      <c r="E23" s="14">
        <v>6.4000000000000003E-3</v>
      </c>
      <c r="F23" s="15"/>
    </row>
    <row r="24" spans="1:6" x14ac:dyDescent="0.2">
      <c r="A24" s="10" t="s">
        <v>115</v>
      </c>
      <c r="B24" s="10" t="s">
        <v>96</v>
      </c>
      <c r="C24" s="341">
        <v>692.96109999999999</v>
      </c>
      <c r="D24" s="342">
        <v>2.5242</v>
      </c>
      <c r="E24" s="14">
        <v>2.8400000000000002E-2</v>
      </c>
      <c r="F24" s="15"/>
    </row>
    <row r="25" spans="1:6" x14ac:dyDescent="0.2">
      <c r="A25" s="10" t="s">
        <v>116</v>
      </c>
      <c r="B25" s="10" t="s">
        <v>96</v>
      </c>
      <c r="C25" s="341">
        <v>2924.6116999999999</v>
      </c>
      <c r="D25" s="342">
        <v>12.8499</v>
      </c>
      <c r="E25" s="14">
        <v>0.1038</v>
      </c>
      <c r="F25" s="15"/>
    </row>
    <row r="26" spans="1:6" x14ac:dyDescent="0.2">
      <c r="A26" s="10" t="s">
        <v>117</v>
      </c>
      <c r="B26" s="10" t="s">
        <v>96</v>
      </c>
      <c r="C26" s="341">
        <v>1145</v>
      </c>
      <c r="D26" s="342">
        <v>0</v>
      </c>
      <c r="E26" s="14">
        <v>0</v>
      </c>
      <c r="F26" s="15"/>
    </row>
    <row r="27" spans="1:6" ht="14.25" x14ac:dyDescent="0.3">
      <c r="A27" s="10" t="s">
        <v>118</v>
      </c>
      <c r="B27" s="10" t="s">
        <v>96</v>
      </c>
      <c r="C27" s="341">
        <v>246.59010000000001</v>
      </c>
      <c r="D27" s="342">
        <v>0.82520000000000004</v>
      </c>
      <c r="E27" s="14">
        <v>5.4999999999999997E-3</v>
      </c>
      <c r="F27" s="15"/>
    </row>
    <row r="28" spans="1:6" x14ac:dyDescent="0.2">
      <c r="A28" s="10" t="s">
        <v>119</v>
      </c>
      <c r="B28" s="10" t="s">
        <v>96</v>
      </c>
      <c r="C28" s="341">
        <v>4000</v>
      </c>
      <c r="D28" s="342">
        <v>0</v>
      </c>
      <c r="E28" s="14">
        <v>0</v>
      </c>
      <c r="F28" s="15"/>
    </row>
    <row r="29" spans="1:6" x14ac:dyDescent="0.2">
      <c r="A29" s="10" t="s">
        <v>110</v>
      </c>
      <c r="B29" s="10" t="s">
        <v>96</v>
      </c>
      <c r="C29" s="341">
        <v>434</v>
      </c>
      <c r="D29" s="342">
        <v>0</v>
      </c>
      <c r="E29" s="14">
        <v>0</v>
      </c>
      <c r="F29" s="15"/>
    </row>
    <row r="30" spans="1:6" x14ac:dyDescent="0.2">
      <c r="A30" s="10" t="s">
        <v>112</v>
      </c>
      <c r="B30" s="10" t="s">
        <v>96</v>
      </c>
      <c r="C30" s="341">
        <v>1824</v>
      </c>
      <c r="D30" s="342">
        <v>3.76</v>
      </c>
      <c r="E30" s="14">
        <v>5.3400000000000003E-2</v>
      </c>
      <c r="F30" s="15"/>
    </row>
    <row r="31" spans="1:6" x14ac:dyDescent="0.2">
      <c r="A31" s="10" t="s">
        <v>120</v>
      </c>
      <c r="B31" s="10" t="s">
        <v>96</v>
      </c>
      <c r="C31" s="341">
        <v>4885.3999999999996</v>
      </c>
      <c r="D31" s="342">
        <v>0</v>
      </c>
      <c r="E31" s="14">
        <v>0</v>
      </c>
      <c r="F31" s="15"/>
    </row>
    <row r="32" spans="1:6" x14ac:dyDescent="0.2">
      <c r="A32" s="10" t="s">
        <v>30</v>
      </c>
      <c r="B32" s="10" t="s">
        <v>96</v>
      </c>
      <c r="C32" s="341">
        <v>12480.146500000001</v>
      </c>
      <c r="D32" s="342">
        <v>36.128700000000002</v>
      </c>
      <c r="E32" s="14">
        <v>1.7212000000000001</v>
      </c>
      <c r="F32" s="15"/>
    </row>
    <row r="33" spans="1:6" x14ac:dyDescent="0.2">
      <c r="A33" s="10" t="s">
        <v>31</v>
      </c>
      <c r="B33" s="10" t="s">
        <v>96</v>
      </c>
      <c r="C33" s="341">
        <v>163.3321</v>
      </c>
      <c r="D33" s="342">
        <v>0.28999999999999998</v>
      </c>
      <c r="E33" s="14">
        <v>0.40050000000000002</v>
      </c>
      <c r="F33" s="15"/>
    </row>
    <row r="34" spans="1:6" x14ac:dyDescent="0.2">
      <c r="A34" s="10" t="s">
        <v>121</v>
      </c>
      <c r="B34" s="10" t="s">
        <v>96</v>
      </c>
      <c r="C34" s="341">
        <v>2431.3310999999999</v>
      </c>
      <c r="D34" s="342">
        <v>5.3159999999999998</v>
      </c>
      <c r="E34" s="14">
        <v>4.2163000000000004</v>
      </c>
      <c r="F34" s="15"/>
    </row>
    <row r="35" spans="1:6" x14ac:dyDescent="0.2">
      <c r="A35" s="10"/>
      <c r="B35" s="10"/>
      <c r="C35" s="15"/>
      <c r="D35" s="15"/>
      <c r="E35" s="15"/>
      <c r="F35" s="15"/>
    </row>
    <row r="36" spans="1:6" x14ac:dyDescent="0.2">
      <c r="A36" s="10"/>
      <c r="B36" s="10"/>
      <c r="C36" s="15"/>
      <c r="D36" s="15"/>
      <c r="E36" s="15"/>
      <c r="F36" s="15"/>
    </row>
    <row r="37" spans="1:6" x14ac:dyDescent="0.2">
      <c r="A37" s="10"/>
      <c r="B37" s="10"/>
      <c r="C37" s="15"/>
      <c r="D37" s="15"/>
      <c r="E37" s="15"/>
      <c r="F37" s="15"/>
    </row>
    <row r="38" spans="1:6" x14ac:dyDescent="0.2">
      <c r="A38" s="10"/>
      <c r="B38" s="10"/>
      <c r="C38" s="15"/>
      <c r="D38" s="15"/>
      <c r="E38" s="15"/>
      <c r="F38" s="15"/>
    </row>
    <row r="39" spans="1:6" x14ac:dyDescent="0.2">
      <c r="A39" s="10"/>
      <c r="B39" s="10"/>
      <c r="C39" s="15"/>
      <c r="D39" s="15"/>
      <c r="E39" s="15"/>
      <c r="F39" s="15"/>
    </row>
    <row r="40" spans="1:6" x14ac:dyDescent="0.2">
      <c r="A40" s="10"/>
      <c r="B40" s="10"/>
      <c r="C40" s="15"/>
      <c r="D40" s="15"/>
      <c r="E40" s="15"/>
      <c r="F40" s="15"/>
    </row>
    <row r="41" spans="1:6" x14ac:dyDescent="0.2">
      <c r="A41" s="10"/>
      <c r="B41" s="10"/>
      <c r="C41" s="15"/>
      <c r="D41" s="15"/>
      <c r="E41" s="15"/>
      <c r="F41" s="15"/>
    </row>
    <row r="42" spans="1:6" x14ac:dyDescent="0.2">
      <c r="A42" s="10"/>
      <c r="B42" s="10"/>
      <c r="C42" s="15"/>
      <c r="D42" s="15"/>
      <c r="E42" s="15"/>
      <c r="F42" s="15"/>
    </row>
    <row r="43" spans="1:6" x14ac:dyDescent="0.2">
      <c r="A43" s="10"/>
      <c r="B43" s="10"/>
      <c r="C43" s="15"/>
      <c r="D43" s="15"/>
      <c r="E43" s="15"/>
      <c r="F43" s="15"/>
    </row>
    <row r="44" spans="1:6" x14ac:dyDescent="0.2">
      <c r="A44" s="10"/>
      <c r="B44" s="10"/>
      <c r="C44" s="15"/>
      <c r="D44" s="15"/>
      <c r="E44" s="15"/>
      <c r="F44" s="15"/>
    </row>
    <row r="45" spans="1:6" x14ac:dyDescent="0.2">
      <c r="A45" s="10"/>
      <c r="B45" s="10"/>
      <c r="C45" s="15"/>
      <c r="D45" s="15"/>
      <c r="E45" s="15"/>
      <c r="F45" s="15"/>
    </row>
    <row r="46" spans="1:6" x14ac:dyDescent="0.2">
      <c r="A46" s="10"/>
      <c r="B46" s="10"/>
      <c r="C46" s="15"/>
      <c r="D46" s="15"/>
      <c r="E46" s="15"/>
      <c r="F46" s="15"/>
    </row>
    <row r="47" spans="1:6" x14ac:dyDescent="0.2">
      <c r="A47" s="10"/>
      <c r="B47" s="10"/>
      <c r="C47" s="15"/>
      <c r="D47" s="15"/>
      <c r="E47" s="15"/>
      <c r="F47" s="15"/>
    </row>
    <row r="48" spans="1:6" x14ac:dyDescent="0.2">
      <c r="A48" s="10"/>
      <c r="B48" s="10"/>
      <c r="C48" s="15"/>
      <c r="D48" s="15"/>
      <c r="E48" s="15"/>
      <c r="F48" s="15"/>
    </row>
  </sheetData>
  <sheetProtection selectLockedCells="1" selectUnlockedCells="1"/>
  <mergeCells count="1">
    <mergeCell ref="C2:F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8"/>
  <sheetViews>
    <sheetView topLeftCell="A22" zoomScale="105" zoomScaleNormal="105" workbookViewId="0">
      <selection activeCell="H12" sqref="H12"/>
    </sheetView>
  </sheetViews>
  <sheetFormatPr defaultColWidth="11.5703125" defaultRowHeight="12.75" x14ac:dyDescent="0.2"/>
  <cols>
    <col min="1" max="1" width="48.7109375" customWidth="1"/>
    <col min="2" max="2" width="14.42578125" customWidth="1"/>
    <col min="3" max="3" width="14.85546875" customWidth="1"/>
    <col min="4" max="4" width="15.140625" customWidth="1"/>
    <col min="5" max="5" width="14.5703125" customWidth="1"/>
    <col min="6" max="6" width="14.42578125" customWidth="1"/>
    <col min="7" max="7" width="13.7109375" customWidth="1"/>
  </cols>
  <sheetData>
    <row r="1" spans="1:6" x14ac:dyDescent="0.2">
      <c r="A1" t="s">
        <v>122</v>
      </c>
    </row>
    <row r="2" spans="1:6" x14ac:dyDescent="0.2">
      <c r="A2" s="10"/>
      <c r="B2" s="10"/>
      <c r="C2" s="519" t="s">
        <v>123</v>
      </c>
      <c r="D2" s="519"/>
      <c r="E2" s="519"/>
      <c r="F2" s="519"/>
    </row>
    <row r="3" spans="1:6" x14ac:dyDescent="0.2">
      <c r="A3" s="12" t="s">
        <v>124</v>
      </c>
      <c r="B3" s="12" t="s">
        <v>16</v>
      </c>
      <c r="C3" s="13" t="s">
        <v>18</v>
      </c>
      <c r="D3" s="13" t="s">
        <v>19</v>
      </c>
      <c r="E3" s="13" t="s">
        <v>20</v>
      </c>
      <c r="F3" s="13" t="s">
        <v>51</v>
      </c>
    </row>
    <row r="4" spans="1:6" x14ac:dyDescent="0.2">
      <c r="A4" s="12"/>
      <c r="B4" s="12"/>
      <c r="C4" s="13"/>
      <c r="D4" s="13"/>
      <c r="E4" s="13"/>
      <c r="F4" s="13"/>
    </row>
    <row r="5" spans="1:6" x14ac:dyDescent="0.2">
      <c r="A5" s="10" t="s">
        <v>42</v>
      </c>
      <c r="B5" s="10" t="s">
        <v>125</v>
      </c>
      <c r="C5" s="341">
        <v>76.199138894074053</v>
      </c>
      <c r="D5" s="14">
        <v>3.382E-3</v>
      </c>
      <c r="E5" s="14">
        <v>1.5009999999999999E-3</v>
      </c>
      <c r="F5" s="15"/>
    </row>
    <row r="6" spans="1:6" x14ac:dyDescent="0.2">
      <c r="A6" s="10" t="s">
        <v>126</v>
      </c>
      <c r="B6" s="10" t="s">
        <v>125</v>
      </c>
      <c r="C6" s="341">
        <v>79.129875005384605</v>
      </c>
      <c r="D6" s="14">
        <v>3.5120769230769233E-3</v>
      </c>
      <c r="E6" s="14">
        <v>1.5587307692307693E-3</v>
      </c>
      <c r="F6" s="15"/>
    </row>
    <row r="7" spans="1:6" x14ac:dyDescent="0.2">
      <c r="A7" s="10" t="s">
        <v>127</v>
      </c>
      <c r="B7" s="10" t="s">
        <v>125</v>
      </c>
      <c r="C7" s="341">
        <v>82.295070005599996</v>
      </c>
      <c r="D7" s="14">
        <v>3.6525600000000004E-3</v>
      </c>
      <c r="E7" s="14">
        <v>1.62108E-3</v>
      </c>
      <c r="F7" s="15"/>
    </row>
    <row r="8" spans="1:6" x14ac:dyDescent="0.2">
      <c r="A8" s="10" t="s">
        <v>128</v>
      </c>
      <c r="B8" s="10" t="s">
        <v>125</v>
      </c>
      <c r="C8" s="341">
        <v>82.060611116695142</v>
      </c>
      <c r="D8" s="14">
        <v>3.6421538461538462E-3</v>
      </c>
      <c r="E8" s="14">
        <v>1.6164615384615384E-3</v>
      </c>
      <c r="F8" s="15"/>
    </row>
    <row r="9" spans="1:6" x14ac:dyDescent="0.2">
      <c r="A9" s="10" t="s">
        <v>129</v>
      </c>
      <c r="B9" s="10" t="s">
        <v>125</v>
      </c>
      <c r="C9" s="341">
        <v>82.295070005599996</v>
      </c>
      <c r="D9" s="14">
        <v>3.6525600000000004E-3</v>
      </c>
      <c r="E9" s="14">
        <v>1.62108E-3</v>
      </c>
      <c r="F9" s="15"/>
    </row>
    <row r="10" spans="1:6" x14ac:dyDescent="0.2">
      <c r="A10" s="10" t="s">
        <v>130</v>
      </c>
      <c r="B10" s="10" t="s">
        <v>125</v>
      </c>
      <c r="C10" s="341">
        <v>79.129875005384605</v>
      </c>
      <c r="D10" s="14">
        <v>3.5120769230769233E-3</v>
      </c>
      <c r="E10" s="14">
        <v>1.5587307692307693E-3</v>
      </c>
      <c r="F10" s="15"/>
    </row>
    <row r="11" spans="1:6" x14ac:dyDescent="0.2">
      <c r="A11" s="10" t="s">
        <v>131</v>
      </c>
      <c r="B11" s="10" t="s">
        <v>125</v>
      </c>
      <c r="C11" s="341">
        <v>129.08778625954199</v>
      </c>
      <c r="D11" s="14">
        <v>6.0187903699354076E-4</v>
      </c>
      <c r="E11" s="14">
        <v>3.9195537287140337E-3</v>
      </c>
      <c r="F11" s="15"/>
    </row>
    <row r="12" spans="1:6" x14ac:dyDescent="0.2">
      <c r="A12" s="10" t="s">
        <v>132</v>
      </c>
      <c r="B12" s="10" t="s">
        <v>125</v>
      </c>
      <c r="C12" s="341">
        <v>169.10499999999999</v>
      </c>
      <c r="D12" s="14">
        <v>1.6000000000000001E-3</v>
      </c>
      <c r="E12" s="14">
        <v>1.1999999999999999E-3</v>
      </c>
      <c r="F12" s="15"/>
    </row>
    <row r="13" spans="1:6" x14ac:dyDescent="0.2">
      <c r="A13" s="10" t="s">
        <v>133</v>
      </c>
      <c r="B13" s="10" t="s">
        <v>125</v>
      </c>
      <c r="C13" s="341">
        <v>210.2365343143307</v>
      </c>
      <c r="D13" s="14">
        <v>1.99E-3</v>
      </c>
      <c r="E13" s="14">
        <v>1.5E-3</v>
      </c>
      <c r="F13" s="15"/>
    </row>
    <row r="14" spans="1:6" x14ac:dyDescent="0.2">
      <c r="A14" s="10" t="s">
        <v>134</v>
      </c>
      <c r="B14" s="10" t="s">
        <v>125</v>
      </c>
      <c r="C14" s="341">
        <v>338.21</v>
      </c>
      <c r="D14" s="14">
        <v>0</v>
      </c>
      <c r="E14" s="14">
        <v>0</v>
      </c>
      <c r="F14" s="15"/>
    </row>
    <row r="15" spans="1:6" x14ac:dyDescent="0.2">
      <c r="A15" s="10" t="s">
        <v>135</v>
      </c>
      <c r="B15" s="10" t="s">
        <v>125</v>
      </c>
      <c r="C15" s="341">
        <v>202.92599999999999</v>
      </c>
      <c r="D15" s="14">
        <v>0</v>
      </c>
      <c r="E15" s="14">
        <v>0</v>
      </c>
      <c r="F15" s="15"/>
    </row>
    <row r="16" spans="1:6" x14ac:dyDescent="0.2">
      <c r="A16" s="10" t="s">
        <v>136</v>
      </c>
      <c r="B16" s="10" t="s">
        <v>125</v>
      </c>
      <c r="C16" s="341">
        <v>245.06696599999998</v>
      </c>
      <c r="D16" s="14">
        <v>0</v>
      </c>
      <c r="E16" s="14">
        <v>0</v>
      </c>
      <c r="F16" s="15"/>
    </row>
    <row r="17" spans="1:6" x14ac:dyDescent="0.2">
      <c r="A17" s="10" t="s">
        <v>137</v>
      </c>
      <c r="B17" s="10" t="s">
        <v>125</v>
      </c>
      <c r="C17" s="341">
        <v>87.934599999999989</v>
      </c>
      <c r="D17" s="14">
        <v>0</v>
      </c>
      <c r="E17" s="14">
        <v>0</v>
      </c>
      <c r="F17" s="15"/>
    </row>
    <row r="18" spans="1:6" x14ac:dyDescent="0.2">
      <c r="A18" s="10"/>
      <c r="B18" s="10"/>
      <c r="C18" s="341"/>
      <c r="D18" s="14"/>
      <c r="E18" s="14"/>
      <c r="F18" s="15"/>
    </row>
    <row r="19" spans="1:6" x14ac:dyDescent="0.2">
      <c r="A19" s="10" t="s">
        <v>138</v>
      </c>
      <c r="B19" s="10" t="s">
        <v>125</v>
      </c>
      <c r="C19" s="341">
        <v>9.4163958000000001</v>
      </c>
      <c r="D19" s="14">
        <v>0</v>
      </c>
      <c r="E19" s="14">
        <v>0</v>
      </c>
      <c r="F19" s="15"/>
    </row>
    <row r="20" spans="1:6" x14ac:dyDescent="0.2">
      <c r="A20" s="10" t="s">
        <v>43</v>
      </c>
      <c r="B20" s="10" t="s">
        <v>125</v>
      </c>
      <c r="C20" s="341">
        <v>30.438899999999997</v>
      </c>
      <c r="D20" s="14">
        <v>9.2999999999999999E-2</v>
      </c>
      <c r="E20" s="14">
        <v>4.0000000000000002E-4</v>
      </c>
      <c r="F20" s="15"/>
    </row>
    <row r="21" spans="1:6" x14ac:dyDescent="0.2">
      <c r="A21" s="10" t="s">
        <v>139</v>
      </c>
      <c r="B21" s="10" t="s">
        <v>125</v>
      </c>
      <c r="C21" s="341">
        <v>47.349400000000003</v>
      </c>
      <c r="D21" s="14">
        <v>0.03</v>
      </c>
      <c r="E21" s="14">
        <v>0</v>
      </c>
      <c r="F21" s="15"/>
    </row>
    <row r="22" spans="1:6" x14ac:dyDescent="0.2">
      <c r="A22" s="10" t="s">
        <v>140</v>
      </c>
      <c r="B22" s="10" t="s">
        <v>125</v>
      </c>
      <c r="C22" s="341">
        <v>8.9692023712499971</v>
      </c>
      <c r="D22" s="14">
        <v>0</v>
      </c>
      <c r="E22" s="14">
        <v>0</v>
      </c>
      <c r="F22" s="15"/>
    </row>
    <row r="23" spans="1:6" x14ac:dyDescent="0.2">
      <c r="A23" s="10" t="s">
        <v>141</v>
      </c>
      <c r="B23" s="10" t="s">
        <v>125</v>
      </c>
      <c r="C23" s="341">
        <v>8.907411644999998</v>
      </c>
      <c r="D23" s="14">
        <v>0</v>
      </c>
      <c r="E23" s="14">
        <v>0</v>
      </c>
      <c r="F23" s="15"/>
    </row>
    <row r="24" spans="1:6" x14ac:dyDescent="0.2">
      <c r="A24" s="10" t="s">
        <v>142</v>
      </c>
      <c r="B24" s="10" t="s">
        <v>125</v>
      </c>
      <c r="C24" s="341">
        <v>15.975376469999999</v>
      </c>
      <c r="D24" s="14">
        <v>0</v>
      </c>
      <c r="E24" s="14">
        <v>0</v>
      </c>
      <c r="F24" s="15"/>
    </row>
    <row r="25" spans="1:6" x14ac:dyDescent="0.2">
      <c r="A25" s="10" t="s">
        <v>143</v>
      </c>
      <c r="B25" s="10" t="s">
        <v>125</v>
      </c>
      <c r="C25" s="341">
        <v>10.743457679999999</v>
      </c>
      <c r="D25" s="14">
        <v>0</v>
      </c>
      <c r="E25" s="14">
        <v>0</v>
      </c>
      <c r="F25" s="15"/>
    </row>
    <row r="26" spans="1:6" ht="14.25" x14ac:dyDescent="0.3">
      <c r="A26" s="10" t="s">
        <v>144</v>
      </c>
      <c r="B26" s="10" t="s">
        <v>125</v>
      </c>
      <c r="C26" s="341">
        <v>22.471025056477774</v>
      </c>
      <c r="D26" s="14">
        <v>0</v>
      </c>
      <c r="E26" s="14">
        <v>0</v>
      </c>
      <c r="F26" s="15"/>
    </row>
    <row r="27" spans="1:6" ht="14.25" x14ac:dyDescent="0.3">
      <c r="A27" s="10" t="s">
        <v>145</v>
      </c>
      <c r="B27" s="10" t="s">
        <v>125</v>
      </c>
      <c r="C27" s="341">
        <v>14.210890459551477</v>
      </c>
      <c r="D27" s="14">
        <v>0</v>
      </c>
      <c r="E27" s="14">
        <v>0</v>
      </c>
      <c r="F27" s="15"/>
    </row>
    <row r="28" spans="1:6" ht="14.25" x14ac:dyDescent="0.3">
      <c r="A28" s="10" t="s">
        <v>146</v>
      </c>
      <c r="B28" s="10" t="s">
        <v>125</v>
      </c>
      <c r="C28" s="341">
        <v>9.4617395999999996</v>
      </c>
      <c r="D28" s="14">
        <v>0</v>
      </c>
      <c r="E28" s="14">
        <v>0</v>
      </c>
      <c r="F28" s="15"/>
    </row>
    <row r="29" spans="1:6" ht="14.25" x14ac:dyDescent="0.3">
      <c r="A29" s="10" t="s">
        <v>147</v>
      </c>
      <c r="B29" s="10" t="s">
        <v>125</v>
      </c>
      <c r="C29" s="341">
        <v>6.1190415185637077</v>
      </c>
      <c r="D29" s="14">
        <v>0</v>
      </c>
      <c r="E29" s="14">
        <v>0</v>
      </c>
      <c r="F29" s="15"/>
    </row>
    <row r="30" spans="1:6" ht="14.25" x14ac:dyDescent="0.3">
      <c r="A30" s="10" t="s">
        <v>148</v>
      </c>
      <c r="B30" s="10" t="s">
        <v>125</v>
      </c>
      <c r="C30" s="341">
        <v>37.119265340466754</v>
      </c>
      <c r="D30" s="14">
        <v>0</v>
      </c>
      <c r="E30" s="14">
        <v>0</v>
      </c>
      <c r="F30" s="15"/>
    </row>
    <row r="31" spans="1:6" ht="14.25" x14ac:dyDescent="0.3">
      <c r="A31" s="10" t="s">
        <v>149</v>
      </c>
      <c r="B31" s="10" t="s">
        <v>125</v>
      </c>
      <c r="C31" s="341">
        <v>23.198880109272597</v>
      </c>
      <c r="D31" s="14">
        <v>0</v>
      </c>
      <c r="E31" s="14">
        <v>0</v>
      </c>
      <c r="F31" s="15"/>
    </row>
    <row r="32" spans="1:6" ht="14.25" x14ac:dyDescent="0.3">
      <c r="A32" s="10" t="s">
        <v>150</v>
      </c>
      <c r="B32" s="10" t="s">
        <v>125</v>
      </c>
      <c r="C32" s="341">
        <v>17.3973240180208</v>
      </c>
      <c r="D32" s="14">
        <v>0</v>
      </c>
      <c r="E32" s="14">
        <v>0</v>
      </c>
      <c r="F32" s="15"/>
    </row>
    <row r="33" spans="1:6" ht="14.25" x14ac:dyDescent="0.3">
      <c r="A33" s="10" t="s">
        <v>151</v>
      </c>
      <c r="B33" s="10" t="s">
        <v>125</v>
      </c>
      <c r="C33" s="341">
        <v>11.074863706928747</v>
      </c>
      <c r="D33" s="14">
        <v>0</v>
      </c>
      <c r="E33" s="14">
        <v>0</v>
      </c>
      <c r="F33" s="15"/>
    </row>
    <row r="34" spans="1:6" x14ac:dyDescent="0.2">
      <c r="A34" s="21" t="s">
        <v>152</v>
      </c>
      <c r="B34" s="10" t="s">
        <v>125</v>
      </c>
      <c r="C34" s="341">
        <v>11.713814999999999</v>
      </c>
      <c r="D34" s="14">
        <v>0</v>
      </c>
      <c r="E34" s="14">
        <v>0</v>
      </c>
      <c r="F34" s="15"/>
    </row>
    <row r="35" spans="1:6" x14ac:dyDescent="0.2">
      <c r="A35" s="21" t="s">
        <v>153</v>
      </c>
      <c r="B35" s="10" t="s">
        <v>125</v>
      </c>
      <c r="C35" s="341">
        <v>6.6907295999999992</v>
      </c>
      <c r="D35" s="14">
        <v>0</v>
      </c>
      <c r="E35" s="14">
        <v>0</v>
      </c>
      <c r="F35" s="15"/>
    </row>
    <row r="36" spans="1:6" x14ac:dyDescent="0.2">
      <c r="A36" s="21" t="s">
        <v>154</v>
      </c>
      <c r="B36" s="10" t="s">
        <v>125</v>
      </c>
      <c r="C36" s="341"/>
      <c r="D36" s="14"/>
      <c r="E36" s="14"/>
      <c r="F36" s="15"/>
    </row>
    <row r="37" spans="1:6" x14ac:dyDescent="0.2">
      <c r="A37" s="21" t="s">
        <v>155</v>
      </c>
      <c r="B37" s="10" t="s">
        <v>125</v>
      </c>
      <c r="C37" s="341">
        <v>23.486805555555552</v>
      </c>
      <c r="D37" s="14">
        <v>5.0000000000000001E-3</v>
      </c>
      <c r="E37" s="14">
        <v>1E-3</v>
      </c>
      <c r="F37" s="15"/>
    </row>
    <row r="38" spans="1:6" x14ac:dyDescent="0.2">
      <c r="A38" s="21" t="s">
        <v>156</v>
      </c>
      <c r="B38" s="10" t="s">
        <v>125</v>
      </c>
      <c r="C38" s="341"/>
      <c r="D38" s="15"/>
      <c r="E38" s="15"/>
      <c r="F38" s="15"/>
    </row>
  </sheetData>
  <sheetProtection selectLockedCells="1" selectUnlockedCells="1"/>
  <mergeCells count="1">
    <mergeCell ref="C2:F2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zoomScale="105" zoomScaleNormal="105" workbookViewId="0"/>
  </sheetViews>
  <sheetFormatPr defaultColWidth="11.5703125" defaultRowHeight="12.75" x14ac:dyDescent="0.2"/>
  <cols>
    <col min="1" max="1" width="21.5703125" style="24" customWidth="1"/>
    <col min="2" max="3" width="21" customWidth="1"/>
  </cols>
  <sheetData>
    <row r="1" spans="1:2" x14ac:dyDescent="0.2">
      <c r="B1" t="s">
        <v>157</v>
      </c>
    </row>
    <row r="2" spans="1:2" x14ac:dyDescent="0.2">
      <c r="A2" s="24" t="s">
        <v>158</v>
      </c>
      <c r="B2" t="s">
        <v>159</v>
      </c>
    </row>
    <row r="4" spans="1:2" x14ac:dyDescent="0.2">
      <c r="A4" s="24" t="s">
        <v>160</v>
      </c>
      <c r="B4">
        <f>B9</f>
        <v>1</v>
      </c>
    </row>
    <row r="5" spans="1:2" x14ac:dyDescent="0.2">
      <c r="A5" s="24" t="s">
        <v>161</v>
      </c>
      <c r="B5">
        <v>0</v>
      </c>
    </row>
    <row r="6" spans="1:2" x14ac:dyDescent="0.2">
      <c r="A6" s="24" t="s">
        <v>17</v>
      </c>
      <c r="B6">
        <f>B9</f>
        <v>1</v>
      </c>
    </row>
    <row r="7" spans="1:2" x14ac:dyDescent="0.2">
      <c r="A7" s="24" t="s">
        <v>162</v>
      </c>
      <c r="B7">
        <f>B10</f>
        <v>28</v>
      </c>
    </row>
    <row r="8" spans="1:2" x14ac:dyDescent="0.2">
      <c r="A8" s="24" t="s">
        <v>163</v>
      </c>
      <c r="B8" s="9">
        <f>B10-2.75</f>
        <v>25.25</v>
      </c>
    </row>
    <row r="9" spans="1:2" x14ac:dyDescent="0.2">
      <c r="A9" s="24" t="s">
        <v>18</v>
      </c>
      <c r="B9" s="9">
        <f>B15</f>
        <v>1</v>
      </c>
    </row>
    <row r="10" spans="1:2" x14ac:dyDescent="0.2">
      <c r="A10" s="24" t="s">
        <v>19</v>
      </c>
      <c r="B10" s="9">
        <v>28</v>
      </c>
    </row>
    <row r="11" spans="1:2" x14ac:dyDescent="0.2">
      <c r="A11" s="24" t="s">
        <v>20</v>
      </c>
      <c r="B11" s="9">
        <f>B23</f>
        <v>298</v>
      </c>
    </row>
    <row r="12" spans="1:2" x14ac:dyDescent="0.2">
      <c r="A12" s="24" t="s">
        <v>164</v>
      </c>
      <c r="B12" s="9">
        <f>B10-2.75</f>
        <v>25.25</v>
      </c>
    </row>
    <row r="13" spans="1:2" x14ac:dyDescent="0.2">
      <c r="A13" s="24" t="s">
        <v>165</v>
      </c>
      <c r="B13" s="9">
        <f>B10</f>
        <v>28</v>
      </c>
    </row>
    <row r="14" spans="1:2" x14ac:dyDescent="0.2">
      <c r="A14" s="24" t="s">
        <v>166</v>
      </c>
      <c r="B14">
        <v>146</v>
      </c>
    </row>
    <row r="15" spans="1:2" x14ac:dyDescent="0.2">
      <c r="A15" s="24" t="s">
        <v>167</v>
      </c>
      <c r="B15">
        <v>1</v>
      </c>
    </row>
    <row r="16" spans="1:2" x14ac:dyDescent="0.2">
      <c r="A16" s="24" t="s">
        <v>168</v>
      </c>
      <c r="B16">
        <v>4750</v>
      </c>
    </row>
    <row r="17" spans="1:2" x14ac:dyDescent="0.2">
      <c r="A17" s="24" t="s">
        <v>169</v>
      </c>
      <c r="B17">
        <v>6130</v>
      </c>
    </row>
    <row r="18" spans="1:2" x14ac:dyDescent="0.2">
      <c r="A18" s="24" t="s">
        <v>170</v>
      </c>
      <c r="B18">
        <v>10000</v>
      </c>
    </row>
    <row r="19" spans="1:2" x14ac:dyDescent="0.2">
      <c r="A19" s="24" t="s">
        <v>171</v>
      </c>
      <c r="B19">
        <v>7370</v>
      </c>
    </row>
    <row r="20" spans="1:2" x14ac:dyDescent="0.2">
      <c r="A20" s="24" t="s">
        <v>172</v>
      </c>
      <c r="B20">
        <v>10900</v>
      </c>
    </row>
    <row r="21" spans="1:2" x14ac:dyDescent="0.2">
      <c r="A21" s="24" t="s">
        <v>173</v>
      </c>
      <c r="B21">
        <v>14400</v>
      </c>
    </row>
    <row r="22" spans="1:2" x14ac:dyDescent="0.2">
      <c r="A22" s="24" t="s">
        <v>174</v>
      </c>
      <c r="B22">
        <v>8.6999999999999993</v>
      </c>
    </row>
    <row r="23" spans="1:2" x14ac:dyDescent="0.2">
      <c r="A23" s="24" t="s">
        <v>175</v>
      </c>
      <c r="B23">
        <v>298</v>
      </c>
    </row>
    <row r="24" spans="1:2" x14ac:dyDescent="0.2">
      <c r="A24" s="24" t="s">
        <v>176</v>
      </c>
      <c r="B24">
        <v>1890</v>
      </c>
    </row>
    <row r="25" spans="1:2" x14ac:dyDescent="0.2">
      <c r="A25" s="24" t="s">
        <v>177</v>
      </c>
      <c r="B25">
        <v>7140</v>
      </c>
    </row>
    <row r="26" spans="1:2" x14ac:dyDescent="0.2">
      <c r="A26" s="24" t="s">
        <v>178</v>
      </c>
      <c r="B26">
        <v>1640</v>
      </c>
    </row>
    <row r="27" spans="1:2" x14ac:dyDescent="0.2">
      <c r="A27" s="24" t="s">
        <v>179</v>
      </c>
      <c r="B27">
        <v>77</v>
      </c>
    </row>
    <row r="28" spans="1:2" x14ac:dyDescent="0.2">
      <c r="A28" s="24" t="s">
        <v>180</v>
      </c>
      <c r="B28">
        <v>609</v>
      </c>
    </row>
    <row r="29" spans="1:2" x14ac:dyDescent="0.2">
      <c r="A29" s="24" t="s">
        <v>181</v>
      </c>
      <c r="B29">
        <v>725</v>
      </c>
    </row>
    <row r="30" spans="1:2" x14ac:dyDescent="0.2">
      <c r="A30" s="24" t="s">
        <v>182</v>
      </c>
      <c r="B30">
        <v>2310</v>
      </c>
    </row>
    <row r="31" spans="1:2" x14ac:dyDescent="0.2">
      <c r="A31" s="24" t="s">
        <v>183</v>
      </c>
      <c r="B31">
        <v>1810</v>
      </c>
    </row>
    <row r="32" spans="1:2" x14ac:dyDescent="0.2">
      <c r="A32" s="24" t="s">
        <v>184</v>
      </c>
      <c r="B32">
        <v>122</v>
      </c>
    </row>
    <row r="33" spans="1:2" x14ac:dyDescent="0.2">
      <c r="A33" s="24" t="s">
        <v>185</v>
      </c>
      <c r="B33">
        <v>595</v>
      </c>
    </row>
    <row r="34" spans="1:2" x14ac:dyDescent="0.2">
      <c r="A34" s="24" t="s">
        <v>186</v>
      </c>
      <c r="B34">
        <v>3500</v>
      </c>
    </row>
    <row r="35" spans="1:2" x14ac:dyDescent="0.2">
      <c r="A35" s="24" t="s">
        <v>187</v>
      </c>
      <c r="B35">
        <v>1430</v>
      </c>
    </row>
    <row r="36" spans="1:2" x14ac:dyDescent="0.2">
      <c r="A36" s="24" t="s">
        <v>188</v>
      </c>
      <c r="B36">
        <v>4470</v>
      </c>
    </row>
    <row r="37" spans="1:2" x14ac:dyDescent="0.2">
      <c r="A37" s="24" t="s">
        <v>189</v>
      </c>
      <c r="B37">
        <v>124</v>
      </c>
    </row>
    <row r="38" spans="1:2" x14ac:dyDescent="0.2">
      <c r="A38" s="24" t="s">
        <v>190</v>
      </c>
      <c r="B38">
        <v>3220</v>
      </c>
    </row>
    <row r="39" spans="1:2" x14ac:dyDescent="0.2">
      <c r="A39" s="24" t="s">
        <v>191</v>
      </c>
      <c r="B39">
        <v>14800</v>
      </c>
    </row>
    <row r="40" spans="1:2" x14ac:dyDescent="0.2">
      <c r="A40" s="24" t="s">
        <v>192</v>
      </c>
      <c r="B40">
        <v>9810</v>
      </c>
    </row>
    <row r="41" spans="1:2" x14ac:dyDescent="0.2">
      <c r="A41" s="24" t="s">
        <v>193</v>
      </c>
      <c r="B41">
        <v>675</v>
      </c>
    </row>
    <row r="42" spans="1:2" x14ac:dyDescent="0.2">
      <c r="A42" s="24" t="s">
        <v>194</v>
      </c>
      <c r="B42">
        <v>1640</v>
      </c>
    </row>
    <row r="43" spans="1:2" x14ac:dyDescent="0.2">
      <c r="A43" s="24" t="s">
        <v>60</v>
      </c>
      <c r="B43">
        <v>25</v>
      </c>
    </row>
    <row r="44" spans="1:2" x14ac:dyDescent="0.2">
      <c r="A44" s="24" t="s">
        <v>195</v>
      </c>
      <c r="B44">
        <v>13</v>
      </c>
    </row>
    <row r="45" spans="1:2" x14ac:dyDescent="0.2">
      <c r="A45" s="24" t="s">
        <v>196</v>
      </c>
      <c r="B45">
        <v>5</v>
      </c>
    </row>
    <row r="46" spans="1:2" x14ac:dyDescent="0.2">
      <c r="A46" s="24" t="s">
        <v>197</v>
      </c>
      <c r="B46">
        <v>8860</v>
      </c>
    </row>
    <row r="47" spans="1:2" x14ac:dyDescent="0.2">
      <c r="A47" s="24" t="s">
        <v>198</v>
      </c>
      <c r="B47">
        <v>10300</v>
      </c>
    </row>
    <row r="48" spans="1:2" x14ac:dyDescent="0.2">
      <c r="A48" s="24" t="s">
        <v>199</v>
      </c>
      <c r="B48">
        <v>12200</v>
      </c>
    </row>
    <row r="49" spans="1:2" x14ac:dyDescent="0.2">
      <c r="A49" s="24" t="s">
        <v>200</v>
      </c>
      <c r="B49">
        <v>9300</v>
      </c>
    </row>
    <row r="50" spans="1:2" x14ac:dyDescent="0.2">
      <c r="A50" s="24" t="s">
        <v>201</v>
      </c>
      <c r="B50">
        <v>7390</v>
      </c>
    </row>
    <row r="51" spans="1:2" x14ac:dyDescent="0.2">
      <c r="A51" s="24" t="s">
        <v>202</v>
      </c>
      <c r="B51">
        <v>8830</v>
      </c>
    </row>
    <row r="52" spans="1:2" x14ac:dyDescent="0.2">
      <c r="A52" s="24" t="s">
        <v>203</v>
      </c>
      <c r="B52">
        <v>22800</v>
      </c>
    </row>
    <row r="53" spans="1:2" x14ac:dyDescent="0.2">
      <c r="A53" s="24" t="s">
        <v>204</v>
      </c>
      <c r="B53">
        <v>1400</v>
      </c>
    </row>
  </sheetData>
  <sheetProtection selectLockedCells="1" selectUnlockedCells="1"/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44"/>
  </sheetPr>
  <dimension ref="A1:AD59"/>
  <sheetViews>
    <sheetView topLeftCell="A19" zoomScale="90" zoomScaleNormal="90" workbookViewId="0">
      <selection activeCell="P41" sqref="P41"/>
    </sheetView>
  </sheetViews>
  <sheetFormatPr defaultColWidth="11.5703125" defaultRowHeight="15" x14ac:dyDescent="0.3"/>
  <cols>
    <col min="1" max="1" width="7" style="328" customWidth="1"/>
    <col min="2" max="2" width="16.28515625" style="328" bestFit="1" customWidth="1"/>
    <col min="3" max="3" width="7" style="328" customWidth="1"/>
    <col min="4" max="4" width="11" style="328" bestFit="1" customWidth="1"/>
    <col min="5" max="14" width="7" style="328" customWidth="1"/>
    <col min="15" max="15" width="1.7109375" style="328" customWidth="1"/>
    <col min="16" max="16" width="12.140625" style="328" bestFit="1" customWidth="1"/>
    <col min="17" max="17" width="3.7109375" style="328" customWidth="1"/>
    <col min="18" max="18" width="10.7109375" style="328" customWidth="1"/>
    <col min="19" max="19" width="5.7109375" style="328" customWidth="1"/>
    <col min="20" max="20" width="8" style="328" customWidth="1"/>
    <col min="21" max="21" width="7.85546875" style="328" customWidth="1"/>
    <col min="22" max="22" width="1.7109375" style="328" customWidth="1"/>
    <col min="23" max="23" width="8.7109375" style="328" customWidth="1"/>
    <col min="24" max="24" width="12.5703125" style="328" customWidth="1"/>
    <col min="25" max="25" width="7.5703125" style="328" customWidth="1"/>
    <col min="26" max="16384" width="11.5703125" style="328"/>
  </cols>
  <sheetData>
    <row r="1" spans="1:30" x14ac:dyDescent="0.3">
      <c r="A1" s="346"/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6"/>
      <c r="O1" s="346"/>
      <c r="P1" s="346"/>
      <c r="Q1" s="346"/>
      <c r="R1" s="346"/>
      <c r="S1" s="346"/>
      <c r="T1" s="346"/>
      <c r="U1" s="346"/>
      <c r="V1" s="346"/>
      <c r="W1" s="346"/>
      <c r="X1" s="346"/>
      <c r="Y1" s="346"/>
      <c r="Z1" s="346"/>
      <c r="AA1" s="346"/>
      <c r="AB1" s="346"/>
      <c r="AC1" s="346"/>
      <c r="AD1" s="346"/>
    </row>
    <row r="2" spans="1:30" ht="15" customHeight="1" x14ac:dyDescent="0.3">
      <c r="A2" s="346"/>
      <c r="B2" s="426" t="s">
        <v>460</v>
      </c>
      <c r="C2" s="426"/>
      <c r="D2" s="426"/>
      <c r="E2" s="426"/>
      <c r="F2" s="426"/>
      <c r="G2" s="426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8"/>
      <c r="T2" s="398"/>
      <c r="U2" s="396"/>
      <c r="V2" s="396"/>
      <c r="W2" s="396"/>
      <c r="X2" s="396"/>
      <c r="Y2" s="346"/>
      <c r="Z2" s="346"/>
      <c r="AA2" s="346"/>
      <c r="AB2" s="346"/>
      <c r="AC2" s="346"/>
      <c r="AD2" s="346"/>
    </row>
    <row r="3" spans="1:30" ht="15" customHeight="1" x14ac:dyDescent="0.3">
      <c r="A3" s="346"/>
      <c r="B3" s="426"/>
      <c r="C3" s="426"/>
      <c r="D3" s="426"/>
      <c r="E3" s="426"/>
      <c r="F3" s="426"/>
      <c r="G3" s="426"/>
      <c r="H3" s="397"/>
      <c r="I3" s="397"/>
      <c r="J3" s="397"/>
      <c r="K3" s="397"/>
      <c r="L3" s="397"/>
      <c r="M3" s="397"/>
      <c r="N3" s="397"/>
      <c r="O3" s="397"/>
      <c r="P3" s="397"/>
      <c r="Q3" s="397"/>
      <c r="R3" s="397"/>
      <c r="S3" s="398"/>
      <c r="T3" s="398"/>
      <c r="U3" s="396"/>
      <c r="V3" s="396"/>
      <c r="W3" s="396"/>
      <c r="X3" s="396"/>
      <c r="Y3" s="346"/>
      <c r="Z3" s="346"/>
      <c r="AA3" s="346"/>
      <c r="AB3" s="346"/>
      <c r="AC3" s="346"/>
      <c r="AD3" s="346"/>
    </row>
    <row r="4" spans="1:30" ht="15" customHeight="1" x14ac:dyDescent="0.3">
      <c r="A4" s="346"/>
      <c r="B4" s="426"/>
      <c r="C4" s="426"/>
      <c r="D4" s="426"/>
      <c r="E4" s="426"/>
      <c r="F4" s="426"/>
      <c r="G4" s="426"/>
      <c r="H4" s="397"/>
      <c r="I4" s="397"/>
      <c r="J4" s="397"/>
      <c r="K4" s="397"/>
      <c r="L4" s="397"/>
      <c r="M4" s="397"/>
      <c r="N4" s="397"/>
      <c r="O4" s="397"/>
      <c r="P4" s="397"/>
      <c r="Q4" s="397"/>
      <c r="R4" s="397"/>
      <c r="S4" s="398"/>
      <c r="T4" s="398"/>
      <c r="U4" s="396"/>
      <c r="V4" s="396"/>
      <c r="W4" s="396"/>
      <c r="X4" s="396"/>
      <c r="Y4" s="346"/>
      <c r="Z4" s="346"/>
      <c r="AA4" s="346"/>
      <c r="AB4" s="346"/>
      <c r="AC4" s="346"/>
      <c r="AD4" s="346"/>
    </row>
    <row r="5" spans="1:30" ht="15" customHeight="1" x14ac:dyDescent="0.3">
      <c r="A5" s="346"/>
      <c r="B5" s="427" t="s">
        <v>461</v>
      </c>
      <c r="C5" s="427"/>
      <c r="D5" s="427"/>
      <c r="E5" s="427"/>
      <c r="F5" s="427"/>
      <c r="G5" s="427"/>
      <c r="H5" s="427"/>
      <c r="I5" s="427"/>
      <c r="J5" s="395"/>
      <c r="K5" s="397"/>
      <c r="L5" s="397"/>
      <c r="M5" s="397"/>
      <c r="N5" s="397"/>
      <c r="O5" s="397"/>
      <c r="P5" s="397"/>
      <c r="Q5" s="397"/>
      <c r="R5" s="397"/>
      <c r="S5" s="398"/>
      <c r="T5" s="398"/>
      <c r="U5" s="396"/>
      <c r="V5" s="396"/>
      <c r="W5" s="396"/>
      <c r="X5" s="396"/>
      <c r="Y5" s="346"/>
      <c r="Z5" s="346"/>
      <c r="AA5" s="346"/>
      <c r="AB5" s="346"/>
      <c r="AC5" s="346"/>
      <c r="AD5" s="346"/>
    </row>
    <row r="6" spans="1:30" ht="15" customHeight="1" x14ac:dyDescent="0.3">
      <c r="A6" s="346"/>
      <c r="B6" s="427"/>
      <c r="C6" s="427"/>
      <c r="D6" s="427"/>
      <c r="E6" s="427"/>
      <c r="F6" s="427"/>
      <c r="G6" s="427"/>
      <c r="H6" s="427"/>
      <c r="I6" s="427"/>
      <c r="J6" s="395"/>
      <c r="K6" s="399"/>
      <c r="L6" s="399"/>
      <c r="M6" s="399"/>
      <c r="N6" s="399"/>
      <c r="O6" s="399"/>
      <c r="P6" s="399"/>
      <c r="Q6" s="399"/>
      <c r="R6" s="399"/>
      <c r="S6" s="398"/>
      <c r="T6" s="398"/>
      <c r="U6" s="396"/>
      <c r="V6" s="396"/>
      <c r="W6" s="396"/>
      <c r="X6" s="396"/>
      <c r="Y6" s="346"/>
      <c r="Z6" s="346"/>
      <c r="AA6" s="346"/>
      <c r="AB6" s="346"/>
      <c r="AC6" s="346"/>
      <c r="AD6" s="346"/>
    </row>
    <row r="7" spans="1:30" ht="15" customHeight="1" x14ac:dyDescent="0.3">
      <c r="A7" s="346"/>
      <c r="B7" s="427"/>
      <c r="C7" s="427"/>
      <c r="D7" s="427"/>
      <c r="E7" s="427"/>
      <c r="F7" s="427"/>
      <c r="G7" s="427"/>
      <c r="H7" s="427"/>
      <c r="I7" s="427"/>
      <c r="J7" s="395"/>
      <c r="K7" s="399"/>
      <c r="L7" s="399"/>
      <c r="M7" s="399"/>
      <c r="N7" s="399"/>
      <c r="O7" s="399"/>
      <c r="P7" s="399"/>
      <c r="Q7" s="399"/>
      <c r="R7" s="399"/>
      <c r="S7" s="398"/>
      <c r="T7" s="398"/>
      <c r="U7" s="396"/>
      <c r="V7" s="396"/>
      <c r="W7" s="396"/>
      <c r="X7" s="396"/>
      <c r="Y7" s="346"/>
      <c r="Z7" s="346"/>
      <c r="AA7" s="346"/>
      <c r="AB7" s="346"/>
      <c r="AC7" s="346"/>
      <c r="AD7" s="346"/>
    </row>
    <row r="8" spans="1:30" ht="15" customHeight="1" x14ac:dyDescent="0.3">
      <c r="A8" s="346"/>
      <c r="B8" s="395"/>
      <c r="C8" s="395"/>
      <c r="D8" s="395"/>
      <c r="E8" s="395"/>
      <c r="F8" s="395"/>
      <c r="G8" s="395"/>
      <c r="H8" s="395"/>
      <c r="I8" s="395"/>
      <c r="J8" s="395"/>
      <c r="K8" s="399"/>
      <c r="L8" s="399"/>
      <c r="M8" s="399"/>
      <c r="N8" s="399"/>
      <c r="O8" s="399"/>
      <c r="P8" s="399"/>
      <c r="Q8" s="399"/>
      <c r="R8" s="399"/>
      <c r="S8" s="398"/>
      <c r="T8" s="398"/>
      <c r="U8" s="396"/>
      <c r="V8" s="396"/>
      <c r="W8" s="396"/>
      <c r="X8" s="396"/>
      <c r="Y8" s="346"/>
      <c r="Z8" s="346"/>
      <c r="AA8" s="346"/>
      <c r="AB8" s="346"/>
      <c r="AC8" s="346"/>
      <c r="AD8" s="346"/>
    </row>
    <row r="9" spans="1:30" x14ac:dyDescent="0.3">
      <c r="A9" s="346"/>
      <c r="B9" s="259"/>
      <c r="C9" s="259"/>
      <c r="D9" s="259"/>
      <c r="E9" s="259"/>
      <c r="F9" s="259"/>
      <c r="G9" s="259"/>
      <c r="H9" s="259"/>
      <c r="I9" s="259"/>
      <c r="J9" s="259"/>
      <c r="K9" s="259"/>
      <c r="L9" s="259"/>
      <c r="M9" s="259"/>
      <c r="N9" s="259"/>
      <c r="O9" s="259"/>
      <c r="P9" s="259"/>
      <c r="Q9" s="259"/>
      <c r="R9" s="259"/>
      <c r="S9" s="346"/>
      <c r="T9" s="346"/>
      <c r="U9" s="346"/>
      <c r="V9" s="346"/>
      <c r="W9" s="346"/>
      <c r="X9" s="346"/>
      <c r="Y9" s="346"/>
      <c r="Z9" s="346"/>
      <c r="AA9" s="346"/>
      <c r="AB9" s="346"/>
      <c r="AC9" s="346"/>
      <c r="AD9" s="346"/>
    </row>
    <row r="10" spans="1:30" ht="15.75" thickBot="1" x14ac:dyDescent="0.35">
      <c r="A10" s="346"/>
      <c r="B10" s="346"/>
      <c r="C10" s="346"/>
      <c r="D10" s="346"/>
      <c r="E10" s="346"/>
      <c r="F10" s="346"/>
      <c r="G10" s="346"/>
      <c r="H10" s="346"/>
      <c r="I10" s="346"/>
      <c r="J10" s="346"/>
      <c r="K10" s="346"/>
      <c r="L10" s="346"/>
      <c r="M10" s="346"/>
      <c r="N10" s="346"/>
      <c r="O10" s="346"/>
      <c r="P10" s="346"/>
      <c r="Q10" s="346"/>
      <c r="R10" s="346"/>
      <c r="S10" s="346"/>
      <c r="T10" s="346"/>
      <c r="U10" s="346"/>
      <c r="V10" s="346"/>
      <c r="W10" s="346"/>
      <c r="X10" s="346"/>
      <c r="Y10" s="346"/>
      <c r="Z10" s="346"/>
      <c r="AA10" s="346"/>
      <c r="AB10" s="346"/>
      <c r="AC10" s="346"/>
      <c r="AD10" s="346"/>
    </row>
    <row r="11" spans="1:30" ht="18" x14ac:dyDescent="0.35">
      <c r="A11" s="346"/>
      <c r="B11" s="369" t="s">
        <v>429</v>
      </c>
      <c r="C11" s="370"/>
      <c r="D11" s="370"/>
      <c r="E11" s="370"/>
      <c r="F11" s="370"/>
      <c r="G11" s="370"/>
      <c r="H11" s="370"/>
      <c r="I11" s="370"/>
      <c r="J11" s="370"/>
      <c r="K11" s="370"/>
      <c r="L11" s="371"/>
      <c r="M11" s="346"/>
      <c r="N11" s="346"/>
      <c r="O11" s="346"/>
      <c r="P11" s="347" t="s">
        <v>251</v>
      </c>
      <c r="R11" s="346"/>
      <c r="S11" s="346"/>
      <c r="T11" s="346"/>
      <c r="U11" s="346"/>
      <c r="V11" s="346"/>
      <c r="W11" s="346"/>
      <c r="X11" s="346"/>
      <c r="Y11" s="346"/>
      <c r="Z11" s="346"/>
      <c r="AA11" s="346"/>
      <c r="AB11" s="346"/>
      <c r="AC11" s="346"/>
      <c r="AD11" s="346"/>
    </row>
    <row r="12" spans="1:30" x14ac:dyDescent="0.3">
      <c r="A12" s="346"/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4"/>
      <c r="M12" s="346"/>
      <c r="N12" s="346"/>
      <c r="O12" s="346"/>
      <c r="P12" s="346"/>
      <c r="Q12" s="346"/>
      <c r="R12" s="346"/>
      <c r="S12" s="346"/>
      <c r="T12" s="346"/>
      <c r="U12" s="346"/>
      <c r="V12" s="346"/>
      <c r="W12" s="346"/>
      <c r="X12" s="346"/>
      <c r="Y12" s="346"/>
      <c r="Z12" s="346"/>
      <c r="AA12" s="346"/>
      <c r="AB12" s="346"/>
      <c r="AC12" s="346"/>
      <c r="AD12" s="346"/>
    </row>
    <row r="13" spans="1:30" ht="14.25" customHeight="1" x14ac:dyDescent="0.3">
      <c r="A13" s="346"/>
      <c r="B13" s="430" t="s">
        <v>430</v>
      </c>
      <c r="C13" s="431"/>
      <c r="D13" s="431"/>
      <c r="E13" s="431"/>
      <c r="F13" s="431"/>
      <c r="G13" s="431"/>
      <c r="H13" s="431"/>
      <c r="I13" s="431"/>
      <c r="J13" s="431"/>
      <c r="K13" s="431"/>
      <c r="L13" s="432"/>
      <c r="M13" s="346"/>
      <c r="N13" s="346"/>
      <c r="O13" s="25"/>
      <c r="P13" s="26"/>
      <c r="Q13" s="26"/>
      <c r="R13" s="26"/>
      <c r="S13" s="26"/>
      <c r="T13" s="26"/>
      <c r="U13" s="26"/>
      <c r="V13" s="27"/>
      <c r="W13" s="348"/>
      <c r="X13" s="348"/>
      <c r="Y13" s="346"/>
      <c r="Z13" s="346"/>
      <c r="AA13" s="346"/>
      <c r="AB13" s="346"/>
      <c r="AC13" s="346"/>
      <c r="AD13" s="346"/>
    </row>
    <row r="14" spans="1:30" x14ac:dyDescent="0.3">
      <c r="A14" s="346"/>
      <c r="B14" s="430"/>
      <c r="C14" s="431"/>
      <c r="D14" s="431"/>
      <c r="E14" s="431"/>
      <c r="F14" s="431"/>
      <c r="G14" s="431"/>
      <c r="H14" s="431"/>
      <c r="I14" s="431"/>
      <c r="J14" s="431"/>
      <c r="K14" s="431"/>
      <c r="L14" s="432"/>
      <c r="M14" s="346"/>
      <c r="N14" s="346"/>
      <c r="O14" s="28"/>
      <c r="P14" s="258" t="s">
        <v>23</v>
      </c>
      <c r="Q14" s="29"/>
      <c r="R14" s="429" t="s">
        <v>205</v>
      </c>
      <c r="S14" s="29"/>
      <c r="T14" s="423" t="s">
        <v>206</v>
      </c>
      <c r="U14" s="423" t="s">
        <v>207</v>
      </c>
      <c r="V14" s="30"/>
      <c r="W14" s="348"/>
      <c r="X14" s="348"/>
      <c r="Y14" s="346"/>
      <c r="Z14" s="346"/>
      <c r="AA14" s="346"/>
      <c r="AB14" s="346"/>
      <c r="AC14" s="346"/>
      <c r="AD14" s="346"/>
    </row>
    <row r="15" spans="1:30" x14ac:dyDescent="0.3">
      <c r="A15" s="346"/>
      <c r="B15" s="375"/>
      <c r="C15" s="376"/>
      <c r="D15" s="376"/>
      <c r="E15" s="376"/>
      <c r="F15" s="376"/>
      <c r="G15" s="373"/>
      <c r="H15" s="373"/>
      <c r="I15" s="373"/>
      <c r="J15" s="373"/>
      <c r="K15" s="373"/>
      <c r="L15" s="374"/>
      <c r="M15" s="346"/>
      <c r="N15" s="346"/>
      <c r="O15" s="28"/>
      <c r="P15" s="29"/>
      <c r="Q15" s="29"/>
      <c r="R15" s="429"/>
      <c r="S15" s="29"/>
      <c r="T15" s="423"/>
      <c r="U15" s="423"/>
      <c r="V15" s="30"/>
      <c r="W15" s="348"/>
      <c r="X15" s="348"/>
      <c r="Y15" s="346"/>
      <c r="Z15" s="346"/>
      <c r="AA15" s="346"/>
      <c r="AB15" s="346"/>
      <c r="AC15" s="346"/>
      <c r="AD15" s="346"/>
    </row>
    <row r="16" spans="1:30" ht="14.25" customHeight="1" x14ac:dyDescent="0.3">
      <c r="A16" s="346"/>
      <c r="B16" s="372" t="s">
        <v>456</v>
      </c>
      <c r="C16" s="373"/>
      <c r="D16" s="373"/>
      <c r="E16" s="373"/>
      <c r="F16" s="373"/>
      <c r="G16" s="373"/>
      <c r="H16" s="373"/>
      <c r="I16" s="373"/>
      <c r="J16" s="373"/>
      <c r="K16" s="373"/>
      <c r="L16" s="374"/>
      <c r="M16" s="346"/>
      <c r="N16" s="346"/>
      <c r="O16" s="28"/>
      <c r="P16" s="258" t="s">
        <v>208</v>
      </c>
      <c r="Q16" s="29"/>
      <c r="R16" s="429"/>
      <c r="S16" s="29"/>
      <c r="T16" s="423"/>
      <c r="U16" s="423"/>
      <c r="V16" s="30"/>
      <c r="W16" s="348"/>
      <c r="X16" s="348"/>
      <c r="Y16" s="346"/>
      <c r="Z16" s="346"/>
      <c r="AA16" s="346"/>
      <c r="AB16" s="346"/>
      <c r="AC16" s="346"/>
      <c r="AD16" s="346"/>
    </row>
    <row r="17" spans="1:30" x14ac:dyDescent="0.3">
      <c r="A17" s="346"/>
      <c r="B17" s="372"/>
      <c r="C17" s="373"/>
      <c r="D17" s="373"/>
      <c r="E17" s="373"/>
      <c r="F17" s="373"/>
      <c r="G17" s="373"/>
      <c r="H17" s="373"/>
      <c r="I17" s="373"/>
      <c r="J17" s="373"/>
      <c r="K17" s="373"/>
      <c r="L17" s="374"/>
      <c r="M17" s="346"/>
      <c r="N17" s="346"/>
      <c r="O17" s="28"/>
      <c r="P17" s="29"/>
      <c r="Q17" s="29"/>
      <c r="R17" s="429"/>
      <c r="S17" s="29"/>
      <c r="T17" s="29"/>
      <c r="U17" s="29"/>
      <c r="V17" s="30"/>
      <c r="W17" s="348"/>
      <c r="X17" s="348"/>
      <c r="Y17" s="346"/>
      <c r="Z17" s="346"/>
      <c r="AA17" s="346"/>
      <c r="AB17" s="346"/>
      <c r="AC17" s="346"/>
      <c r="AD17" s="346"/>
    </row>
    <row r="18" spans="1:30" ht="15" customHeight="1" x14ac:dyDescent="0.3">
      <c r="A18" s="346"/>
      <c r="B18" s="377" t="s">
        <v>431</v>
      </c>
      <c r="C18" s="373"/>
      <c r="D18" s="373"/>
      <c r="E18" s="373"/>
      <c r="F18" s="373"/>
      <c r="G18" s="373"/>
      <c r="H18" s="373"/>
      <c r="I18" s="373"/>
      <c r="J18" s="373"/>
      <c r="K18" s="373"/>
      <c r="L18" s="374"/>
      <c r="M18" s="346"/>
      <c r="N18" s="346"/>
      <c r="O18" s="28"/>
      <c r="P18" s="258" t="s">
        <v>209</v>
      </c>
      <c r="Q18" s="29"/>
      <c r="R18" s="429"/>
      <c r="S18" s="29"/>
      <c r="T18" s="29"/>
      <c r="U18" s="29"/>
      <c r="V18" s="30"/>
      <c r="W18" s="348"/>
      <c r="X18" s="348"/>
      <c r="Y18" s="346"/>
      <c r="Z18" s="346"/>
      <c r="AA18" s="346"/>
      <c r="AB18" s="346"/>
      <c r="AC18" s="346"/>
      <c r="AD18" s="346"/>
    </row>
    <row r="19" spans="1:30" x14ac:dyDescent="0.3">
      <c r="A19" s="346"/>
      <c r="B19" s="372"/>
      <c r="C19" s="373"/>
      <c r="D19" s="373"/>
      <c r="E19" s="373"/>
      <c r="F19" s="373"/>
      <c r="G19" s="373"/>
      <c r="H19" s="373"/>
      <c r="I19" s="373"/>
      <c r="J19" s="373"/>
      <c r="K19" s="373"/>
      <c r="L19" s="374"/>
      <c r="M19" s="346"/>
      <c r="N19" s="346"/>
      <c r="O19" s="28"/>
      <c r="P19" s="29"/>
      <c r="Q19" s="29"/>
      <c r="R19" s="429"/>
      <c r="S19" s="29"/>
      <c r="T19" s="29"/>
      <c r="U19" s="29"/>
      <c r="V19" s="30"/>
      <c r="W19" s="348"/>
      <c r="X19" s="349" t="s">
        <v>220</v>
      </c>
      <c r="Y19" s="346"/>
      <c r="Z19" s="346"/>
      <c r="AA19" s="346"/>
      <c r="AB19" s="346"/>
      <c r="AC19" s="346"/>
      <c r="AD19" s="346"/>
    </row>
    <row r="20" spans="1:30" x14ac:dyDescent="0.3">
      <c r="A20" s="346"/>
      <c r="B20" s="378" t="s">
        <v>447</v>
      </c>
      <c r="C20" s="379"/>
      <c r="D20" s="379"/>
      <c r="E20" s="379"/>
      <c r="F20" s="379"/>
      <c r="G20" s="373"/>
      <c r="H20" s="373"/>
      <c r="I20" s="373"/>
      <c r="J20" s="373"/>
      <c r="K20" s="373"/>
      <c r="L20" s="374"/>
      <c r="M20" s="346"/>
      <c r="N20" s="346"/>
      <c r="O20" s="28"/>
      <c r="P20" s="258" t="s">
        <v>210</v>
      </c>
      <c r="Q20" s="29"/>
      <c r="R20" s="429"/>
      <c r="S20" s="29"/>
      <c r="T20" s="29"/>
      <c r="U20" s="29"/>
      <c r="V20" s="30"/>
      <c r="W20" s="348"/>
      <c r="X20" s="348"/>
      <c r="Y20" s="346"/>
      <c r="Z20" s="346"/>
      <c r="AA20" s="346"/>
      <c r="AB20" s="346"/>
      <c r="AC20" s="346"/>
      <c r="AD20" s="346"/>
    </row>
    <row r="21" spans="1:30" x14ac:dyDescent="0.3">
      <c r="A21" s="346"/>
      <c r="B21" s="372"/>
      <c r="C21" s="434" t="s">
        <v>436</v>
      </c>
      <c r="D21" s="434"/>
      <c r="E21" s="434"/>
      <c r="F21" s="434"/>
      <c r="G21" s="434"/>
      <c r="H21" s="434"/>
      <c r="I21" s="434"/>
      <c r="J21" s="434"/>
      <c r="K21" s="434"/>
      <c r="L21" s="374"/>
      <c r="M21" s="346"/>
      <c r="N21" s="346"/>
      <c r="O21" s="28"/>
      <c r="P21" s="29"/>
      <c r="Q21" s="29"/>
      <c r="R21" s="429"/>
      <c r="S21" s="29"/>
      <c r="T21" s="29"/>
      <c r="U21" s="29"/>
      <c r="V21" s="30"/>
      <c r="W21" s="348"/>
      <c r="X21" s="348"/>
      <c r="Y21" s="346"/>
      <c r="Z21" s="346"/>
      <c r="AA21" s="346"/>
      <c r="AB21" s="346"/>
      <c r="AC21" s="346"/>
      <c r="AD21" s="346"/>
    </row>
    <row r="22" spans="1:30" x14ac:dyDescent="0.3">
      <c r="A22" s="346"/>
      <c r="B22" s="372"/>
      <c r="C22" s="434"/>
      <c r="D22" s="434"/>
      <c r="E22" s="434"/>
      <c r="F22" s="434"/>
      <c r="G22" s="434"/>
      <c r="H22" s="434"/>
      <c r="I22" s="434"/>
      <c r="J22" s="434"/>
      <c r="K22" s="434"/>
      <c r="L22" s="374"/>
      <c r="M22" s="346"/>
      <c r="N22" s="346"/>
      <c r="O22" s="28"/>
      <c r="P22" s="258" t="s">
        <v>211</v>
      </c>
      <c r="Q22" s="29"/>
      <c r="R22" s="429"/>
      <c r="S22" s="29"/>
      <c r="T22" s="29"/>
      <c r="U22" s="29"/>
      <c r="V22" s="30"/>
      <c r="W22" s="348"/>
      <c r="X22" s="348"/>
      <c r="Y22" s="346"/>
      <c r="Z22" s="346"/>
      <c r="AA22" s="346"/>
      <c r="AB22" s="346"/>
      <c r="AC22" s="346"/>
      <c r="AD22" s="346"/>
    </row>
    <row r="23" spans="1:30" x14ac:dyDescent="0.3">
      <c r="A23" s="346"/>
      <c r="B23" s="380"/>
      <c r="C23" s="434"/>
      <c r="D23" s="434"/>
      <c r="E23" s="434"/>
      <c r="F23" s="434"/>
      <c r="G23" s="434"/>
      <c r="H23" s="434"/>
      <c r="I23" s="434"/>
      <c r="J23" s="434"/>
      <c r="K23" s="434"/>
      <c r="L23" s="374"/>
      <c r="M23" s="346"/>
      <c r="N23" s="346"/>
      <c r="O23" s="28"/>
      <c r="P23" s="29"/>
      <c r="Q23" s="29"/>
      <c r="R23" s="429"/>
      <c r="S23" s="29"/>
      <c r="T23" s="29"/>
      <c r="U23" s="29"/>
      <c r="V23" s="30"/>
      <c r="W23" s="348"/>
      <c r="X23" s="348"/>
      <c r="Y23" s="346"/>
      <c r="Z23" s="346"/>
      <c r="AA23" s="346"/>
      <c r="AB23" s="346"/>
      <c r="AC23" s="346"/>
      <c r="AD23" s="346"/>
    </row>
    <row r="24" spans="1:30" x14ac:dyDescent="0.3">
      <c r="A24" s="346"/>
      <c r="B24" s="372"/>
      <c r="C24" s="433" t="s">
        <v>435</v>
      </c>
      <c r="D24" s="433"/>
      <c r="E24" s="433"/>
      <c r="F24" s="433"/>
      <c r="G24" s="433"/>
      <c r="H24" s="433"/>
      <c r="I24" s="433"/>
      <c r="J24" s="433"/>
      <c r="K24" s="433"/>
      <c r="L24" s="374"/>
      <c r="M24" s="346"/>
      <c r="N24" s="346"/>
      <c r="O24" s="28"/>
      <c r="P24" s="258" t="s">
        <v>212</v>
      </c>
      <c r="Q24" s="29"/>
      <c r="R24" s="429"/>
      <c r="S24" s="29"/>
      <c r="T24" s="29"/>
      <c r="U24" s="29"/>
      <c r="V24" s="30"/>
      <c r="W24" s="348"/>
      <c r="X24" s="348"/>
      <c r="Y24" s="346"/>
      <c r="Z24" s="346"/>
      <c r="AA24" s="346"/>
      <c r="AB24" s="346"/>
      <c r="AC24" s="346"/>
      <c r="AD24" s="346"/>
    </row>
    <row r="25" spans="1:30" s="360" customFormat="1" x14ac:dyDescent="0.3">
      <c r="A25" s="356"/>
      <c r="B25" s="372"/>
      <c r="C25" s="433"/>
      <c r="D25" s="433"/>
      <c r="E25" s="433"/>
      <c r="F25" s="433"/>
      <c r="G25" s="433"/>
      <c r="H25" s="433"/>
      <c r="I25" s="433"/>
      <c r="J25" s="433"/>
      <c r="K25" s="433"/>
      <c r="L25" s="374"/>
      <c r="M25" s="356"/>
      <c r="N25" s="356"/>
      <c r="O25" s="357"/>
      <c r="P25" s="77"/>
      <c r="Q25" s="77"/>
      <c r="R25" s="77"/>
      <c r="S25" s="77"/>
      <c r="T25" s="77"/>
      <c r="U25" s="77"/>
      <c r="V25" s="358"/>
      <c r="W25" s="359"/>
      <c r="X25" s="359"/>
      <c r="Y25" s="356"/>
      <c r="Z25" s="346"/>
      <c r="AA25" s="346"/>
      <c r="AB25" s="346"/>
      <c r="AC25" s="346"/>
      <c r="AD25" s="346"/>
    </row>
    <row r="26" spans="1:30" x14ac:dyDescent="0.3">
      <c r="A26" s="346"/>
      <c r="B26" s="372"/>
      <c r="C26" s="373"/>
      <c r="D26" s="373"/>
      <c r="E26" s="373"/>
      <c r="F26" s="373"/>
      <c r="G26" s="373"/>
      <c r="H26" s="373"/>
      <c r="I26" s="373"/>
      <c r="J26" s="373"/>
      <c r="K26" s="373"/>
      <c r="L26" s="374"/>
      <c r="M26" s="346"/>
      <c r="N26" s="346"/>
      <c r="O26" s="28"/>
      <c r="P26" s="424" t="s">
        <v>23</v>
      </c>
      <c r="Q26" s="339">
        <f>+Transport!G13</f>
        <v>50</v>
      </c>
      <c r="R26" s="425" t="s">
        <v>213</v>
      </c>
      <c r="S26" s="29"/>
      <c r="T26" s="29"/>
      <c r="U26" s="29"/>
      <c r="V26" s="30"/>
      <c r="W26" s="348"/>
      <c r="X26" s="348"/>
      <c r="Y26" s="346"/>
      <c r="Z26" s="346"/>
      <c r="AA26" s="346"/>
      <c r="AB26" s="346"/>
      <c r="AC26" s="346"/>
      <c r="AD26" s="346"/>
    </row>
    <row r="27" spans="1:30" x14ac:dyDescent="0.3">
      <c r="A27" s="346"/>
      <c r="B27" s="378" t="s">
        <v>446</v>
      </c>
      <c r="C27" s="376"/>
      <c r="D27" s="376"/>
      <c r="E27" s="376"/>
      <c r="F27" s="376"/>
      <c r="G27" s="373"/>
      <c r="H27" s="373"/>
      <c r="I27" s="373"/>
      <c r="J27" s="373"/>
      <c r="K27" s="373"/>
      <c r="L27" s="374"/>
      <c r="M27" s="346"/>
      <c r="N27" s="346"/>
      <c r="O27" s="28"/>
      <c r="P27" s="424"/>
      <c r="Q27" s="31" t="s">
        <v>214</v>
      </c>
      <c r="R27" s="425"/>
      <c r="S27" s="29"/>
      <c r="T27" s="29"/>
      <c r="U27" s="29"/>
      <c r="V27" s="30"/>
      <c r="W27" s="348"/>
      <c r="X27" s="348"/>
      <c r="Y27" s="346"/>
      <c r="Z27" s="346"/>
      <c r="AA27" s="346"/>
      <c r="AB27" s="346"/>
      <c r="AC27" s="346"/>
      <c r="AD27" s="346"/>
    </row>
    <row r="28" spans="1:30" x14ac:dyDescent="0.3">
      <c r="A28" s="346"/>
      <c r="B28" s="381" t="s">
        <v>432</v>
      </c>
      <c r="C28" s="376"/>
      <c r="D28" s="376"/>
      <c r="E28" s="376"/>
      <c r="F28" s="376"/>
      <c r="G28" s="373"/>
      <c r="H28" s="373"/>
      <c r="I28" s="373"/>
      <c r="J28" s="373"/>
      <c r="K28" s="373"/>
      <c r="L28" s="374"/>
      <c r="M28" s="346"/>
      <c r="N28" s="346"/>
      <c r="O28" s="28"/>
      <c r="P28" s="29"/>
      <c r="Q28" s="31"/>
      <c r="R28" s="29"/>
      <c r="S28" s="29"/>
      <c r="T28" s="29"/>
      <c r="U28" s="29"/>
      <c r="V28" s="30"/>
      <c r="W28" s="348"/>
      <c r="X28" s="349" t="s">
        <v>221</v>
      </c>
      <c r="Y28" s="346"/>
      <c r="Z28" s="346"/>
      <c r="AA28" s="346"/>
      <c r="AB28" s="346"/>
      <c r="AC28" s="346"/>
      <c r="AD28" s="346"/>
    </row>
    <row r="29" spans="1:30" x14ac:dyDescent="0.3">
      <c r="A29" s="346"/>
      <c r="B29" s="382"/>
      <c r="C29" s="435" t="s">
        <v>452</v>
      </c>
      <c r="D29" s="435"/>
      <c r="E29" s="435"/>
      <c r="F29" s="435"/>
      <c r="G29" s="435"/>
      <c r="H29" s="435"/>
      <c r="I29" s="435"/>
      <c r="J29" s="435"/>
      <c r="K29" s="435"/>
      <c r="L29" s="383"/>
      <c r="M29" s="346"/>
      <c r="N29" s="346"/>
      <c r="O29" s="28"/>
      <c r="P29" s="424" t="s">
        <v>23</v>
      </c>
      <c r="Q29" s="339">
        <f>+Transport!G18</f>
        <v>150</v>
      </c>
      <c r="R29" s="425" t="s">
        <v>425</v>
      </c>
      <c r="S29" s="29"/>
      <c r="T29" s="29"/>
      <c r="U29" s="29"/>
      <c r="V29" s="30"/>
      <c r="W29" s="348"/>
      <c r="X29" s="348"/>
      <c r="Y29" s="346"/>
      <c r="Z29" s="346"/>
      <c r="AA29" s="346"/>
      <c r="AB29" s="346"/>
      <c r="AC29" s="346"/>
      <c r="AD29" s="346"/>
    </row>
    <row r="30" spans="1:30" ht="15" customHeight="1" x14ac:dyDescent="0.3">
      <c r="A30" s="346"/>
      <c r="B30" s="375"/>
      <c r="C30" s="435"/>
      <c r="D30" s="435"/>
      <c r="E30" s="435"/>
      <c r="F30" s="435"/>
      <c r="G30" s="435"/>
      <c r="H30" s="435"/>
      <c r="I30" s="435"/>
      <c r="J30" s="435"/>
      <c r="K30" s="435"/>
      <c r="L30" s="374"/>
      <c r="M30" s="346"/>
      <c r="N30" s="346"/>
      <c r="O30" s="28"/>
      <c r="P30" s="424"/>
      <c r="Q30" s="31" t="s">
        <v>214</v>
      </c>
      <c r="R30" s="425"/>
      <c r="S30" s="29"/>
      <c r="T30" s="29"/>
      <c r="U30" s="29"/>
      <c r="V30" s="30"/>
      <c r="W30" s="348"/>
      <c r="X30" s="348"/>
      <c r="Y30" s="346"/>
      <c r="Z30" s="346"/>
      <c r="AA30" s="346"/>
      <c r="AB30" s="346"/>
      <c r="AC30" s="346"/>
      <c r="AD30" s="346"/>
    </row>
    <row r="31" spans="1:30" ht="15" customHeight="1" x14ac:dyDescent="0.3">
      <c r="A31" s="346"/>
      <c r="B31" s="375"/>
      <c r="C31" s="435"/>
      <c r="D31" s="435"/>
      <c r="E31" s="435"/>
      <c r="F31" s="435"/>
      <c r="G31" s="435"/>
      <c r="H31" s="435"/>
      <c r="I31" s="435"/>
      <c r="J31" s="435"/>
      <c r="K31" s="435"/>
      <c r="L31" s="374"/>
      <c r="M31" s="346"/>
      <c r="N31" s="346"/>
      <c r="O31" s="28"/>
      <c r="P31" s="29"/>
      <c r="Q31" s="29"/>
      <c r="R31" s="29"/>
      <c r="S31" s="29"/>
      <c r="T31" s="29"/>
      <c r="U31" s="29"/>
      <c r="V31" s="30"/>
      <c r="W31" s="348"/>
      <c r="X31" s="348"/>
      <c r="Y31" s="346"/>
      <c r="Z31" s="346"/>
      <c r="AA31" s="346"/>
      <c r="AB31" s="346"/>
      <c r="AC31" s="346"/>
      <c r="AD31" s="346"/>
    </row>
    <row r="32" spans="1:30" ht="15" customHeight="1" x14ac:dyDescent="0.3">
      <c r="A32" s="346"/>
      <c r="B32" s="375"/>
      <c r="C32" s="435"/>
      <c r="D32" s="435"/>
      <c r="E32" s="435"/>
      <c r="F32" s="435"/>
      <c r="G32" s="435"/>
      <c r="H32" s="435"/>
      <c r="I32" s="435"/>
      <c r="J32" s="435"/>
      <c r="K32" s="435"/>
      <c r="L32" s="374"/>
      <c r="M32" s="346"/>
      <c r="N32" s="346"/>
      <c r="O32" s="28"/>
      <c r="P32" s="29"/>
      <c r="Q32" s="29"/>
      <c r="R32" s="428" t="s">
        <v>6</v>
      </c>
      <c r="S32" s="29"/>
      <c r="T32" s="423" t="s">
        <v>217</v>
      </c>
      <c r="U32" s="29"/>
      <c r="V32" s="30"/>
      <c r="W32" s="348"/>
      <c r="X32" s="348"/>
      <c r="Y32" s="346"/>
      <c r="Z32" s="346"/>
      <c r="AA32" s="346"/>
      <c r="AB32" s="346"/>
      <c r="AC32" s="346"/>
      <c r="AD32" s="346"/>
    </row>
    <row r="33" spans="1:30" x14ac:dyDescent="0.3">
      <c r="A33" s="346"/>
      <c r="B33" s="378" t="s">
        <v>445</v>
      </c>
      <c r="C33" s="376"/>
      <c r="D33" s="376"/>
      <c r="E33" s="376"/>
      <c r="F33" s="376"/>
      <c r="G33" s="373"/>
      <c r="H33" s="373"/>
      <c r="I33" s="373"/>
      <c r="J33" s="373"/>
      <c r="K33" s="373"/>
      <c r="L33" s="374"/>
      <c r="M33" s="346"/>
      <c r="N33" s="346"/>
      <c r="O33" s="28"/>
      <c r="P33" s="35" t="s">
        <v>218</v>
      </c>
      <c r="Q33" s="29"/>
      <c r="R33" s="428"/>
      <c r="S33" s="29"/>
      <c r="T33" s="423"/>
      <c r="U33" s="29"/>
      <c r="V33" s="30"/>
      <c r="W33" s="348"/>
      <c r="X33" s="349" t="s">
        <v>222</v>
      </c>
      <c r="Y33" s="346"/>
      <c r="Z33" s="346"/>
      <c r="AA33" s="346"/>
      <c r="AB33" s="346"/>
      <c r="AC33" s="346"/>
      <c r="AD33" s="346"/>
    </row>
    <row r="34" spans="1:30" x14ac:dyDescent="0.3">
      <c r="A34" s="346"/>
      <c r="B34" s="372"/>
      <c r="C34" s="384" t="s">
        <v>442</v>
      </c>
      <c r="D34" s="376"/>
      <c r="E34" s="376"/>
      <c r="F34" s="376"/>
      <c r="G34" s="373"/>
      <c r="H34" s="373"/>
      <c r="I34" s="373"/>
      <c r="J34" s="373"/>
      <c r="K34" s="373"/>
      <c r="L34" s="374"/>
      <c r="M34" s="346"/>
      <c r="N34" s="346"/>
      <c r="O34" s="28"/>
      <c r="P34" s="29"/>
      <c r="Q34" s="29"/>
      <c r="R34" s="428"/>
      <c r="S34" s="29"/>
      <c r="T34" s="423"/>
      <c r="U34" s="29"/>
      <c r="V34" s="30"/>
      <c r="W34" s="348"/>
      <c r="X34" s="348"/>
      <c r="Y34" s="346"/>
      <c r="Z34" s="346"/>
      <c r="AA34" s="346"/>
      <c r="AB34" s="346"/>
      <c r="AC34" s="346"/>
      <c r="AD34" s="346"/>
    </row>
    <row r="35" spans="1:30" x14ac:dyDescent="0.3">
      <c r="A35" s="346"/>
      <c r="B35" s="372"/>
      <c r="C35" s="384" t="s">
        <v>444</v>
      </c>
      <c r="D35" s="376"/>
      <c r="E35" s="376"/>
      <c r="F35" s="376"/>
      <c r="G35" s="373"/>
      <c r="H35" s="373"/>
      <c r="I35" s="373"/>
      <c r="J35" s="373"/>
      <c r="K35" s="373"/>
      <c r="L35" s="374"/>
      <c r="M35" s="346"/>
      <c r="N35" s="346"/>
      <c r="O35" s="28"/>
      <c r="P35" s="29"/>
      <c r="Q35" s="29"/>
      <c r="R35" s="29"/>
      <c r="S35" s="29"/>
      <c r="T35" s="29"/>
      <c r="U35" s="29"/>
      <c r="V35" s="30"/>
      <c r="W35" s="348"/>
      <c r="X35" s="348"/>
      <c r="Y35" s="346"/>
      <c r="Z35" s="346"/>
      <c r="AA35" s="346"/>
      <c r="AB35" s="346"/>
      <c r="AC35" s="346"/>
      <c r="AD35" s="346"/>
    </row>
    <row r="36" spans="1:30" x14ac:dyDescent="0.3">
      <c r="A36" s="346"/>
      <c r="B36" s="372"/>
      <c r="C36" s="385" t="s">
        <v>443</v>
      </c>
      <c r="D36" s="376"/>
      <c r="E36" s="376"/>
      <c r="F36" s="376"/>
      <c r="G36" s="373"/>
      <c r="H36" s="373"/>
      <c r="I36" s="373"/>
      <c r="J36" s="373"/>
      <c r="K36" s="373"/>
      <c r="L36" s="374"/>
      <c r="M36" s="346"/>
      <c r="N36" s="346"/>
      <c r="O36" s="28"/>
      <c r="P36" s="29"/>
      <c r="Q36" s="29"/>
      <c r="R36" s="428" t="s">
        <v>8</v>
      </c>
      <c r="S36" s="29"/>
      <c r="T36" s="29"/>
      <c r="U36" s="29"/>
      <c r="V36" s="30"/>
      <c r="W36" s="348"/>
      <c r="X36" s="348"/>
      <c r="Y36" s="346"/>
      <c r="Z36" s="346"/>
      <c r="AA36" s="346"/>
      <c r="AB36" s="346"/>
      <c r="AC36" s="346"/>
      <c r="AD36" s="346"/>
    </row>
    <row r="37" spans="1:30" x14ac:dyDescent="0.3">
      <c r="A37" s="346"/>
      <c r="B37" s="380" t="s">
        <v>440</v>
      </c>
      <c r="C37" s="376"/>
      <c r="D37" s="376"/>
      <c r="E37" s="376"/>
      <c r="F37" s="376"/>
      <c r="G37" s="373"/>
      <c r="H37" s="373"/>
      <c r="I37" s="373"/>
      <c r="J37" s="373"/>
      <c r="K37" s="373"/>
      <c r="L37" s="374"/>
      <c r="M37" s="346"/>
      <c r="N37" s="346"/>
      <c r="O37" s="28"/>
      <c r="P37" s="35" t="s">
        <v>219</v>
      </c>
      <c r="Q37" s="29"/>
      <c r="R37" s="428"/>
      <c r="S37" s="29"/>
      <c r="T37" s="29"/>
      <c r="U37" s="29"/>
      <c r="V37" s="30"/>
      <c r="W37" s="348"/>
      <c r="X37" s="349" t="s">
        <v>223</v>
      </c>
      <c r="Y37" s="346"/>
      <c r="Z37" s="346"/>
      <c r="AA37" s="346"/>
      <c r="AB37" s="346"/>
      <c r="AC37" s="346"/>
      <c r="AD37" s="346"/>
    </row>
    <row r="38" spans="1:30" x14ac:dyDescent="0.3">
      <c r="A38" s="346"/>
      <c r="B38" s="380" t="s">
        <v>441</v>
      </c>
      <c r="C38" s="376"/>
      <c r="D38" s="376"/>
      <c r="E38" s="376"/>
      <c r="F38" s="376"/>
      <c r="G38" s="373"/>
      <c r="H38" s="373"/>
      <c r="I38" s="373"/>
      <c r="J38" s="373"/>
      <c r="K38" s="373"/>
      <c r="L38" s="374"/>
      <c r="M38" s="346"/>
      <c r="N38" s="346"/>
      <c r="O38" s="28"/>
      <c r="P38" s="29"/>
      <c r="Q38" s="29"/>
      <c r="R38" s="428"/>
      <c r="S38" s="29"/>
      <c r="T38" s="29"/>
      <c r="U38" s="29"/>
      <c r="V38" s="30"/>
      <c r="W38" s="348"/>
      <c r="X38" s="348"/>
      <c r="Y38" s="346"/>
      <c r="Z38" s="346"/>
      <c r="AA38" s="346"/>
      <c r="AB38" s="346"/>
      <c r="AC38" s="346"/>
      <c r="AD38" s="346"/>
    </row>
    <row r="39" spans="1:30" x14ac:dyDescent="0.3">
      <c r="A39" s="346"/>
      <c r="B39" s="372"/>
      <c r="C39" s="373"/>
      <c r="D39" s="373"/>
      <c r="E39" s="373"/>
      <c r="F39" s="373"/>
      <c r="G39" s="373"/>
      <c r="H39" s="373"/>
      <c r="I39" s="373"/>
      <c r="J39" s="373"/>
      <c r="K39" s="373"/>
      <c r="L39" s="374"/>
      <c r="M39" s="346"/>
      <c r="N39" s="346"/>
      <c r="O39" s="32"/>
      <c r="P39" s="33"/>
      <c r="Q39" s="33"/>
      <c r="R39" s="33"/>
      <c r="S39" s="33"/>
      <c r="T39" s="33"/>
      <c r="U39" s="33"/>
      <c r="V39" s="34"/>
      <c r="W39" s="348"/>
      <c r="X39" s="348"/>
      <c r="Y39" s="346"/>
      <c r="Z39" s="346"/>
      <c r="AA39" s="346"/>
      <c r="AB39" s="346"/>
      <c r="AC39" s="346"/>
      <c r="AD39" s="346"/>
    </row>
    <row r="40" spans="1:30" x14ac:dyDescent="0.3">
      <c r="A40" s="346"/>
      <c r="B40" s="386" t="s">
        <v>448</v>
      </c>
      <c r="C40" s="373"/>
      <c r="D40" s="373"/>
      <c r="E40" s="373"/>
      <c r="F40" s="373"/>
      <c r="G40" s="373"/>
      <c r="H40" s="373"/>
      <c r="I40" s="373"/>
      <c r="J40" s="373"/>
      <c r="K40" s="373"/>
      <c r="L40" s="374"/>
      <c r="M40" s="346"/>
      <c r="N40" s="346"/>
      <c r="O40" s="346"/>
      <c r="P40" s="346"/>
      <c r="Q40" s="346"/>
      <c r="R40" s="346"/>
      <c r="S40" s="346"/>
      <c r="T40" s="346"/>
      <c r="U40" s="346"/>
      <c r="V40" s="346"/>
      <c r="W40" s="346"/>
      <c r="X40" s="346"/>
      <c r="Y40" s="346"/>
      <c r="Z40" s="346"/>
      <c r="AA40" s="346"/>
      <c r="AB40" s="346"/>
      <c r="AC40" s="346"/>
      <c r="AD40" s="346"/>
    </row>
    <row r="41" spans="1:30" x14ac:dyDescent="0.3">
      <c r="A41" s="346"/>
      <c r="B41" s="380" t="s">
        <v>449</v>
      </c>
      <c r="C41" s="373"/>
      <c r="D41" s="373"/>
      <c r="E41" s="373"/>
      <c r="F41" s="373"/>
      <c r="G41" s="373"/>
      <c r="H41" s="373"/>
      <c r="I41" s="373"/>
      <c r="J41" s="373"/>
      <c r="K41" s="373"/>
      <c r="L41" s="374"/>
      <c r="M41" s="346"/>
      <c r="N41" s="346"/>
      <c r="O41" s="346"/>
      <c r="P41" s="346"/>
      <c r="Q41" s="346"/>
      <c r="R41" s="346"/>
      <c r="S41" s="346"/>
      <c r="T41" s="346"/>
      <c r="U41" s="346"/>
      <c r="V41" s="346"/>
      <c r="W41" s="346"/>
      <c r="X41" s="346"/>
      <c r="Y41" s="346"/>
      <c r="Z41" s="346"/>
      <c r="AA41" s="346"/>
      <c r="AB41" s="346"/>
      <c r="AC41" s="346"/>
      <c r="AD41" s="346"/>
    </row>
    <row r="42" spans="1:30" x14ac:dyDescent="0.3">
      <c r="A42" s="346"/>
      <c r="B42" s="372"/>
      <c r="C42" s="373"/>
      <c r="D42" s="373"/>
      <c r="E42" s="373"/>
      <c r="F42" s="373"/>
      <c r="G42" s="373"/>
      <c r="H42" s="373"/>
      <c r="I42" s="373"/>
      <c r="J42" s="373"/>
      <c r="K42" s="373"/>
      <c r="L42" s="374"/>
      <c r="M42" s="346"/>
      <c r="N42" s="346"/>
      <c r="O42" s="346"/>
      <c r="P42" s="346"/>
      <c r="Q42" s="346"/>
      <c r="R42" s="346"/>
      <c r="S42" s="346"/>
      <c r="T42" s="346"/>
      <c r="U42" s="346"/>
      <c r="V42" s="346"/>
      <c r="W42" s="346"/>
      <c r="X42" s="346"/>
      <c r="Y42" s="346"/>
      <c r="Z42" s="346"/>
      <c r="AA42" s="346"/>
      <c r="AB42" s="346"/>
      <c r="AC42" s="346"/>
      <c r="AD42" s="346"/>
    </row>
    <row r="43" spans="1:30" x14ac:dyDescent="0.3">
      <c r="A43" s="346"/>
      <c r="B43" s="378" t="s">
        <v>450</v>
      </c>
      <c r="C43" s="373"/>
      <c r="D43" s="373"/>
      <c r="E43" s="373"/>
      <c r="F43" s="373"/>
      <c r="G43" s="373"/>
      <c r="H43" s="373"/>
      <c r="I43" s="373"/>
      <c r="J43" s="373"/>
      <c r="K43" s="373"/>
      <c r="L43" s="374"/>
      <c r="M43" s="346"/>
      <c r="N43" s="346"/>
      <c r="O43" s="346"/>
      <c r="P43" s="346"/>
      <c r="Q43" s="346"/>
      <c r="R43" s="346"/>
      <c r="S43" s="346"/>
      <c r="T43" s="346"/>
      <c r="U43" s="346"/>
      <c r="V43" s="346"/>
      <c r="W43" s="346"/>
      <c r="X43" s="346"/>
      <c r="Y43" s="346"/>
      <c r="Z43" s="346"/>
      <c r="AA43" s="346"/>
      <c r="AB43" s="346"/>
      <c r="AC43" s="346"/>
      <c r="AD43" s="346"/>
    </row>
    <row r="44" spans="1:30" x14ac:dyDescent="0.3">
      <c r="A44" s="346"/>
      <c r="B44" s="380" t="s">
        <v>451</v>
      </c>
      <c r="C44" s="373"/>
      <c r="D44" s="373"/>
      <c r="E44" s="373"/>
      <c r="F44" s="373"/>
      <c r="G44" s="373"/>
      <c r="H44" s="373"/>
      <c r="I44" s="373"/>
      <c r="J44" s="373"/>
      <c r="K44" s="373"/>
      <c r="L44" s="374"/>
      <c r="M44" s="346"/>
      <c r="N44" s="346"/>
      <c r="O44" s="346"/>
      <c r="P44" s="346"/>
      <c r="Q44" s="346"/>
      <c r="R44" s="346"/>
      <c r="S44" s="346"/>
      <c r="T44" s="346"/>
      <c r="U44" s="346"/>
      <c r="V44" s="346"/>
      <c r="W44" s="346"/>
      <c r="X44" s="346"/>
      <c r="Y44" s="346"/>
      <c r="Z44" s="346"/>
      <c r="AA44" s="346"/>
      <c r="AB44" s="346"/>
      <c r="AC44" s="346"/>
      <c r="AD44" s="346"/>
    </row>
    <row r="45" spans="1:30" x14ac:dyDescent="0.3">
      <c r="A45" s="346"/>
      <c r="B45" s="372"/>
      <c r="C45" s="384" t="s">
        <v>453</v>
      </c>
      <c r="D45" s="373"/>
      <c r="E45" s="373"/>
      <c r="F45" s="373"/>
      <c r="G45" s="373"/>
      <c r="H45" s="373"/>
      <c r="I45" s="373"/>
      <c r="J45" s="373"/>
      <c r="K45" s="373"/>
      <c r="L45" s="374"/>
      <c r="M45" s="346"/>
      <c r="N45" s="346"/>
      <c r="O45" s="346"/>
      <c r="P45" s="346"/>
      <c r="Q45" s="346"/>
      <c r="R45" s="346"/>
      <c r="S45" s="346"/>
      <c r="T45" s="346"/>
      <c r="U45" s="346"/>
      <c r="V45" s="346"/>
      <c r="W45" s="346"/>
      <c r="X45" s="346"/>
      <c r="Y45" s="346"/>
      <c r="Z45" s="346"/>
      <c r="AA45" s="346"/>
      <c r="AB45" s="346"/>
      <c r="AC45" s="346"/>
      <c r="AD45" s="346"/>
    </row>
    <row r="46" spans="1:30" x14ac:dyDescent="0.3">
      <c r="A46" s="346"/>
      <c r="B46" s="372"/>
      <c r="C46" s="384" t="s">
        <v>454</v>
      </c>
      <c r="D46" s="373"/>
      <c r="E46" s="373"/>
      <c r="F46" s="373"/>
      <c r="G46" s="373"/>
      <c r="H46" s="373"/>
      <c r="I46" s="373"/>
      <c r="J46" s="373"/>
      <c r="K46" s="373"/>
      <c r="L46" s="374"/>
      <c r="M46" s="346"/>
      <c r="N46" s="346"/>
      <c r="O46" s="346"/>
      <c r="P46" s="346"/>
      <c r="Q46" s="346"/>
      <c r="R46" s="346"/>
      <c r="S46" s="346"/>
      <c r="T46" s="346"/>
      <c r="U46" s="346"/>
      <c r="V46" s="346"/>
      <c r="W46" s="346"/>
      <c r="X46" s="346"/>
      <c r="Y46" s="346"/>
      <c r="Z46" s="346"/>
      <c r="AA46" s="346"/>
      <c r="AB46" s="346"/>
      <c r="AC46" s="346"/>
      <c r="AD46" s="346"/>
    </row>
    <row r="47" spans="1:30" x14ac:dyDescent="0.3">
      <c r="A47" s="346"/>
      <c r="B47" s="387"/>
      <c r="C47" s="384" t="s">
        <v>455</v>
      </c>
      <c r="D47" s="388"/>
      <c r="E47" s="388"/>
      <c r="F47" s="388"/>
      <c r="G47" s="388"/>
      <c r="H47" s="388"/>
      <c r="I47" s="388"/>
      <c r="J47" s="388"/>
      <c r="K47" s="388"/>
      <c r="L47" s="389"/>
      <c r="M47" s="346"/>
      <c r="N47" s="346"/>
      <c r="O47" s="346"/>
      <c r="P47" s="346"/>
      <c r="Q47" s="346"/>
      <c r="R47" s="346"/>
      <c r="S47" s="346"/>
      <c r="T47" s="346"/>
      <c r="U47" s="346"/>
      <c r="V47" s="346"/>
      <c r="W47" s="346"/>
      <c r="X47" s="346"/>
      <c r="Y47" s="346"/>
      <c r="Z47" s="346"/>
      <c r="AA47" s="346"/>
      <c r="AB47" s="346"/>
      <c r="AC47" s="346"/>
      <c r="AD47" s="346"/>
    </row>
    <row r="48" spans="1:30" ht="15.75" thickBot="1" x14ac:dyDescent="0.35">
      <c r="A48" s="346"/>
      <c r="B48" s="390"/>
      <c r="C48" s="391"/>
      <c r="D48" s="391"/>
      <c r="E48" s="391"/>
      <c r="F48" s="391"/>
      <c r="G48" s="392"/>
      <c r="H48" s="392"/>
      <c r="I48" s="392"/>
      <c r="J48" s="392"/>
      <c r="K48" s="392"/>
      <c r="L48" s="393"/>
      <c r="M48" s="346"/>
      <c r="N48" s="346"/>
      <c r="O48" s="346"/>
      <c r="P48" s="346"/>
      <c r="Q48" s="346"/>
      <c r="R48" s="346"/>
      <c r="S48" s="346"/>
      <c r="T48" s="346"/>
      <c r="U48" s="346"/>
      <c r="V48" s="346"/>
      <c r="W48" s="346"/>
      <c r="X48" s="346"/>
      <c r="Y48" s="346"/>
      <c r="Z48" s="346"/>
      <c r="AA48" s="346"/>
      <c r="AB48" s="346"/>
      <c r="AC48" s="346"/>
      <c r="AD48" s="346"/>
    </row>
    <row r="49" spans="1:30" x14ac:dyDescent="0.3">
      <c r="A49" s="346"/>
      <c r="B49" s="346"/>
      <c r="C49" s="346"/>
      <c r="D49" s="346"/>
      <c r="E49" s="346"/>
      <c r="F49" s="346"/>
      <c r="G49" s="346"/>
      <c r="H49" s="346"/>
      <c r="I49" s="346"/>
      <c r="J49" s="346"/>
      <c r="K49" s="346"/>
      <c r="L49" s="346"/>
      <c r="M49" s="346"/>
      <c r="N49" s="346"/>
      <c r="O49" s="346"/>
      <c r="P49" s="346"/>
      <c r="Q49" s="346"/>
      <c r="R49" s="346"/>
      <c r="S49" s="346"/>
      <c r="T49" s="346"/>
      <c r="U49" s="346"/>
      <c r="V49" s="346"/>
      <c r="W49" s="346"/>
      <c r="X49" s="346"/>
      <c r="Y49" s="346"/>
      <c r="Z49" s="346"/>
      <c r="AA49" s="346"/>
      <c r="AB49" s="346"/>
      <c r="AC49" s="346"/>
      <c r="AD49" s="346"/>
    </row>
    <row r="50" spans="1:30" x14ac:dyDescent="0.3">
      <c r="A50" s="346"/>
      <c r="B50" s="346"/>
      <c r="C50" s="346"/>
      <c r="D50" s="346"/>
      <c r="E50" s="346"/>
      <c r="F50" s="346"/>
      <c r="G50" s="346"/>
      <c r="H50" s="346"/>
      <c r="I50" s="346"/>
      <c r="J50" s="346"/>
      <c r="K50" s="346"/>
      <c r="L50" s="346"/>
      <c r="M50" s="346"/>
      <c r="N50" s="346"/>
      <c r="O50" s="346"/>
      <c r="P50" s="346"/>
      <c r="Q50" s="346"/>
      <c r="R50" s="346"/>
      <c r="S50" s="346"/>
      <c r="T50" s="346"/>
      <c r="U50" s="346"/>
      <c r="V50" s="346"/>
      <c r="W50" s="346"/>
      <c r="X50" s="346"/>
      <c r="Y50" s="346"/>
      <c r="Z50" s="346"/>
      <c r="AA50" s="346"/>
      <c r="AB50" s="346"/>
      <c r="AC50" s="346"/>
      <c r="AD50" s="346"/>
    </row>
    <row r="51" spans="1:30" x14ac:dyDescent="0.3">
      <c r="A51" s="346"/>
      <c r="B51" s="346"/>
      <c r="C51" s="346"/>
      <c r="D51" s="346"/>
      <c r="E51" s="346"/>
      <c r="F51" s="346"/>
      <c r="G51" s="346"/>
      <c r="H51" s="346"/>
      <c r="I51" s="346"/>
      <c r="J51" s="346"/>
      <c r="K51" s="346"/>
      <c r="L51" s="346"/>
      <c r="M51" s="346"/>
      <c r="N51" s="346"/>
      <c r="O51" s="346"/>
      <c r="P51" s="346"/>
      <c r="Q51" s="346"/>
      <c r="R51" s="346"/>
      <c r="S51" s="346"/>
      <c r="T51" s="346"/>
      <c r="U51" s="346"/>
      <c r="V51" s="346"/>
      <c r="W51" s="346"/>
      <c r="X51" s="346"/>
      <c r="Y51" s="346"/>
      <c r="Z51" s="346"/>
      <c r="AA51" s="346"/>
      <c r="AB51" s="346"/>
      <c r="AC51" s="346"/>
      <c r="AD51" s="346"/>
    </row>
    <row r="52" spans="1:30" x14ac:dyDescent="0.3">
      <c r="A52" s="346"/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6"/>
      <c r="O52" s="346"/>
      <c r="P52" s="346"/>
      <c r="Q52" s="346"/>
      <c r="R52" s="346"/>
      <c r="S52" s="346"/>
      <c r="T52" s="346"/>
      <c r="U52" s="346"/>
      <c r="V52" s="346"/>
      <c r="W52" s="346"/>
      <c r="X52" s="346"/>
      <c r="Y52" s="346"/>
      <c r="Z52" s="346"/>
      <c r="AA52" s="346"/>
      <c r="AB52" s="346"/>
      <c r="AC52" s="346"/>
      <c r="AD52" s="346"/>
    </row>
    <row r="53" spans="1:30" x14ac:dyDescent="0.3">
      <c r="A53" s="346"/>
      <c r="B53" s="346"/>
      <c r="C53" s="346"/>
      <c r="D53" s="346"/>
      <c r="E53" s="346"/>
      <c r="F53" s="346"/>
      <c r="G53" s="346"/>
      <c r="H53" s="346"/>
      <c r="I53" s="346"/>
      <c r="J53" s="346"/>
      <c r="K53" s="346"/>
      <c r="L53" s="346"/>
      <c r="M53" s="346"/>
      <c r="N53" s="346"/>
      <c r="O53" s="346"/>
      <c r="P53" s="346"/>
      <c r="Q53" s="346"/>
      <c r="R53" s="346"/>
      <c r="S53" s="346"/>
      <c r="T53" s="346"/>
      <c r="U53" s="346"/>
      <c r="V53" s="346"/>
      <c r="W53" s="346"/>
      <c r="X53" s="346"/>
      <c r="Y53" s="346"/>
      <c r="Z53" s="346"/>
      <c r="AA53" s="346"/>
      <c r="AB53" s="346"/>
      <c r="AC53" s="346"/>
      <c r="AD53" s="346"/>
    </row>
    <row r="54" spans="1:30" x14ac:dyDescent="0.3">
      <c r="A54" s="346"/>
      <c r="B54" s="346"/>
      <c r="C54" s="346"/>
      <c r="D54" s="346"/>
      <c r="E54" s="346"/>
      <c r="F54" s="346"/>
      <c r="G54" s="346"/>
      <c r="H54" s="346"/>
      <c r="I54" s="346"/>
      <c r="J54" s="346"/>
      <c r="K54" s="346"/>
      <c r="L54" s="346"/>
      <c r="M54" s="346"/>
      <c r="N54" s="346"/>
      <c r="O54" s="346"/>
      <c r="P54" s="346"/>
      <c r="Q54" s="346"/>
      <c r="R54" s="346"/>
      <c r="S54" s="346"/>
      <c r="T54" s="346"/>
      <c r="U54" s="346"/>
      <c r="V54" s="346"/>
      <c r="W54" s="346"/>
      <c r="X54" s="346"/>
      <c r="Y54" s="346"/>
      <c r="Z54" s="346"/>
      <c r="AA54" s="346"/>
      <c r="AB54" s="346"/>
      <c r="AC54" s="346"/>
      <c r="AD54" s="346"/>
    </row>
    <row r="55" spans="1:30" x14ac:dyDescent="0.3">
      <c r="A55" s="346"/>
      <c r="B55" s="346"/>
      <c r="C55" s="346"/>
      <c r="D55" s="346"/>
      <c r="E55" s="346"/>
      <c r="F55" s="346"/>
      <c r="G55" s="346"/>
      <c r="H55" s="346"/>
      <c r="I55" s="346"/>
      <c r="J55" s="346"/>
      <c r="K55" s="346"/>
      <c r="L55" s="346"/>
      <c r="M55" s="346"/>
      <c r="N55" s="346"/>
      <c r="O55" s="346"/>
      <c r="P55" s="346"/>
      <c r="Q55" s="346"/>
      <c r="R55" s="346"/>
      <c r="S55" s="346"/>
      <c r="T55" s="346"/>
      <c r="U55" s="346"/>
      <c r="V55" s="346"/>
      <c r="W55" s="346"/>
      <c r="X55" s="346"/>
      <c r="Y55" s="346"/>
      <c r="Z55" s="346"/>
      <c r="AA55" s="346"/>
      <c r="AB55" s="346"/>
      <c r="AC55" s="346"/>
      <c r="AD55" s="346"/>
    </row>
    <row r="56" spans="1:30" x14ac:dyDescent="0.3">
      <c r="A56" s="346"/>
      <c r="B56" s="346"/>
      <c r="C56" s="346"/>
      <c r="D56" s="346"/>
      <c r="E56" s="346"/>
      <c r="F56" s="346"/>
      <c r="G56" s="346"/>
      <c r="H56" s="346"/>
      <c r="I56" s="346"/>
      <c r="J56" s="346"/>
      <c r="K56" s="346"/>
      <c r="L56" s="346"/>
      <c r="M56" s="346"/>
      <c r="N56" s="346"/>
      <c r="O56" s="346"/>
      <c r="P56" s="346"/>
      <c r="Q56" s="346"/>
      <c r="R56" s="346"/>
      <c r="S56" s="346"/>
      <c r="T56" s="346"/>
      <c r="U56" s="346"/>
      <c r="V56" s="346"/>
      <c r="W56" s="346"/>
      <c r="X56" s="346"/>
      <c r="Y56" s="346"/>
      <c r="Z56" s="346"/>
      <c r="AA56" s="346"/>
      <c r="AB56" s="346"/>
      <c r="AC56" s="346"/>
      <c r="AD56" s="346"/>
    </row>
    <row r="57" spans="1:30" x14ac:dyDescent="0.3">
      <c r="A57" s="346"/>
      <c r="B57" s="346"/>
      <c r="C57" s="346"/>
      <c r="D57" s="346"/>
      <c r="E57" s="346"/>
      <c r="F57" s="346"/>
      <c r="G57" s="346"/>
      <c r="H57" s="346"/>
      <c r="I57" s="346"/>
      <c r="J57" s="346"/>
      <c r="K57" s="346"/>
      <c r="L57" s="346"/>
      <c r="M57" s="346"/>
      <c r="N57" s="346"/>
      <c r="O57" s="346"/>
      <c r="P57" s="346"/>
      <c r="Q57" s="346"/>
      <c r="R57" s="346"/>
      <c r="S57" s="346"/>
      <c r="T57" s="346"/>
      <c r="U57" s="346"/>
      <c r="V57" s="346"/>
      <c r="W57" s="346"/>
      <c r="X57" s="346"/>
      <c r="Y57" s="346"/>
      <c r="Z57" s="346"/>
      <c r="AA57" s="346"/>
      <c r="AB57" s="346"/>
      <c r="AC57" s="346"/>
      <c r="AD57" s="346"/>
    </row>
    <row r="58" spans="1:30" x14ac:dyDescent="0.3">
      <c r="A58" s="346"/>
      <c r="B58" s="346"/>
      <c r="C58" s="346"/>
      <c r="D58" s="346"/>
      <c r="E58" s="346"/>
      <c r="F58" s="346"/>
      <c r="G58" s="346"/>
      <c r="H58" s="346"/>
      <c r="I58" s="346"/>
      <c r="J58" s="346"/>
      <c r="K58" s="346"/>
      <c r="L58" s="346"/>
      <c r="M58" s="346"/>
      <c r="N58" s="346"/>
      <c r="O58" s="346"/>
      <c r="P58" s="346"/>
      <c r="Q58" s="346"/>
      <c r="R58" s="346"/>
      <c r="S58" s="346"/>
      <c r="T58" s="346"/>
      <c r="U58" s="346"/>
      <c r="V58" s="346"/>
      <c r="W58" s="346"/>
      <c r="X58" s="346"/>
      <c r="Y58" s="346"/>
      <c r="Z58" s="346"/>
      <c r="AA58" s="346"/>
      <c r="AB58" s="346"/>
      <c r="AC58" s="346"/>
      <c r="AD58" s="346"/>
    </row>
    <row r="59" spans="1:30" x14ac:dyDescent="0.3">
      <c r="A59" s="346"/>
      <c r="B59" s="346"/>
      <c r="C59" s="346"/>
      <c r="D59" s="346"/>
      <c r="E59" s="346"/>
      <c r="F59" s="346"/>
      <c r="G59" s="346"/>
      <c r="H59" s="346"/>
      <c r="I59" s="346"/>
      <c r="J59" s="346"/>
      <c r="K59" s="346"/>
      <c r="L59" s="346"/>
      <c r="M59" s="346"/>
      <c r="N59" s="346"/>
      <c r="O59" s="346"/>
      <c r="P59" s="346"/>
      <c r="Q59" s="346"/>
      <c r="R59" s="346"/>
      <c r="S59" s="346"/>
      <c r="T59" s="346"/>
      <c r="U59" s="346"/>
      <c r="V59" s="346"/>
      <c r="W59" s="346"/>
      <c r="X59" s="346"/>
      <c r="Y59" s="346"/>
      <c r="Z59" s="346"/>
      <c r="AA59" s="346"/>
      <c r="AB59" s="346"/>
      <c r="AC59" s="346"/>
      <c r="AD59" s="346"/>
    </row>
  </sheetData>
  <sheetProtection selectLockedCells="1" selectUnlockedCells="1"/>
  <mergeCells count="16">
    <mergeCell ref="B2:G4"/>
    <mergeCell ref="B5:I7"/>
    <mergeCell ref="R36:R38"/>
    <mergeCell ref="R14:R24"/>
    <mergeCell ref="T14:T16"/>
    <mergeCell ref="B13:L14"/>
    <mergeCell ref="C24:K25"/>
    <mergeCell ref="C21:K23"/>
    <mergeCell ref="C29:K32"/>
    <mergeCell ref="R32:R34"/>
    <mergeCell ref="T32:T34"/>
    <mergeCell ref="U14:U16"/>
    <mergeCell ref="P26:P27"/>
    <mergeCell ref="R26:R27"/>
    <mergeCell ref="P29:P30"/>
    <mergeCell ref="R29:R30"/>
  </mergeCells>
  <hyperlinks>
    <hyperlink ref="X19" location="Landbouw!A1" display="Landbouw"/>
    <hyperlink ref="X33" location="Bewerking1!A1" display="Bewerking1"/>
    <hyperlink ref="X28" location="Transport!A1" display="Transport"/>
    <hyperlink ref="X37" location="Productie!A1" display="Productie"/>
  </hyperlinks>
  <pageMargins left="0.78749999999999998" right="0.78749999999999998" top="1.0527777777777778" bottom="1.0527777777777778" header="0.78749999999999998" footer="0.78749999999999998"/>
  <pageSetup paperSize="9" orientation="portrait" useFirstPageNumber="1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0"/>
  <sheetViews>
    <sheetView zoomScale="85" zoomScaleNormal="85" workbookViewId="0">
      <selection activeCell="E18" sqref="E18"/>
    </sheetView>
  </sheetViews>
  <sheetFormatPr defaultRowHeight="15" x14ac:dyDescent="0.3"/>
  <cols>
    <col min="1" max="1" width="9.140625" style="328"/>
    <col min="2" max="3" width="3.7109375" style="328" customWidth="1"/>
    <col min="4" max="4" width="13.7109375" style="328" bestFit="1" customWidth="1"/>
    <col min="5" max="5" width="22" style="328" bestFit="1" customWidth="1"/>
    <col min="6" max="6" width="14" style="328" bestFit="1" customWidth="1"/>
    <col min="7" max="7" width="15.5703125" style="328" customWidth="1"/>
    <col min="8" max="8" width="12.140625" style="328" customWidth="1"/>
    <col min="9" max="9" width="3.5703125" style="328" customWidth="1"/>
    <col min="10" max="10" width="24" style="328" bestFit="1" customWidth="1"/>
    <col min="11" max="12" width="3.7109375" style="328" customWidth="1"/>
    <col min="13" max="16384" width="9.140625" style="328"/>
  </cols>
  <sheetData>
    <row r="1" spans="1:27" x14ac:dyDescent="0.3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  <c r="Z1" s="259"/>
      <c r="AA1" s="259"/>
    </row>
    <row r="2" spans="1:27" x14ac:dyDescent="0.3">
      <c r="A2" s="259"/>
      <c r="B2" s="327"/>
      <c r="C2" s="327"/>
      <c r="D2" s="327"/>
      <c r="E2" s="327"/>
      <c r="F2" s="327"/>
      <c r="G2" s="327"/>
      <c r="H2" s="327"/>
      <c r="I2" s="327"/>
      <c r="J2" s="327"/>
      <c r="K2" s="327"/>
      <c r="L2" s="327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  <c r="Z2" s="259"/>
      <c r="AA2" s="259"/>
    </row>
    <row r="3" spans="1:27" x14ac:dyDescent="0.3">
      <c r="A3" s="259"/>
      <c r="B3" s="327"/>
      <c r="C3" s="337"/>
      <c r="D3" s="337"/>
      <c r="E3" s="337"/>
      <c r="F3" s="337"/>
      <c r="G3" s="337"/>
      <c r="H3" s="337"/>
      <c r="I3" s="337"/>
      <c r="J3" s="337"/>
      <c r="K3" s="337"/>
      <c r="L3" s="327"/>
      <c r="M3" s="259"/>
      <c r="N3" s="259"/>
      <c r="O3" s="259"/>
      <c r="P3" s="259"/>
      <c r="Q3" s="259"/>
      <c r="R3" s="259"/>
      <c r="S3" s="259"/>
      <c r="T3" s="259"/>
      <c r="U3" s="259"/>
      <c r="V3" s="259"/>
      <c r="W3" s="259"/>
      <c r="X3" s="259"/>
      <c r="Y3" s="259"/>
      <c r="Z3" s="259"/>
      <c r="AA3" s="259"/>
    </row>
    <row r="4" spans="1:27" ht="15" customHeight="1" x14ac:dyDescent="0.3">
      <c r="A4" s="259"/>
      <c r="B4" s="327"/>
      <c r="C4" s="337"/>
      <c r="D4" s="436" t="s">
        <v>0</v>
      </c>
      <c r="E4" s="436" t="s">
        <v>1</v>
      </c>
      <c r="F4" s="436" t="s">
        <v>424</v>
      </c>
      <c r="G4" s="436" t="s">
        <v>458</v>
      </c>
      <c r="H4" s="436" t="s">
        <v>2</v>
      </c>
      <c r="I4" s="336"/>
      <c r="J4" s="436" t="s">
        <v>428</v>
      </c>
      <c r="K4" s="336"/>
      <c r="L4" s="327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259"/>
      <c r="AA4" s="259"/>
    </row>
    <row r="5" spans="1:27" x14ac:dyDescent="0.3">
      <c r="A5" s="259"/>
      <c r="B5" s="327"/>
      <c r="C5" s="337"/>
      <c r="D5" s="436"/>
      <c r="E5" s="436"/>
      <c r="F5" s="436"/>
      <c r="G5" s="436"/>
      <c r="H5" s="436"/>
      <c r="I5" s="336"/>
      <c r="J5" s="436"/>
      <c r="K5" s="336"/>
      <c r="L5" s="327"/>
      <c r="M5" s="259"/>
      <c r="N5" s="259"/>
      <c r="O5" s="259"/>
      <c r="P5" s="259"/>
      <c r="Q5" s="259"/>
      <c r="R5" s="259"/>
      <c r="S5" s="259"/>
      <c r="T5" s="259"/>
      <c r="U5" s="259"/>
      <c r="V5" s="259"/>
      <c r="W5" s="259"/>
      <c r="X5" s="259"/>
      <c r="Y5" s="259"/>
      <c r="Z5" s="259"/>
      <c r="AA5" s="259"/>
    </row>
    <row r="6" spans="1:27" x14ac:dyDescent="0.3">
      <c r="A6" s="259"/>
      <c r="B6" s="327"/>
      <c r="C6" s="337"/>
      <c r="D6" s="436"/>
      <c r="E6" s="436"/>
      <c r="F6" s="436"/>
      <c r="G6" s="436"/>
      <c r="H6" s="436"/>
      <c r="I6" s="336"/>
      <c r="J6" s="436"/>
      <c r="K6" s="336"/>
      <c r="L6" s="327"/>
      <c r="M6" s="259"/>
      <c r="N6" s="259"/>
      <c r="O6" s="259"/>
      <c r="P6" s="259"/>
      <c r="Q6" s="259"/>
      <c r="R6" s="259"/>
      <c r="S6" s="259"/>
      <c r="T6" s="259"/>
      <c r="U6" s="259"/>
      <c r="V6" s="259"/>
      <c r="W6" s="259"/>
      <c r="X6" s="259"/>
      <c r="Y6" s="259"/>
      <c r="Z6" s="259"/>
      <c r="AA6" s="259"/>
    </row>
    <row r="7" spans="1:27" x14ac:dyDescent="0.3">
      <c r="A7" s="259"/>
      <c r="B7" s="327"/>
      <c r="C7" s="337"/>
      <c r="D7" s="338"/>
      <c r="E7" s="338"/>
      <c r="F7" s="338"/>
      <c r="G7" s="436"/>
      <c r="H7" s="338"/>
      <c r="I7" s="336"/>
      <c r="J7" s="338"/>
      <c r="K7" s="336"/>
      <c r="L7" s="327"/>
      <c r="M7" s="259"/>
      <c r="N7" s="259"/>
      <c r="O7" s="259"/>
      <c r="P7" s="259"/>
      <c r="Q7" s="259"/>
      <c r="R7" s="259"/>
      <c r="S7" s="259"/>
      <c r="T7" s="259"/>
      <c r="U7" s="259"/>
      <c r="V7" s="259"/>
      <c r="W7" s="259"/>
      <c r="X7" s="259"/>
      <c r="Y7" s="259"/>
      <c r="Z7" s="259"/>
      <c r="AA7" s="259"/>
    </row>
    <row r="8" spans="1:27" x14ac:dyDescent="0.3">
      <c r="A8" s="259"/>
      <c r="B8" s="327"/>
      <c r="C8" s="337"/>
      <c r="D8" s="335" t="s">
        <v>3</v>
      </c>
      <c r="E8" s="335" t="str">
        <f>+'Allocatie en resultaat'!M11</f>
        <v>Teelt van tarwe</v>
      </c>
      <c r="F8" s="330">
        <f>Massabalans!H10</f>
        <v>5.4577377135651233</v>
      </c>
      <c r="G8" s="331">
        <f>+'Allocatie en resultaat'!I14</f>
        <v>1.6602037905222951</v>
      </c>
      <c r="H8" s="332">
        <f>+IF(E$18="economisch",'Allocatie en resultaat'!F14,'Allocatie en resultaat'!F15)</f>
        <v>0.68541444484198488</v>
      </c>
      <c r="I8" s="336"/>
      <c r="J8" s="330">
        <f>G8*H8</f>
        <v>1.1379276594053978</v>
      </c>
      <c r="K8" s="336"/>
      <c r="L8" s="327"/>
      <c r="M8" s="259"/>
      <c r="N8" s="259"/>
      <c r="O8" s="259"/>
      <c r="P8" s="259"/>
      <c r="Q8" s="259"/>
      <c r="R8" s="259"/>
      <c r="S8" s="259"/>
      <c r="T8" s="259"/>
      <c r="U8" s="259"/>
      <c r="V8" s="259"/>
      <c r="W8" s="259"/>
      <c r="X8" s="259"/>
      <c r="Y8" s="259"/>
      <c r="Z8" s="259"/>
      <c r="AA8" s="259"/>
    </row>
    <row r="9" spans="1:27" x14ac:dyDescent="0.3">
      <c r="A9" s="259"/>
      <c r="B9" s="327"/>
      <c r="C9" s="337"/>
      <c r="D9" s="335" t="s">
        <v>4</v>
      </c>
      <c r="E9" s="335" t="str">
        <f>+'Allocatie en resultaat'!M17</f>
        <v>Transport over weg</v>
      </c>
      <c r="F9" s="330">
        <f>+Massabalans!H10</f>
        <v>5.4577377135651233</v>
      </c>
      <c r="G9" s="331">
        <f>+'Allocatie en resultaat'!I17</f>
        <v>2.1747096788072941E-2</v>
      </c>
      <c r="H9" s="332">
        <f>+IF(E$18="economisch",'Allocatie en resultaat'!F17,'Allocatie en resultaat'!F18)</f>
        <v>0.68541444484198488</v>
      </c>
      <c r="I9" s="336"/>
      <c r="J9" s="330">
        <f>+G9*H9+J8</f>
        <v>1.1528334336773196</v>
      </c>
      <c r="K9" s="336"/>
      <c r="L9" s="327"/>
      <c r="M9" s="259"/>
      <c r="N9" s="259"/>
      <c r="O9" s="259"/>
      <c r="P9" s="259"/>
      <c r="Q9" s="259"/>
      <c r="R9" s="259"/>
      <c r="S9" s="259"/>
      <c r="T9" s="259"/>
      <c r="U9" s="259"/>
      <c r="V9" s="259"/>
      <c r="W9" s="259"/>
      <c r="X9" s="259"/>
      <c r="Y9" s="259"/>
      <c r="Z9" s="259"/>
      <c r="AA9" s="259"/>
    </row>
    <row r="10" spans="1:27" x14ac:dyDescent="0.3">
      <c r="A10" s="259"/>
      <c r="B10" s="327"/>
      <c r="C10" s="337"/>
      <c r="D10" s="335" t="s">
        <v>4</v>
      </c>
      <c r="E10" s="335" t="str">
        <f>+'Allocatie en resultaat'!M20</f>
        <v>Transport binnenvaart</v>
      </c>
      <c r="F10" s="330">
        <f>+Massabalans!H10</f>
        <v>5.4577377135651233</v>
      </c>
      <c r="G10" s="331">
        <f>+'Allocatie en resultaat'!I20</f>
        <v>6.5241290364218815E-2</v>
      </c>
      <c r="H10" s="332">
        <f>+IF(E$18="economisch",'Allocatie en resultaat'!F20,'Allocatie en resultaat'!F21)</f>
        <v>0.68541444484198488</v>
      </c>
      <c r="I10" s="336"/>
      <c r="J10" s="330">
        <f t="shared" ref="J10:J12" si="0">+G10*H10+J9</f>
        <v>1.1975507564930854</v>
      </c>
      <c r="K10" s="336"/>
      <c r="L10" s="327"/>
      <c r="M10" s="259"/>
      <c r="N10" s="259"/>
      <c r="O10" s="259"/>
      <c r="P10" s="259"/>
      <c r="Q10" s="259"/>
      <c r="R10" s="259"/>
      <c r="S10" s="259"/>
      <c r="T10" s="259"/>
      <c r="U10" s="259"/>
      <c r="V10" s="259"/>
      <c r="W10" s="259"/>
      <c r="X10" s="259"/>
      <c r="Y10" s="259"/>
      <c r="Z10" s="259"/>
      <c r="AA10" s="259"/>
    </row>
    <row r="11" spans="1:27" x14ac:dyDescent="0.3">
      <c r="A11" s="259"/>
      <c r="B11" s="327"/>
      <c r="C11" s="337"/>
      <c r="D11" s="335" t="s">
        <v>5</v>
      </c>
      <c r="E11" s="335" t="str">
        <f>+Overzicht!R32</f>
        <v>Ethanol productie</v>
      </c>
      <c r="F11" s="330">
        <f>Massabalans!H21</f>
        <v>1.6936671575846833</v>
      </c>
      <c r="G11" s="331">
        <f>+'Allocatie en resultaat'!I28</f>
        <v>0.4081622849779088</v>
      </c>
      <c r="H11" s="332">
        <f>+IF(E$18="economisch",'Allocatie en resultaat'!F28,'Allocatie en resultaat'!F29)</f>
        <v>0.68541444484198488</v>
      </c>
      <c r="I11" s="336"/>
      <c r="J11" s="330">
        <f t="shared" si="0"/>
        <v>1.4773110824566547</v>
      </c>
      <c r="K11" s="336"/>
      <c r="L11" s="327"/>
      <c r="M11" s="259"/>
      <c r="N11" s="259"/>
      <c r="O11" s="259"/>
      <c r="P11" s="259"/>
      <c r="Q11" s="259"/>
      <c r="R11" s="259"/>
      <c r="S11" s="259"/>
      <c r="T11" s="259"/>
      <c r="U11" s="259"/>
      <c r="V11" s="259"/>
      <c r="W11" s="259"/>
      <c r="X11" s="259"/>
      <c r="Y11" s="259"/>
      <c r="Z11" s="259"/>
      <c r="AA11" s="259"/>
    </row>
    <row r="12" spans="1:27" x14ac:dyDescent="0.3">
      <c r="A12" s="259"/>
      <c r="B12" s="327"/>
      <c r="C12" s="337"/>
      <c r="D12" s="335" t="s">
        <v>7</v>
      </c>
      <c r="E12" s="335" t="str">
        <f>+Overzicht!R36</f>
        <v>Etheen productie</v>
      </c>
      <c r="F12" s="330">
        <f>Productie!I2</f>
        <v>1</v>
      </c>
      <c r="G12" s="331">
        <f>+'Allocatie en resultaat'!I34</f>
        <v>0.24099321000000007</v>
      </c>
      <c r="H12" s="332">
        <f>+IF(E$18="economisch",'Allocatie en resultaat'!E33,'Allocatie en resultaat'!E34)</f>
        <v>1</v>
      </c>
      <c r="I12" s="336"/>
      <c r="J12" s="330">
        <f t="shared" si="0"/>
        <v>1.7183042924566547</v>
      </c>
      <c r="K12" s="336"/>
      <c r="L12" s="327"/>
      <c r="M12" s="259"/>
      <c r="N12" s="259"/>
      <c r="O12" s="259"/>
      <c r="P12" s="259"/>
      <c r="Q12" s="259"/>
      <c r="R12" s="259"/>
      <c r="S12" s="259"/>
      <c r="T12" s="259"/>
      <c r="U12" s="259"/>
      <c r="V12" s="259"/>
      <c r="W12" s="259"/>
      <c r="X12" s="259"/>
      <c r="Y12" s="259"/>
      <c r="Z12" s="259"/>
      <c r="AA12" s="259"/>
    </row>
    <row r="13" spans="1:27" x14ac:dyDescent="0.3">
      <c r="A13" s="259"/>
      <c r="B13" s="327"/>
      <c r="C13" s="337"/>
      <c r="D13" s="336"/>
      <c r="E13" s="336"/>
      <c r="F13" s="336"/>
      <c r="G13" s="336"/>
      <c r="H13" s="336"/>
      <c r="I13" s="336"/>
      <c r="J13" s="336"/>
      <c r="K13" s="336"/>
      <c r="L13" s="327"/>
      <c r="M13" s="259"/>
      <c r="N13" s="259"/>
      <c r="O13" s="259"/>
      <c r="P13" s="259"/>
      <c r="Q13" s="259"/>
      <c r="R13" s="259"/>
      <c r="S13" s="259"/>
      <c r="T13" s="259"/>
      <c r="U13" s="259"/>
      <c r="V13" s="259"/>
      <c r="W13" s="259"/>
      <c r="X13" s="259"/>
      <c r="Y13" s="259"/>
      <c r="Z13" s="259"/>
      <c r="AA13" s="259"/>
    </row>
    <row r="14" spans="1:27" x14ac:dyDescent="0.3">
      <c r="A14" s="259"/>
      <c r="B14" s="327"/>
      <c r="C14" s="337"/>
      <c r="D14" s="336"/>
      <c r="E14" s="336"/>
      <c r="F14" s="336"/>
      <c r="G14" s="336"/>
      <c r="H14" s="336"/>
      <c r="I14" s="336"/>
      <c r="J14" s="336"/>
      <c r="K14" s="336"/>
      <c r="L14" s="327"/>
      <c r="M14" s="259"/>
      <c r="N14" s="259"/>
      <c r="O14" s="259"/>
      <c r="P14" s="259"/>
      <c r="Q14" s="259"/>
      <c r="R14" s="259"/>
      <c r="S14" s="259"/>
      <c r="T14" s="259"/>
      <c r="U14" s="259"/>
      <c r="V14" s="259"/>
      <c r="W14" s="259"/>
      <c r="X14" s="259"/>
      <c r="Y14" s="259"/>
      <c r="Z14" s="259"/>
      <c r="AA14" s="259"/>
    </row>
    <row r="15" spans="1:27" ht="16.5" x14ac:dyDescent="0.35">
      <c r="A15" s="259"/>
      <c r="B15" s="333"/>
      <c r="C15" s="333"/>
      <c r="D15" s="333"/>
      <c r="E15" s="333"/>
      <c r="F15" s="333" t="s">
        <v>426</v>
      </c>
      <c r="G15" s="437" t="s">
        <v>427</v>
      </c>
      <c r="H15" s="437"/>
      <c r="I15" s="333"/>
      <c r="J15" s="334">
        <f>J12</f>
        <v>1.7183042924566547</v>
      </c>
      <c r="K15" s="333"/>
      <c r="L15" s="333"/>
      <c r="M15" s="259"/>
      <c r="N15" s="259"/>
      <c r="O15" s="259"/>
      <c r="P15" s="259"/>
      <c r="Q15" s="259"/>
      <c r="R15" s="259"/>
      <c r="S15" s="259"/>
      <c r="T15" s="259"/>
      <c r="U15" s="259"/>
      <c r="V15" s="259"/>
      <c r="W15" s="259"/>
      <c r="X15" s="259"/>
      <c r="Y15" s="259"/>
      <c r="Z15" s="259"/>
      <c r="AA15" s="259"/>
    </row>
    <row r="16" spans="1:27" x14ac:dyDescent="0.3">
      <c r="A16" s="259"/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N16" s="259"/>
      <c r="O16" s="259"/>
      <c r="P16" s="259"/>
      <c r="Q16" s="259"/>
      <c r="R16" s="259"/>
      <c r="S16" s="259"/>
      <c r="T16" s="259"/>
      <c r="U16" s="259"/>
      <c r="V16" s="259"/>
      <c r="W16" s="259"/>
      <c r="X16" s="259"/>
      <c r="Y16" s="259"/>
      <c r="Z16" s="259"/>
      <c r="AA16" s="259"/>
    </row>
    <row r="17" spans="1:27" x14ac:dyDescent="0.3">
      <c r="A17" s="259"/>
      <c r="B17" s="259"/>
      <c r="C17" s="259"/>
      <c r="D17" s="259"/>
      <c r="E17" s="259"/>
      <c r="F17" s="259"/>
      <c r="G17" s="259"/>
      <c r="H17" s="259"/>
      <c r="I17" s="259"/>
      <c r="J17" s="259"/>
      <c r="K17" s="259"/>
      <c r="L17" s="259"/>
      <c r="M17" s="259"/>
      <c r="N17" s="259"/>
      <c r="O17" s="259"/>
      <c r="P17" s="259"/>
      <c r="Q17" s="259"/>
      <c r="R17" s="259"/>
      <c r="S17" s="259"/>
      <c r="T17" s="259"/>
      <c r="U17" s="259"/>
      <c r="V17" s="259"/>
      <c r="W17" s="259"/>
      <c r="X17" s="259"/>
      <c r="Y17" s="259"/>
      <c r="Z17" s="259"/>
      <c r="AA17" s="259"/>
    </row>
    <row r="18" spans="1:27" x14ac:dyDescent="0.3">
      <c r="A18" s="259"/>
      <c r="B18" s="329" t="s">
        <v>9</v>
      </c>
      <c r="C18" s="329"/>
      <c r="E18" s="401" t="s">
        <v>457</v>
      </c>
      <c r="F18" s="259"/>
      <c r="G18" s="259"/>
      <c r="H18" s="259"/>
      <c r="I18" s="259"/>
      <c r="J18" s="259"/>
      <c r="K18" s="259"/>
      <c r="L18" s="259"/>
      <c r="M18" s="259"/>
      <c r="N18" s="259"/>
      <c r="O18" s="259"/>
      <c r="P18" s="259"/>
      <c r="Q18" s="259"/>
      <c r="R18" s="259"/>
      <c r="S18" s="259"/>
      <c r="T18" s="259"/>
      <c r="U18" s="259"/>
      <c r="V18" s="259"/>
      <c r="W18" s="259"/>
      <c r="X18" s="259"/>
      <c r="Y18" s="259"/>
      <c r="Z18" s="259"/>
      <c r="AA18" s="259"/>
    </row>
    <row r="19" spans="1:27" x14ac:dyDescent="0.3">
      <c r="A19" s="259"/>
      <c r="B19" s="259"/>
      <c r="C19" s="259"/>
      <c r="D19" s="259"/>
      <c r="E19" s="259"/>
      <c r="F19" s="259"/>
      <c r="G19" s="259"/>
      <c r="H19" s="259"/>
      <c r="I19" s="259"/>
      <c r="J19" s="259"/>
      <c r="K19" s="259"/>
      <c r="L19" s="259"/>
      <c r="M19" s="259"/>
      <c r="N19" s="259"/>
      <c r="O19" s="259"/>
      <c r="P19" s="259"/>
      <c r="Q19" s="259"/>
      <c r="R19" s="259"/>
      <c r="S19" s="259"/>
      <c r="T19" s="259"/>
      <c r="U19" s="259"/>
      <c r="V19" s="259"/>
      <c r="W19" s="259"/>
      <c r="X19" s="259"/>
      <c r="Y19" s="259"/>
      <c r="Z19" s="259"/>
      <c r="AA19" s="259"/>
    </row>
    <row r="20" spans="1:27" x14ac:dyDescent="0.3">
      <c r="A20" s="259"/>
      <c r="B20" s="259"/>
      <c r="C20" s="259"/>
      <c r="D20" s="259"/>
      <c r="E20" s="259"/>
      <c r="F20" s="259"/>
      <c r="G20" s="259"/>
      <c r="H20" s="259"/>
      <c r="I20" s="259"/>
      <c r="J20" s="259"/>
      <c r="K20" s="259"/>
      <c r="L20" s="259"/>
      <c r="M20" s="259"/>
      <c r="N20" s="259"/>
      <c r="O20" s="259"/>
      <c r="P20" s="259"/>
      <c r="Q20" s="259"/>
      <c r="R20" s="259"/>
      <c r="S20" s="259"/>
      <c r="T20" s="259"/>
      <c r="U20" s="259"/>
      <c r="V20" s="259"/>
      <c r="W20" s="259"/>
      <c r="X20" s="259"/>
      <c r="Y20" s="259"/>
      <c r="Z20" s="259"/>
      <c r="AA20" s="259"/>
    </row>
    <row r="21" spans="1:27" x14ac:dyDescent="0.3">
      <c r="A21" s="259"/>
      <c r="B21" s="259"/>
      <c r="C21" s="259"/>
      <c r="D21" s="259"/>
      <c r="E21" s="259"/>
      <c r="F21" s="259"/>
      <c r="G21" s="259"/>
      <c r="H21" s="259"/>
      <c r="I21" s="259"/>
      <c r="J21" s="259"/>
      <c r="K21" s="259"/>
      <c r="L21" s="259"/>
      <c r="M21" s="259"/>
      <c r="N21" s="259"/>
      <c r="O21" s="259"/>
      <c r="P21" s="259"/>
      <c r="Q21" s="259"/>
      <c r="R21" s="259"/>
      <c r="S21" s="259"/>
      <c r="T21" s="259"/>
      <c r="U21" s="259"/>
      <c r="V21" s="259"/>
      <c r="W21" s="259"/>
      <c r="X21" s="259"/>
      <c r="Y21" s="259"/>
      <c r="Z21" s="259"/>
      <c r="AA21" s="259"/>
    </row>
    <row r="22" spans="1:27" x14ac:dyDescent="0.3">
      <c r="A22" s="259"/>
      <c r="B22" s="259"/>
      <c r="C22" s="259"/>
      <c r="D22" s="259"/>
      <c r="E22" s="259"/>
      <c r="F22" s="259"/>
      <c r="G22" s="259"/>
      <c r="H22" s="259"/>
      <c r="I22" s="259"/>
      <c r="J22" s="259"/>
      <c r="K22" s="259"/>
      <c r="L22" s="259"/>
      <c r="M22" s="259"/>
      <c r="N22" s="259"/>
      <c r="O22" s="259"/>
      <c r="P22" s="259"/>
      <c r="Q22" s="259"/>
      <c r="R22" s="259"/>
      <c r="S22" s="259"/>
      <c r="T22" s="259"/>
      <c r="U22" s="259"/>
      <c r="V22" s="259"/>
      <c r="W22" s="259"/>
      <c r="X22" s="259"/>
      <c r="Y22" s="259"/>
      <c r="Z22" s="259"/>
      <c r="AA22" s="259"/>
    </row>
    <row r="23" spans="1:27" x14ac:dyDescent="0.3">
      <c r="A23" s="259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59"/>
      <c r="R23" s="259"/>
      <c r="S23" s="259"/>
      <c r="T23" s="259"/>
      <c r="U23" s="259"/>
      <c r="V23" s="259"/>
      <c r="W23" s="259"/>
      <c r="X23" s="259"/>
      <c r="Y23" s="259"/>
      <c r="Z23" s="259"/>
      <c r="AA23" s="259"/>
    </row>
    <row r="24" spans="1:27" x14ac:dyDescent="0.3">
      <c r="A24" s="259"/>
      <c r="B24" s="259"/>
      <c r="C24" s="259"/>
      <c r="D24" s="259"/>
      <c r="E24" s="259"/>
      <c r="F24" s="259"/>
      <c r="G24" s="259"/>
      <c r="H24" s="259"/>
      <c r="I24" s="259"/>
      <c r="J24" s="259"/>
      <c r="K24" s="259"/>
      <c r="L24" s="259"/>
      <c r="M24" s="259"/>
      <c r="N24" s="259"/>
      <c r="O24" s="259"/>
      <c r="P24" s="259"/>
      <c r="Q24" s="259"/>
      <c r="R24" s="259"/>
      <c r="S24" s="259"/>
      <c r="T24" s="259"/>
      <c r="U24" s="259"/>
      <c r="V24" s="259"/>
      <c r="W24" s="259"/>
      <c r="X24" s="259"/>
      <c r="Y24" s="259"/>
      <c r="Z24" s="259"/>
      <c r="AA24" s="259"/>
    </row>
    <row r="25" spans="1:27" x14ac:dyDescent="0.3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  <c r="Z25" s="259"/>
      <c r="AA25" s="259"/>
    </row>
    <row r="26" spans="1:27" x14ac:dyDescent="0.3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  <c r="Z26" s="259"/>
      <c r="AA26" s="259"/>
    </row>
    <row r="27" spans="1:27" x14ac:dyDescent="0.3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  <c r="Z27" s="259"/>
      <c r="AA27" s="259"/>
    </row>
    <row r="28" spans="1:27" x14ac:dyDescent="0.3">
      <c r="A28" s="25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  <c r="Z28" s="259"/>
      <c r="AA28" s="259"/>
    </row>
    <row r="29" spans="1:27" x14ac:dyDescent="0.3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  <c r="Z29" s="259"/>
      <c r="AA29" s="259"/>
    </row>
    <row r="30" spans="1:27" x14ac:dyDescent="0.3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  <c r="Z30" s="259"/>
      <c r="AA30" s="259"/>
    </row>
    <row r="31" spans="1:27" x14ac:dyDescent="0.3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  <c r="Z31" s="259"/>
      <c r="AA31" s="259"/>
    </row>
    <row r="32" spans="1:27" x14ac:dyDescent="0.3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  <c r="Z32" s="259"/>
      <c r="AA32" s="259"/>
    </row>
    <row r="33" spans="1:27" x14ac:dyDescent="0.3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  <c r="Z33" s="259"/>
      <c r="AA33" s="259"/>
    </row>
    <row r="34" spans="1:27" x14ac:dyDescent="0.3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  <c r="Z34" s="259"/>
      <c r="AA34" s="259"/>
    </row>
    <row r="35" spans="1:27" x14ac:dyDescent="0.3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  <c r="Z35" s="259"/>
      <c r="AA35" s="259"/>
    </row>
    <row r="36" spans="1:27" x14ac:dyDescent="0.3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  <c r="Z36" s="259"/>
      <c r="AA36" s="259"/>
    </row>
    <row r="37" spans="1:27" x14ac:dyDescent="0.3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  <c r="U37" s="259"/>
      <c r="V37" s="259"/>
      <c r="W37" s="259"/>
      <c r="X37" s="259"/>
      <c r="Y37" s="259"/>
      <c r="Z37" s="259"/>
      <c r="AA37" s="259"/>
    </row>
    <row r="38" spans="1:27" x14ac:dyDescent="0.3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  <c r="U38" s="259"/>
      <c r="V38" s="259"/>
      <c r="W38" s="259"/>
      <c r="X38" s="259"/>
      <c r="Y38" s="259"/>
      <c r="Z38" s="259"/>
      <c r="AA38" s="259"/>
    </row>
    <row r="39" spans="1:27" x14ac:dyDescent="0.3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  <c r="U39" s="259"/>
      <c r="V39" s="259"/>
      <c r="W39" s="259"/>
      <c r="X39" s="259"/>
      <c r="Y39" s="259"/>
      <c r="Z39" s="259"/>
      <c r="AA39" s="259"/>
    </row>
    <row r="40" spans="1:27" x14ac:dyDescent="0.3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  <c r="U40" s="259"/>
      <c r="V40" s="259"/>
      <c r="W40" s="259"/>
      <c r="X40" s="259"/>
      <c r="Y40" s="259"/>
      <c r="Z40" s="259"/>
      <c r="AA40" s="259"/>
    </row>
    <row r="41" spans="1:27" x14ac:dyDescent="0.3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  <c r="U41" s="259"/>
      <c r="V41" s="259"/>
      <c r="W41" s="259"/>
      <c r="X41" s="259"/>
      <c r="Y41" s="259"/>
      <c r="Z41" s="259"/>
      <c r="AA41" s="259"/>
    </row>
    <row r="42" spans="1:27" x14ac:dyDescent="0.3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  <c r="U42" s="259"/>
      <c r="V42" s="259"/>
      <c r="W42" s="259"/>
      <c r="X42" s="259"/>
      <c r="Y42" s="259"/>
      <c r="Z42" s="259"/>
      <c r="AA42" s="259"/>
    </row>
    <row r="43" spans="1:27" x14ac:dyDescent="0.3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  <c r="U43" s="259"/>
      <c r="V43" s="259"/>
      <c r="W43" s="259"/>
      <c r="X43" s="259"/>
      <c r="Y43" s="259"/>
      <c r="Z43" s="259"/>
      <c r="AA43" s="259"/>
    </row>
    <row r="44" spans="1:27" x14ac:dyDescent="0.3">
      <c r="A44" s="259"/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N44" s="259"/>
      <c r="O44" s="259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259"/>
      <c r="AA44" s="259"/>
    </row>
    <row r="45" spans="1:27" x14ac:dyDescent="0.3">
      <c r="A45" s="259"/>
      <c r="B45" s="259"/>
      <c r="C45" s="259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59"/>
      <c r="U45" s="259"/>
      <c r="V45" s="259"/>
      <c r="W45" s="259"/>
      <c r="X45" s="259"/>
      <c r="Y45" s="259"/>
      <c r="Z45" s="259"/>
      <c r="AA45" s="259"/>
    </row>
    <row r="46" spans="1:27" x14ac:dyDescent="0.3">
      <c r="A46" s="259"/>
      <c r="B46" s="259"/>
      <c r="C46" s="259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59"/>
      <c r="O46" s="259"/>
      <c r="P46" s="259"/>
      <c r="Q46" s="259"/>
      <c r="R46" s="259"/>
      <c r="S46" s="259"/>
      <c r="T46" s="259"/>
      <c r="U46" s="259"/>
      <c r="V46" s="259"/>
      <c r="W46" s="259"/>
      <c r="X46" s="259"/>
      <c r="Y46" s="259"/>
      <c r="Z46" s="259"/>
      <c r="AA46" s="259"/>
    </row>
    <row r="47" spans="1:27" x14ac:dyDescent="0.3">
      <c r="A47" s="259"/>
      <c r="B47" s="259"/>
      <c r="C47" s="259"/>
      <c r="D47" s="259"/>
      <c r="E47" s="259"/>
      <c r="F47" s="259"/>
      <c r="G47" s="259"/>
      <c r="H47" s="259"/>
      <c r="I47" s="259"/>
      <c r="J47" s="259"/>
      <c r="K47" s="259"/>
      <c r="L47" s="259"/>
      <c r="M47" s="259"/>
      <c r="N47" s="259"/>
      <c r="O47" s="259"/>
      <c r="P47" s="259"/>
      <c r="Q47" s="259"/>
      <c r="R47" s="259"/>
      <c r="S47" s="259"/>
      <c r="T47" s="259"/>
      <c r="U47" s="259"/>
      <c r="V47" s="259"/>
      <c r="W47" s="259"/>
      <c r="X47" s="259"/>
      <c r="Y47" s="259"/>
      <c r="Z47" s="259"/>
      <c r="AA47" s="259"/>
    </row>
    <row r="48" spans="1:27" x14ac:dyDescent="0.3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  <c r="T48" s="259"/>
      <c r="U48" s="259"/>
      <c r="V48" s="259"/>
      <c r="W48" s="259"/>
      <c r="X48" s="259"/>
      <c r="Y48" s="259"/>
      <c r="Z48" s="259"/>
      <c r="AA48" s="259"/>
    </row>
    <row r="49" spans="1:27" x14ac:dyDescent="0.3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  <c r="T49" s="259"/>
      <c r="U49" s="259"/>
      <c r="V49" s="259"/>
      <c r="W49" s="259"/>
      <c r="X49" s="259"/>
      <c r="Y49" s="259"/>
      <c r="Z49" s="259"/>
      <c r="AA49" s="259"/>
    </row>
    <row r="50" spans="1:27" x14ac:dyDescent="0.3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  <c r="T50" s="259"/>
      <c r="U50" s="259"/>
      <c r="V50" s="259"/>
      <c r="W50" s="259"/>
      <c r="X50" s="259"/>
      <c r="Y50" s="259"/>
      <c r="Z50" s="259"/>
      <c r="AA50" s="259"/>
    </row>
    <row r="51" spans="1:27" x14ac:dyDescent="0.3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259"/>
      <c r="AA51" s="259"/>
    </row>
    <row r="52" spans="1:27" x14ac:dyDescent="0.3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  <c r="T52" s="259"/>
      <c r="U52" s="259"/>
      <c r="V52" s="259"/>
      <c r="W52" s="259"/>
      <c r="X52" s="259"/>
      <c r="Y52" s="259"/>
      <c r="Z52" s="259"/>
      <c r="AA52" s="259"/>
    </row>
    <row r="53" spans="1:27" x14ac:dyDescent="0.3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  <c r="T53" s="259"/>
      <c r="U53" s="259"/>
      <c r="V53" s="259"/>
      <c r="W53" s="259"/>
      <c r="X53" s="259"/>
      <c r="Y53" s="259"/>
      <c r="Z53" s="259"/>
      <c r="AA53" s="259"/>
    </row>
    <row r="54" spans="1:27" x14ac:dyDescent="0.3">
      <c r="A54" s="259"/>
      <c r="B54" s="259"/>
      <c r="C54" s="259"/>
      <c r="D54" s="259"/>
      <c r="E54" s="259"/>
      <c r="F54" s="259"/>
      <c r="G54" s="259"/>
      <c r="H54" s="259"/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</row>
    <row r="55" spans="1:27" x14ac:dyDescent="0.3">
      <c r="A55" s="259"/>
      <c r="B55" s="259"/>
      <c r="C55" s="259"/>
      <c r="D55" s="259"/>
      <c r="E55" s="259"/>
      <c r="F55" s="259"/>
      <c r="G55" s="259"/>
      <c r="H55" s="259"/>
      <c r="I55" s="259"/>
      <c r="J55" s="259"/>
      <c r="K55" s="259"/>
      <c r="L55" s="259"/>
      <c r="M55" s="259"/>
      <c r="N55" s="259"/>
      <c r="O55" s="259"/>
      <c r="P55" s="259"/>
      <c r="Q55" s="259"/>
      <c r="R55" s="259"/>
      <c r="S55" s="259"/>
      <c r="T55" s="259"/>
      <c r="U55" s="259"/>
      <c r="V55" s="259"/>
      <c r="W55" s="259"/>
      <c r="X55" s="259"/>
      <c r="Y55" s="259"/>
      <c r="Z55" s="259"/>
      <c r="AA55" s="259"/>
    </row>
    <row r="56" spans="1:27" x14ac:dyDescent="0.3">
      <c r="A56" s="259"/>
      <c r="B56" s="259"/>
      <c r="C56" s="259"/>
      <c r="D56" s="259"/>
      <c r="E56" s="259"/>
      <c r="F56" s="259"/>
      <c r="G56" s="259"/>
      <c r="H56" s="259"/>
      <c r="I56" s="259"/>
      <c r="J56" s="259"/>
      <c r="K56" s="259"/>
      <c r="L56" s="259"/>
      <c r="M56" s="259"/>
      <c r="N56" s="259"/>
      <c r="O56" s="259"/>
      <c r="P56" s="259"/>
      <c r="Q56" s="259"/>
      <c r="R56" s="259"/>
      <c r="S56" s="259"/>
      <c r="T56" s="259"/>
      <c r="U56" s="259"/>
      <c r="V56" s="259"/>
      <c r="W56" s="259"/>
      <c r="X56" s="259"/>
      <c r="Y56" s="259"/>
      <c r="Z56" s="259"/>
      <c r="AA56" s="259"/>
    </row>
    <row r="57" spans="1:27" x14ac:dyDescent="0.3">
      <c r="A57" s="259"/>
      <c r="B57" s="259"/>
      <c r="C57" s="259"/>
      <c r="D57" s="259"/>
      <c r="E57" s="259"/>
      <c r="F57" s="259"/>
      <c r="G57" s="259"/>
      <c r="H57" s="259"/>
      <c r="I57" s="259"/>
      <c r="J57" s="259"/>
      <c r="K57" s="259"/>
      <c r="L57" s="259"/>
      <c r="M57" s="259"/>
      <c r="N57" s="259"/>
      <c r="O57" s="259"/>
      <c r="P57" s="259"/>
      <c r="Q57" s="259"/>
      <c r="R57" s="259"/>
      <c r="S57" s="259"/>
      <c r="T57" s="259"/>
      <c r="U57" s="259"/>
      <c r="V57" s="259"/>
      <c r="W57" s="259"/>
      <c r="X57" s="259"/>
      <c r="Y57" s="259"/>
      <c r="Z57" s="259"/>
      <c r="AA57" s="259"/>
    </row>
    <row r="58" spans="1:27" x14ac:dyDescent="0.3">
      <c r="A58" s="259"/>
      <c r="B58" s="259"/>
      <c r="C58" s="259"/>
      <c r="D58" s="259"/>
      <c r="E58" s="259"/>
      <c r="F58" s="259"/>
      <c r="G58" s="259"/>
      <c r="H58" s="259"/>
      <c r="I58" s="259"/>
      <c r="J58" s="259"/>
      <c r="K58" s="259"/>
      <c r="L58" s="259"/>
      <c r="M58" s="259"/>
      <c r="N58" s="259"/>
      <c r="O58" s="259"/>
      <c r="P58" s="259"/>
      <c r="Q58" s="259"/>
      <c r="R58" s="259"/>
      <c r="S58" s="259"/>
      <c r="T58" s="259"/>
      <c r="U58" s="259"/>
      <c r="V58" s="259"/>
      <c r="W58" s="259"/>
      <c r="X58" s="259"/>
      <c r="Y58" s="259"/>
      <c r="Z58" s="259"/>
      <c r="AA58" s="259"/>
    </row>
    <row r="59" spans="1:27" x14ac:dyDescent="0.3">
      <c r="A59" s="259"/>
      <c r="B59" s="259"/>
      <c r="C59" s="259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259"/>
      <c r="W59" s="259"/>
      <c r="X59" s="259"/>
      <c r="Y59" s="259"/>
      <c r="Z59" s="259"/>
      <c r="AA59" s="259"/>
    </row>
    <row r="60" spans="1:27" x14ac:dyDescent="0.3">
      <c r="A60" s="259"/>
      <c r="B60" s="259"/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59"/>
      <c r="S60" s="259"/>
      <c r="T60" s="259"/>
      <c r="U60" s="259"/>
      <c r="V60" s="259"/>
      <c r="W60" s="259"/>
      <c r="X60" s="259"/>
      <c r="Y60" s="259"/>
      <c r="Z60" s="259"/>
      <c r="AA60" s="259"/>
    </row>
  </sheetData>
  <mergeCells count="7">
    <mergeCell ref="J4:J6"/>
    <mergeCell ref="G4:G7"/>
    <mergeCell ref="G15:H15"/>
    <mergeCell ref="D4:D6"/>
    <mergeCell ref="E4:E6"/>
    <mergeCell ref="F4:F6"/>
    <mergeCell ref="H4:H6"/>
  </mergeCells>
  <dataValidations count="1">
    <dataValidation type="list" operator="equal" allowBlank="1" showErrorMessage="1" sqref="E18">
      <formula1>"energetisch,economisch"</formula1>
      <formula2>0</formula2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77"/>
  <sheetViews>
    <sheetView zoomScale="85" zoomScaleNormal="85" workbookViewId="0">
      <selection activeCell="N3" sqref="N3"/>
    </sheetView>
  </sheetViews>
  <sheetFormatPr defaultRowHeight="12.75" x14ac:dyDescent="0.2"/>
  <cols>
    <col min="1" max="1" width="17.28515625" customWidth="1"/>
    <col min="2" max="2" width="2.7109375" customWidth="1"/>
    <col min="3" max="3" width="17.28515625" customWidth="1"/>
    <col min="4" max="4" width="24" bestFit="1" customWidth="1"/>
    <col min="6" max="6" width="9.5703125" bestFit="1" customWidth="1"/>
    <col min="9" max="9" width="12.42578125" style="76" bestFit="1" customWidth="1"/>
    <col min="13" max="13" width="10.7109375" bestFit="1" customWidth="1"/>
    <col min="15" max="15" width="2.7109375" customWidth="1"/>
    <col min="17" max="17" width="4.7109375" customWidth="1"/>
    <col min="18" max="29" width="9.140625" style="176"/>
  </cols>
  <sheetData>
    <row r="1" spans="1:31" ht="14.25" x14ac:dyDescent="0.3">
      <c r="A1" s="259"/>
      <c r="B1" s="259"/>
      <c r="C1" s="259"/>
      <c r="D1" s="259"/>
      <c r="E1" s="259"/>
      <c r="F1" s="259"/>
      <c r="G1" s="259"/>
      <c r="H1" s="259"/>
      <c r="I1" s="291"/>
      <c r="J1" s="259"/>
      <c r="K1" s="259"/>
      <c r="L1" s="259"/>
      <c r="M1" s="259"/>
      <c r="N1" s="259"/>
      <c r="O1" s="259"/>
      <c r="P1" s="259"/>
      <c r="Q1" s="116"/>
      <c r="R1" s="308"/>
      <c r="S1" s="308"/>
      <c r="T1" s="308"/>
      <c r="U1" s="308"/>
      <c r="V1" s="308"/>
      <c r="W1" s="308"/>
      <c r="X1" s="308"/>
      <c r="Y1" s="308"/>
      <c r="Z1" s="308"/>
      <c r="AA1" s="308"/>
      <c r="AB1" s="308"/>
      <c r="AC1" s="308"/>
      <c r="AD1" s="308"/>
      <c r="AE1" s="308"/>
    </row>
    <row r="2" spans="1:31" ht="20.100000000000001" customHeight="1" x14ac:dyDescent="0.3">
      <c r="A2" s="259"/>
      <c r="B2" s="441" t="s">
        <v>284</v>
      </c>
      <c r="C2" s="441"/>
      <c r="D2" s="441"/>
      <c r="E2" s="259"/>
      <c r="F2" s="259" t="s">
        <v>433</v>
      </c>
      <c r="G2" s="259"/>
      <c r="H2" s="259"/>
      <c r="I2" s="291"/>
      <c r="J2" s="259"/>
      <c r="K2" s="259"/>
      <c r="L2" s="259"/>
      <c r="M2" s="259"/>
      <c r="N2" s="259"/>
      <c r="O2" s="259"/>
      <c r="P2" s="259"/>
      <c r="Q2" s="116"/>
      <c r="R2" s="308"/>
      <c r="S2" s="197" t="s">
        <v>354</v>
      </c>
      <c r="T2" s="313"/>
      <c r="U2" s="313"/>
      <c r="V2" s="313"/>
      <c r="W2" s="308"/>
      <c r="X2" s="308"/>
      <c r="Y2" s="308"/>
      <c r="Z2" s="308"/>
      <c r="AA2" s="308"/>
      <c r="AB2" s="308"/>
      <c r="AC2" s="308"/>
      <c r="AD2" s="308"/>
      <c r="AE2" s="308"/>
    </row>
    <row r="3" spans="1:31" ht="20.100000000000001" customHeight="1" x14ac:dyDescent="0.3">
      <c r="A3" s="259"/>
      <c r="B3" s="441"/>
      <c r="C3" s="441"/>
      <c r="D3" s="441"/>
      <c r="E3" s="259"/>
      <c r="F3" s="259"/>
      <c r="G3" s="259"/>
      <c r="H3" s="259"/>
      <c r="I3" s="291"/>
      <c r="J3" s="259"/>
      <c r="K3" s="259"/>
      <c r="L3" s="259"/>
      <c r="M3" s="259"/>
      <c r="N3" s="259"/>
      <c r="O3" s="259"/>
      <c r="P3" s="259"/>
      <c r="Q3" s="116"/>
      <c r="R3" s="308"/>
      <c r="S3" s="313"/>
      <c r="T3" s="313"/>
      <c r="U3" s="313"/>
      <c r="V3" s="313"/>
      <c r="W3" s="308"/>
      <c r="X3" s="308"/>
      <c r="Y3" s="308"/>
      <c r="Z3" s="308"/>
      <c r="AA3" s="308"/>
      <c r="AB3" s="308"/>
      <c r="AC3" s="308"/>
      <c r="AD3" s="308"/>
      <c r="AE3" s="308"/>
    </row>
    <row r="4" spans="1:31" ht="14.25" x14ac:dyDescent="0.3">
      <c r="A4" s="259"/>
      <c r="B4" s="259"/>
      <c r="C4" s="259"/>
      <c r="D4" s="259"/>
      <c r="E4" s="259"/>
      <c r="F4" s="259"/>
      <c r="G4" s="259"/>
      <c r="H4" s="259"/>
      <c r="I4" s="291"/>
      <c r="J4" s="259"/>
      <c r="K4" s="259"/>
      <c r="L4" s="259"/>
      <c r="M4" s="259"/>
      <c r="N4" s="259"/>
      <c r="O4" s="259"/>
      <c r="P4" s="259"/>
      <c r="Q4" s="116"/>
      <c r="R4" s="308"/>
      <c r="S4" s="308"/>
      <c r="T4" s="308"/>
      <c r="U4" s="308"/>
      <c r="V4" s="308"/>
      <c r="W4" s="308"/>
      <c r="X4" s="308"/>
      <c r="Y4" s="308"/>
      <c r="Z4" s="308"/>
      <c r="AA4" s="308"/>
      <c r="AB4" s="308"/>
      <c r="AC4" s="308"/>
      <c r="AD4" s="308"/>
      <c r="AE4" s="308"/>
    </row>
    <row r="5" spans="1:31" ht="15" thickBot="1" x14ac:dyDescent="0.35">
      <c r="A5" s="25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259"/>
      <c r="Q5" s="116"/>
      <c r="R5" s="308"/>
      <c r="S5" s="308"/>
      <c r="T5" s="308"/>
      <c r="U5" s="308"/>
      <c r="V5" s="308"/>
      <c r="W5" s="308"/>
      <c r="X5" s="308"/>
      <c r="Y5" s="308"/>
      <c r="Z5" s="308"/>
      <c r="AA5" s="308"/>
      <c r="AB5" s="308"/>
      <c r="AC5" s="308"/>
      <c r="AD5" s="308"/>
      <c r="AE5" s="308"/>
    </row>
    <row r="6" spans="1:31" ht="14.25" x14ac:dyDescent="0.3">
      <c r="A6" s="259"/>
      <c r="B6" s="7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29"/>
      <c r="O6" s="7"/>
      <c r="P6" s="259"/>
      <c r="Q6" s="116"/>
      <c r="R6" s="308"/>
      <c r="S6" s="100" t="s">
        <v>282</v>
      </c>
      <c r="T6" s="177"/>
      <c r="U6" s="177"/>
      <c r="V6" s="177"/>
      <c r="W6" s="177"/>
      <c r="X6" s="314"/>
      <c r="Y6" s="314"/>
      <c r="Z6" s="314"/>
      <c r="AA6" s="315"/>
      <c r="AB6" s="308"/>
      <c r="AC6" s="308"/>
      <c r="AD6" s="308"/>
      <c r="AE6" s="308"/>
    </row>
    <row r="7" spans="1:31" ht="14.25" customHeight="1" thickBot="1" x14ac:dyDescent="0.35">
      <c r="A7" s="259"/>
      <c r="B7" s="7"/>
      <c r="C7" s="56"/>
      <c r="D7" s="90" t="s">
        <v>271</v>
      </c>
      <c r="G7" s="56"/>
      <c r="H7" s="444" t="s">
        <v>205</v>
      </c>
      <c r="I7" s="445"/>
      <c r="J7" s="29"/>
      <c r="K7" s="450" t="s">
        <v>206</v>
      </c>
      <c r="L7" s="450" t="s">
        <v>207</v>
      </c>
      <c r="M7" s="82"/>
      <c r="N7" s="29"/>
      <c r="O7" s="7"/>
      <c r="P7" s="259"/>
      <c r="Q7" s="116"/>
      <c r="R7" s="308"/>
      <c r="S7" s="320"/>
      <c r="T7" s="321"/>
      <c r="U7" s="321"/>
      <c r="V7" s="321"/>
      <c r="W7" s="321"/>
      <c r="X7" s="316"/>
      <c r="Y7" s="316"/>
      <c r="Z7" s="316"/>
      <c r="AA7" s="317"/>
      <c r="AB7" s="308"/>
      <c r="AC7" s="308"/>
      <c r="AD7" s="308"/>
      <c r="AE7" s="308"/>
    </row>
    <row r="8" spans="1:31" ht="15" thickBot="1" x14ac:dyDescent="0.35">
      <c r="A8" s="259"/>
      <c r="B8" s="7"/>
      <c r="C8" s="56"/>
      <c r="D8" s="88" t="s">
        <v>272</v>
      </c>
      <c r="E8" s="350">
        <v>8.6999999999999993</v>
      </c>
      <c r="F8" s="92" t="s">
        <v>273</v>
      </c>
      <c r="G8" s="56"/>
      <c r="H8" s="446"/>
      <c r="I8" s="447"/>
      <c r="J8" s="29"/>
      <c r="K8" s="450"/>
      <c r="L8" s="450"/>
      <c r="M8" s="82"/>
      <c r="N8" s="29"/>
      <c r="O8" s="7"/>
      <c r="P8" s="259"/>
      <c r="Q8" s="116"/>
      <c r="R8" s="308"/>
      <c r="S8" s="105" t="s">
        <v>274</v>
      </c>
      <c r="T8" s="106"/>
      <c r="U8" s="106"/>
      <c r="V8" s="106"/>
      <c r="W8" s="106"/>
      <c r="X8" s="316"/>
      <c r="Y8" s="316"/>
      <c r="Z8" s="316"/>
      <c r="AA8" s="317"/>
      <c r="AB8" s="308"/>
      <c r="AC8" s="308"/>
      <c r="AD8" s="308"/>
      <c r="AE8" s="308"/>
    </row>
    <row r="9" spans="1:31" ht="15" thickBot="1" x14ac:dyDescent="0.35">
      <c r="A9" s="259"/>
      <c r="B9" s="7"/>
      <c r="C9" s="56"/>
      <c r="D9" s="88" t="s">
        <v>379</v>
      </c>
      <c r="E9" s="351">
        <v>0.85</v>
      </c>
      <c r="F9" s="88"/>
      <c r="G9" s="56"/>
      <c r="H9" s="448"/>
      <c r="I9" s="449"/>
      <c r="J9" s="29"/>
      <c r="K9" s="450"/>
      <c r="L9" s="450"/>
      <c r="M9" s="82"/>
      <c r="N9" s="29"/>
      <c r="O9" s="7"/>
      <c r="P9" s="259"/>
      <c r="Q9" s="116"/>
      <c r="R9" s="308"/>
      <c r="S9" s="107" t="s">
        <v>275</v>
      </c>
      <c r="T9" s="108">
        <v>8.6999999999999993</v>
      </c>
      <c r="U9" s="106" t="s">
        <v>276</v>
      </c>
      <c r="V9" s="109" t="s">
        <v>277</v>
      </c>
      <c r="W9" s="106"/>
      <c r="X9" s="316"/>
      <c r="Y9" s="316"/>
      <c r="Z9" s="316"/>
      <c r="AA9" s="317"/>
      <c r="AB9" s="308"/>
      <c r="AC9" s="308"/>
      <c r="AD9" s="308"/>
      <c r="AE9" s="308"/>
    </row>
    <row r="10" spans="1:31" ht="14.25" x14ac:dyDescent="0.3">
      <c r="A10" s="259"/>
      <c r="B10" s="7"/>
      <c r="C10" s="56"/>
      <c r="D10" s="56"/>
      <c r="E10" s="56"/>
      <c r="F10" s="56"/>
      <c r="G10" s="56"/>
      <c r="H10" s="355">
        <f>+H21/W33</f>
        <v>5.4577377135651233</v>
      </c>
      <c r="I10" s="81" t="s">
        <v>230</v>
      </c>
      <c r="J10" s="29"/>
      <c r="K10" s="198">
        <f>+T11*H10/(T9*T10)</f>
        <v>5.7074381318328093</v>
      </c>
      <c r="L10" s="198">
        <f>+T12*H10/(T9*T10)</f>
        <v>2.6796422028955038</v>
      </c>
      <c r="M10" s="83" t="s">
        <v>230</v>
      </c>
      <c r="O10" s="7"/>
      <c r="P10" s="259"/>
      <c r="Q10" s="116"/>
      <c r="R10" s="308"/>
      <c r="S10" s="105"/>
      <c r="T10" s="110">
        <v>0.85</v>
      </c>
      <c r="U10" s="106" t="s">
        <v>278</v>
      </c>
      <c r="V10" s="111">
        <v>0.45</v>
      </c>
      <c r="W10" s="106"/>
      <c r="X10" s="316"/>
      <c r="Y10" s="316"/>
      <c r="Z10" s="316"/>
      <c r="AA10" s="317"/>
      <c r="AB10" s="308"/>
      <c r="AC10" s="308"/>
      <c r="AD10" s="308"/>
      <c r="AE10" s="308"/>
    </row>
    <row r="11" spans="1:31" ht="14.25" x14ac:dyDescent="0.3">
      <c r="A11" s="259"/>
      <c r="B11" s="7"/>
      <c r="C11" s="56"/>
      <c r="D11" s="56"/>
      <c r="E11" s="56"/>
      <c r="F11" s="56"/>
      <c r="G11" s="56"/>
      <c r="H11" s="29"/>
      <c r="I11" s="77"/>
      <c r="J11" s="29"/>
      <c r="K11" s="29"/>
      <c r="L11" s="29"/>
      <c r="M11" s="29"/>
      <c r="N11" s="29"/>
      <c r="O11" s="7"/>
      <c r="P11" s="259"/>
      <c r="Q11" s="116"/>
      <c r="R11" s="308"/>
      <c r="S11" s="105" t="s">
        <v>279</v>
      </c>
      <c r="T11" s="108">
        <f>+(T9*T10)/V10-T9</f>
        <v>7.7333333333333343</v>
      </c>
      <c r="U11" s="106" t="s">
        <v>280</v>
      </c>
      <c r="V11" s="106"/>
      <c r="W11" s="106"/>
      <c r="X11" s="316"/>
      <c r="Y11" s="316"/>
      <c r="Z11" s="316"/>
      <c r="AA11" s="317"/>
      <c r="AB11" s="308"/>
      <c r="AC11" s="308"/>
      <c r="AD11" s="308"/>
      <c r="AE11" s="308"/>
    </row>
    <row r="12" spans="1:31" ht="14.25" customHeight="1" x14ac:dyDescent="0.3">
      <c r="A12" s="259"/>
      <c r="B12" s="7"/>
      <c r="C12" s="56"/>
      <c r="D12" s="56"/>
      <c r="E12" s="56"/>
      <c r="F12" s="56"/>
      <c r="G12" s="56"/>
      <c r="H12" s="425" t="s">
        <v>213</v>
      </c>
      <c r="I12" s="425"/>
      <c r="J12" s="29"/>
      <c r="L12" s="29"/>
      <c r="M12" s="29"/>
      <c r="N12" s="29"/>
      <c r="O12" s="7"/>
      <c r="P12" s="259"/>
      <c r="Q12" s="116"/>
      <c r="R12" s="308"/>
      <c r="S12" s="105" t="s">
        <v>281</v>
      </c>
      <c r="T12" s="108">
        <f>+((T9*T10)+T11)*U15</f>
        <v>3.6307999999999998</v>
      </c>
      <c r="U12" s="106" t="s">
        <v>280</v>
      </c>
      <c r="V12" s="106"/>
      <c r="W12" s="106"/>
      <c r="X12" s="316"/>
      <c r="Y12" s="316"/>
      <c r="Z12" s="316"/>
      <c r="AA12" s="317"/>
      <c r="AB12" s="308"/>
      <c r="AC12" s="308"/>
      <c r="AD12" s="308"/>
      <c r="AE12" s="308"/>
    </row>
    <row r="13" spans="1:31" ht="14.25" customHeight="1" x14ac:dyDescent="0.3">
      <c r="A13" s="259"/>
      <c r="B13" s="7"/>
      <c r="C13" s="56"/>
      <c r="D13" s="56"/>
      <c r="E13" s="56"/>
      <c r="F13" s="56"/>
      <c r="G13" s="195"/>
      <c r="H13" s="425"/>
      <c r="I13" s="425"/>
      <c r="J13" s="29"/>
      <c r="K13" s="29"/>
      <c r="L13" s="29"/>
      <c r="M13" s="29"/>
      <c r="N13" s="29"/>
      <c r="O13" s="7"/>
      <c r="P13" s="259"/>
      <c r="Q13" s="116"/>
      <c r="R13" s="308"/>
      <c r="S13" s="320"/>
      <c r="T13" s="321"/>
      <c r="U13" s="321"/>
      <c r="V13" s="321"/>
      <c r="W13" s="321"/>
      <c r="X13" s="316"/>
      <c r="Y13" s="316"/>
      <c r="Z13" s="316"/>
      <c r="AA13" s="317"/>
      <c r="AB13" s="308"/>
      <c r="AC13" s="308"/>
      <c r="AD13" s="308"/>
      <c r="AE13" s="308"/>
    </row>
    <row r="14" spans="1:31" ht="14.25" x14ac:dyDescent="0.3">
      <c r="A14" s="259"/>
      <c r="B14" s="7"/>
      <c r="C14" s="56"/>
      <c r="D14" s="56"/>
      <c r="E14" s="56"/>
      <c r="F14" s="56"/>
      <c r="G14" s="56"/>
      <c r="H14" s="29"/>
      <c r="I14" s="77"/>
      <c r="J14" s="29"/>
      <c r="K14" s="29"/>
      <c r="L14" s="29"/>
      <c r="M14" s="29"/>
      <c r="N14" s="29"/>
      <c r="O14" s="7"/>
      <c r="P14" s="259"/>
      <c r="Q14" s="116"/>
      <c r="R14" s="308"/>
      <c r="S14" s="112" t="s">
        <v>232</v>
      </c>
      <c r="T14" s="96" t="s">
        <v>233</v>
      </c>
      <c r="U14" s="97" t="s">
        <v>283</v>
      </c>
      <c r="V14" s="321"/>
      <c r="W14" s="321"/>
      <c r="X14" s="316"/>
      <c r="Y14" s="316"/>
      <c r="Z14" s="316"/>
      <c r="AA14" s="317"/>
      <c r="AB14" s="308"/>
      <c r="AC14" s="308"/>
      <c r="AD14" s="308"/>
      <c r="AE14" s="308"/>
    </row>
    <row r="15" spans="1:31" ht="14.25" customHeight="1" thickBot="1" x14ac:dyDescent="0.35">
      <c r="A15" s="259"/>
      <c r="B15" s="7"/>
      <c r="C15" s="56"/>
      <c r="D15" s="56"/>
      <c r="E15" s="56"/>
      <c r="F15" s="56"/>
      <c r="G15" s="56"/>
      <c r="H15" s="425" t="s">
        <v>215</v>
      </c>
      <c r="I15" s="425"/>
      <c r="J15" s="29"/>
      <c r="K15" s="29"/>
      <c r="L15" s="29"/>
      <c r="M15" s="29"/>
      <c r="N15" s="29"/>
      <c r="O15" s="7"/>
      <c r="P15" s="259"/>
      <c r="Q15" s="116"/>
      <c r="R15" s="308"/>
      <c r="S15" s="113">
        <v>1.51</v>
      </c>
      <c r="T15" s="114">
        <v>0.52</v>
      </c>
      <c r="U15" s="115">
        <v>0.24</v>
      </c>
      <c r="V15" s="322"/>
      <c r="W15" s="322"/>
      <c r="X15" s="318"/>
      <c r="Y15" s="318"/>
      <c r="Z15" s="318"/>
      <c r="AA15" s="319"/>
      <c r="AB15" s="308"/>
      <c r="AC15" s="308"/>
      <c r="AD15" s="308"/>
      <c r="AE15" s="308"/>
    </row>
    <row r="16" spans="1:31" ht="14.25" x14ac:dyDescent="0.3">
      <c r="A16" s="259"/>
      <c r="B16" s="7"/>
      <c r="C16" s="56"/>
      <c r="D16" s="56"/>
      <c r="E16" s="56"/>
      <c r="F16" s="56"/>
      <c r="G16" s="56"/>
      <c r="H16" s="425"/>
      <c r="I16" s="425"/>
      <c r="J16" s="29"/>
      <c r="K16" s="29"/>
      <c r="L16" s="29"/>
      <c r="M16" s="29"/>
      <c r="N16" s="29"/>
      <c r="O16" s="7"/>
      <c r="P16" s="259"/>
      <c r="Q16" s="116"/>
      <c r="R16" s="308"/>
      <c r="S16" s="308"/>
      <c r="T16" s="308"/>
      <c r="U16" s="308"/>
      <c r="V16" s="308"/>
      <c r="W16" s="308"/>
      <c r="X16" s="308"/>
      <c r="Y16" s="308"/>
      <c r="Z16" s="308"/>
      <c r="AA16" s="308"/>
      <c r="AB16" s="308"/>
      <c r="AC16" s="308"/>
      <c r="AD16" s="308"/>
      <c r="AE16" s="308"/>
    </row>
    <row r="17" spans="1:32" ht="15" thickBot="1" x14ac:dyDescent="0.35">
      <c r="A17" s="259"/>
      <c r="B17" s="7"/>
      <c r="C17" s="56"/>
      <c r="D17" s="56"/>
      <c r="E17" s="56"/>
      <c r="F17" s="56"/>
      <c r="G17" s="56"/>
      <c r="H17" s="29"/>
      <c r="I17" s="77"/>
      <c r="J17" s="29"/>
      <c r="K17" s="29"/>
      <c r="L17" s="29"/>
      <c r="M17" s="29"/>
      <c r="N17" s="29"/>
      <c r="O17" s="7"/>
      <c r="P17" s="259"/>
      <c r="Q17" s="116"/>
      <c r="R17" s="308"/>
      <c r="S17" s="308"/>
      <c r="T17" s="308"/>
      <c r="U17" s="308"/>
      <c r="V17" s="308"/>
      <c r="W17" s="308"/>
      <c r="X17" s="308"/>
      <c r="Y17" s="308"/>
      <c r="Z17" s="308"/>
      <c r="AA17" s="308"/>
      <c r="AB17" s="308"/>
      <c r="AC17" s="308"/>
      <c r="AD17" s="308"/>
      <c r="AE17" s="308"/>
    </row>
    <row r="18" spans="1:32" ht="14.25" customHeight="1" thickBot="1" x14ac:dyDescent="0.35">
      <c r="A18" s="259"/>
      <c r="B18" s="7"/>
      <c r="C18" s="56"/>
      <c r="D18" s="90" t="s">
        <v>267</v>
      </c>
      <c r="E18" s="87"/>
      <c r="F18" s="87"/>
      <c r="G18" s="56"/>
      <c r="H18" s="428" t="s">
        <v>6</v>
      </c>
      <c r="I18" s="428"/>
      <c r="J18" s="29"/>
      <c r="K18" s="29"/>
      <c r="L18" s="442" t="s">
        <v>217</v>
      </c>
      <c r="M18" s="84"/>
      <c r="N18" s="29"/>
      <c r="O18" s="7"/>
      <c r="P18" s="259"/>
      <c r="Q18" s="116"/>
      <c r="R18" s="308"/>
      <c r="S18" s="100" t="s">
        <v>268</v>
      </c>
      <c r="T18" s="177"/>
      <c r="U18" s="178"/>
      <c r="V18" s="177"/>
      <c r="W18" s="177"/>
      <c r="X18" s="177"/>
      <c r="Y18" s="177"/>
      <c r="Z18" s="314"/>
      <c r="AA18" s="315"/>
      <c r="AB18" s="308"/>
      <c r="AC18" s="308"/>
      <c r="AD18" s="308"/>
      <c r="AE18" s="308"/>
    </row>
    <row r="19" spans="1:32" ht="14.25" x14ac:dyDescent="0.3">
      <c r="A19" s="259"/>
      <c r="B19" s="7"/>
      <c r="C19" s="56"/>
      <c r="D19" s="88" t="s">
        <v>249</v>
      </c>
      <c r="E19" s="352">
        <v>0.97</v>
      </c>
      <c r="F19" s="88"/>
      <c r="G19" s="56"/>
      <c r="H19" s="428"/>
      <c r="I19" s="428"/>
      <c r="J19" s="29"/>
      <c r="K19" s="29"/>
      <c r="L19" s="443"/>
      <c r="M19" s="85"/>
      <c r="N19" s="29"/>
      <c r="O19" s="7"/>
      <c r="P19" s="259"/>
      <c r="Q19" s="116"/>
      <c r="R19" s="308"/>
      <c r="S19" s="323"/>
      <c r="T19" s="316"/>
      <c r="U19" s="316"/>
      <c r="V19" s="316"/>
      <c r="W19" s="316"/>
      <c r="X19" s="316"/>
      <c r="Y19" s="316"/>
      <c r="Z19" s="316"/>
      <c r="AA19" s="317"/>
      <c r="AB19" s="308"/>
      <c r="AC19" s="308"/>
      <c r="AD19" s="308"/>
      <c r="AE19" s="308"/>
      <c r="AF19" s="94"/>
    </row>
    <row r="20" spans="1:32" ht="15" thickBot="1" x14ac:dyDescent="0.35">
      <c r="A20" s="259"/>
      <c r="B20" s="7"/>
      <c r="C20" s="56"/>
      <c r="D20" s="88" t="s">
        <v>250</v>
      </c>
      <c r="E20" s="353">
        <v>0.97</v>
      </c>
      <c r="F20" s="93"/>
      <c r="G20" s="56"/>
      <c r="H20" s="428"/>
      <c r="I20" s="428"/>
      <c r="J20" s="29"/>
      <c r="K20" s="29"/>
      <c r="L20" s="443"/>
      <c r="M20" s="85"/>
      <c r="N20" s="29"/>
      <c r="O20" s="7"/>
      <c r="P20" s="259"/>
      <c r="Q20" s="116"/>
      <c r="R20" s="308"/>
      <c r="S20" s="323"/>
      <c r="T20" s="316"/>
      <c r="U20" s="440" t="s">
        <v>234</v>
      </c>
      <c r="V20" s="440"/>
      <c r="W20" s="440" t="s">
        <v>235</v>
      </c>
      <c r="X20" s="440"/>
      <c r="Y20" s="440"/>
      <c r="Z20" s="316"/>
      <c r="AA20" s="317"/>
      <c r="AB20" s="308"/>
      <c r="AC20" s="308"/>
      <c r="AD20" s="308"/>
      <c r="AE20" s="308"/>
      <c r="AF20" s="94"/>
    </row>
    <row r="21" spans="1:32" ht="14.25" x14ac:dyDescent="0.3">
      <c r="A21" s="259"/>
      <c r="B21" s="7"/>
      <c r="C21" s="56"/>
      <c r="D21" s="56"/>
      <c r="E21" s="56"/>
      <c r="F21" s="56"/>
      <c r="G21" s="56"/>
      <c r="H21" s="355">
        <f>+U64</f>
        <v>1.6936671575846833</v>
      </c>
      <c r="I21" s="79" t="s">
        <v>230</v>
      </c>
      <c r="J21" s="29"/>
      <c r="K21" s="29"/>
      <c r="L21" s="89">
        <f>+Y33/W33*H21</f>
        <v>1.4709040391695762</v>
      </c>
      <c r="M21" s="86" t="s">
        <v>230</v>
      </c>
      <c r="N21" s="29"/>
      <c r="O21" s="7"/>
      <c r="P21" s="259"/>
      <c r="Q21" s="116"/>
      <c r="R21" s="308"/>
      <c r="S21" s="179"/>
      <c r="T21" s="180"/>
      <c r="U21" s="440"/>
      <c r="V21" s="440"/>
      <c r="W21" s="180"/>
      <c r="X21" s="180"/>
      <c r="Y21" s="180"/>
      <c r="Z21" s="316"/>
      <c r="AA21" s="317"/>
      <c r="AB21" s="308"/>
      <c r="AC21" s="308"/>
      <c r="AD21" s="308"/>
      <c r="AE21" s="308"/>
      <c r="AF21" s="94"/>
    </row>
    <row r="22" spans="1:32" ht="14.25" x14ac:dyDescent="0.3">
      <c r="A22" s="259"/>
      <c r="B22" s="7"/>
      <c r="C22" s="56"/>
      <c r="D22" s="56"/>
      <c r="E22" s="56"/>
      <c r="F22" s="56"/>
      <c r="G22" s="56"/>
      <c r="H22" s="29"/>
      <c r="I22" s="77"/>
      <c r="J22" s="29"/>
      <c r="K22" s="29"/>
      <c r="L22" s="29"/>
      <c r="M22" s="29"/>
      <c r="N22" s="29"/>
      <c r="O22" s="7"/>
      <c r="P22" s="259"/>
      <c r="Q22" s="116"/>
      <c r="R22" s="308"/>
      <c r="S22" s="179"/>
      <c r="T22" s="180"/>
      <c r="U22" s="440" t="s">
        <v>236</v>
      </c>
      <c r="V22" s="440" t="s">
        <v>237</v>
      </c>
      <c r="W22" s="181" t="s">
        <v>238</v>
      </c>
      <c r="X22" s="181" t="s">
        <v>18</v>
      </c>
      <c r="Y22" s="181" t="s">
        <v>239</v>
      </c>
      <c r="Z22" s="316"/>
      <c r="AA22" s="317"/>
      <c r="AB22" s="308"/>
      <c r="AC22" s="308"/>
      <c r="AD22" s="308"/>
      <c r="AE22" s="308"/>
      <c r="AF22" s="94"/>
    </row>
    <row r="23" spans="1:32" ht="14.25" customHeight="1" thickBot="1" x14ac:dyDescent="0.35">
      <c r="A23" s="259"/>
      <c r="B23" s="7"/>
      <c r="C23" s="56"/>
      <c r="D23" s="91" t="s">
        <v>270</v>
      </c>
      <c r="G23" s="56"/>
      <c r="H23" s="428" t="s">
        <v>8</v>
      </c>
      <c r="I23" s="428"/>
      <c r="J23" s="29"/>
      <c r="K23" s="29"/>
      <c r="L23" s="29"/>
      <c r="M23" s="29"/>
      <c r="N23" s="29"/>
      <c r="O23" s="7"/>
      <c r="P23" s="259"/>
      <c r="Q23" s="116"/>
      <c r="R23" s="308"/>
      <c r="S23" s="179"/>
      <c r="T23" s="180"/>
      <c r="U23" s="440"/>
      <c r="V23" s="440"/>
      <c r="W23" s="181"/>
      <c r="X23" s="181"/>
      <c r="Y23" s="181"/>
      <c r="Z23" s="316"/>
      <c r="AA23" s="317"/>
      <c r="AB23" s="308"/>
      <c r="AC23" s="308"/>
      <c r="AD23" s="308"/>
      <c r="AE23" s="308"/>
      <c r="AF23" s="94"/>
    </row>
    <row r="24" spans="1:32" ht="15" thickBot="1" x14ac:dyDescent="0.35">
      <c r="A24" s="259"/>
      <c r="B24" s="7"/>
      <c r="C24" s="56"/>
      <c r="D24" s="88" t="s">
        <v>269</v>
      </c>
      <c r="E24" s="351">
        <v>0.97</v>
      </c>
      <c r="F24" s="93"/>
      <c r="G24" s="56"/>
      <c r="H24" s="428"/>
      <c r="I24" s="428"/>
      <c r="J24" s="29"/>
      <c r="K24" s="29"/>
      <c r="L24" s="29"/>
      <c r="M24" s="29"/>
      <c r="N24" s="29"/>
      <c r="O24" s="7"/>
      <c r="P24" s="259"/>
      <c r="Q24" s="116"/>
      <c r="R24" s="308"/>
      <c r="S24" s="179" t="s">
        <v>240</v>
      </c>
      <c r="T24" s="180"/>
      <c r="U24" s="180"/>
      <c r="V24" s="182">
        <v>0.15</v>
      </c>
      <c r="W24" s="182"/>
      <c r="X24" s="182"/>
      <c r="Y24" s="180"/>
      <c r="Z24" s="316"/>
      <c r="AA24" s="317"/>
      <c r="AB24" s="308"/>
      <c r="AC24" s="308"/>
      <c r="AD24" s="308"/>
      <c r="AE24" s="308"/>
      <c r="AF24" s="94"/>
    </row>
    <row r="25" spans="1:32" ht="14.25" x14ac:dyDescent="0.3">
      <c r="A25" s="259"/>
      <c r="B25" s="7"/>
      <c r="C25" s="56"/>
      <c r="D25" s="56"/>
      <c r="E25" s="56"/>
      <c r="F25" s="56"/>
      <c r="G25" s="56"/>
      <c r="H25" s="428"/>
      <c r="I25" s="428"/>
      <c r="J25" s="29"/>
      <c r="K25" s="29"/>
      <c r="L25" s="29"/>
      <c r="M25" s="29"/>
      <c r="N25" s="29"/>
      <c r="O25" s="7"/>
      <c r="P25" s="259"/>
      <c r="Q25" s="116"/>
      <c r="R25" s="308"/>
      <c r="S25" s="179" t="s">
        <v>241</v>
      </c>
      <c r="T25" s="180"/>
      <c r="U25" s="183">
        <v>0.109</v>
      </c>
      <c r="V25" s="184">
        <v>9.2999999999999999E-2</v>
      </c>
      <c r="W25" s="185"/>
      <c r="X25" s="185"/>
      <c r="Y25" s="183">
        <f>+V25</f>
        <v>9.2999999999999999E-2</v>
      </c>
      <c r="Z25" s="316"/>
      <c r="AA25" s="317"/>
      <c r="AB25" s="308"/>
      <c r="AC25" s="308"/>
      <c r="AD25" s="308"/>
      <c r="AE25" s="308"/>
      <c r="AF25" s="94"/>
    </row>
    <row r="26" spans="1:32" ht="18" x14ac:dyDescent="0.3">
      <c r="A26" s="259"/>
      <c r="B26" s="7"/>
      <c r="C26" s="56"/>
      <c r="D26" s="56"/>
      <c r="E26" s="56"/>
      <c r="F26" s="56"/>
      <c r="G26" s="56"/>
      <c r="H26" s="354">
        <v>1</v>
      </c>
      <c r="I26" s="79" t="s">
        <v>231</v>
      </c>
      <c r="J26" s="29"/>
      <c r="K26" s="29"/>
      <c r="L26" s="29"/>
      <c r="M26" s="29"/>
      <c r="N26" s="29"/>
      <c r="O26" s="7"/>
      <c r="P26" s="259"/>
      <c r="Q26" s="116"/>
      <c r="R26" s="308"/>
      <c r="S26" s="179" t="s">
        <v>242</v>
      </c>
      <c r="T26" s="180"/>
      <c r="U26" s="183">
        <v>0.02</v>
      </c>
      <c r="V26" s="185">
        <f>+U26/(U$26+U$28+U$29+U$31+U$32)*(1-V$24-V$25-V$27-V$30)</f>
        <v>1.7391304347826091E-2</v>
      </c>
      <c r="W26" s="185"/>
      <c r="X26" s="185"/>
      <c r="Y26" s="183">
        <f>+V26</f>
        <v>1.7391304347826091E-2</v>
      </c>
      <c r="Z26" s="316"/>
      <c r="AA26" s="317"/>
      <c r="AB26" s="308"/>
      <c r="AC26" s="308"/>
      <c r="AD26" s="308"/>
      <c r="AE26" s="308"/>
      <c r="AF26" s="94"/>
    </row>
    <row r="27" spans="1:32" ht="14.25" x14ac:dyDescent="0.3">
      <c r="A27" s="259"/>
      <c r="B27" s="7"/>
      <c r="C27" s="56"/>
      <c r="D27" s="196"/>
      <c r="E27" s="196"/>
      <c r="F27" s="196"/>
      <c r="G27" s="196"/>
      <c r="H27" s="33"/>
      <c r="I27" s="80"/>
      <c r="J27" s="33"/>
      <c r="K27" s="33"/>
      <c r="L27" s="33"/>
      <c r="M27" s="33"/>
      <c r="N27" s="33"/>
      <c r="O27" s="7"/>
      <c r="P27" s="259"/>
      <c r="Q27" s="116"/>
      <c r="R27" s="308"/>
      <c r="S27" s="179" t="s">
        <v>243</v>
      </c>
      <c r="T27" s="180"/>
      <c r="U27" s="183">
        <v>0.7</v>
      </c>
      <c r="V27" s="184">
        <v>0.59099999999999997</v>
      </c>
      <c r="W27" s="185"/>
      <c r="X27" s="185"/>
      <c r="Y27" s="183">
        <f>+V27*(1-E19)</f>
        <v>1.7730000000000013E-2</v>
      </c>
      <c r="Z27" s="316"/>
      <c r="AA27" s="317"/>
      <c r="AB27" s="308"/>
      <c r="AC27" s="308"/>
      <c r="AD27" s="308"/>
      <c r="AE27" s="308"/>
      <c r="AF27" s="94"/>
    </row>
    <row r="28" spans="1:32" ht="14.25" customHeight="1" x14ac:dyDescent="0.3">
      <c r="A28" s="259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259"/>
      <c r="Q28" s="116"/>
      <c r="R28" s="308"/>
      <c r="S28" s="179" t="s">
        <v>244</v>
      </c>
      <c r="T28" s="180"/>
      <c r="U28" s="183">
        <v>0.04</v>
      </c>
      <c r="V28" s="185">
        <f>+U28/(U$26+U$28+U$29+U$31+U$32)*(1-V$24-V$25-V$27-V$30)</f>
        <v>3.4782608695652181E-2</v>
      </c>
      <c r="W28" s="185"/>
      <c r="X28" s="180"/>
      <c r="Y28" s="183">
        <f>+V28</f>
        <v>3.4782608695652181E-2</v>
      </c>
      <c r="Z28" s="316"/>
      <c r="AA28" s="317"/>
      <c r="AB28" s="308"/>
      <c r="AC28" s="308"/>
      <c r="AD28" s="308"/>
      <c r="AE28" s="308"/>
      <c r="AF28" s="94"/>
    </row>
    <row r="29" spans="1:32" ht="14.25" x14ac:dyDescent="0.3">
      <c r="A29" s="259"/>
      <c r="B29" s="259"/>
      <c r="C29" s="259"/>
      <c r="D29" s="293"/>
      <c r="E29" s="293"/>
      <c r="F29" s="293"/>
      <c r="G29" s="293"/>
      <c r="H29" s="293"/>
      <c r="I29" s="311"/>
      <c r="J29" s="293"/>
      <c r="K29" s="293"/>
      <c r="L29" s="293"/>
      <c r="M29" s="294"/>
      <c r="N29" s="293"/>
      <c r="O29" s="293"/>
      <c r="P29" s="259"/>
      <c r="Q29" s="116"/>
      <c r="R29" s="308"/>
      <c r="S29" s="179" t="s">
        <v>245</v>
      </c>
      <c r="T29" s="180"/>
      <c r="U29" s="183">
        <v>0.08</v>
      </c>
      <c r="V29" s="185">
        <f>+U29/(U$26+U$28+U$29+U$31+U$32)*(1-V$24-V$25-V$27-V$30)</f>
        <v>6.9565217391304363E-2</v>
      </c>
      <c r="W29" s="185"/>
      <c r="X29" s="180"/>
      <c r="Y29" s="183">
        <f>+V29</f>
        <v>6.9565217391304363E-2</v>
      </c>
      <c r="Z29" s="316"/>
      <c r="AA29" s="317"/>
      <c r="AB29" s="308"/>
      <c r="AC29" s="308"/>
      <c r="AD29" s="308"/>
      <c r="AE29" s="308"/>
      <c r="AF29" s="94"/>
    </row>
    <row r="30" spans="1:32" ht="14.25" x14ac:dyDescent="0.3">
      <c r="A30" s="259"/>
      <c r="B30" s="259"/>
      <c r="C30" s="259"/>
      <c r="D30" s="259"/>
      <c r="E30" s="259"/>
      <c r="F30" s="259"/>
      <c r="G30" s="259"/>
      <c r="H30" s="259"/>
      <c r="I30" s="291"/>
      <c r="J30" s="259"/>
      <c r="K30" s="259"/>
      <c r="L30" s="259"/>
      <c r="M30" s="259"/>
      <c r="N30" s="259"/>
      <c r="O30" s="259"/>
      <c r="P30" s="259"/>
      <c r="Q30" s="117"/>
      <c r="R30" s="308"/>
      <c r="S30" s="179" t="s">
        <v>246</v>
      </c>
      <c r="T30" s="180"/>
      <c r="U30" s="183">
        <v>0.03</v>
      </c>
      <c r="V30" s="182">
        <v>2.5999999999999999E-2</v>
      </c>
      <c r="W30" s="185">
        <f>+V47</f>
        <v>0.3103240291989664</v>
      </c>
      <c r="X30" s="182">
        <f>+V48</f>
        <v>0.29683168010335914</v>
      </c>
      <c r="Y30" s="183">
        <f>+V43-V44</f>
        <v>1.8778011627907043E-2</v>
      </c>
      <c r="Z30" s="316"/>
      <c r="AA30" s="317"/>
      <c r="AB30" s="308"/>
      <c r="AC30" s="308"/>
      <c r="AD30" s="308"/>
      <c r="AE30" s="308"/>
      <c r="AF30" s="94"/>
    </row>
    <row r="31" spans="1:32" ht="14.25" x14ac:dyDescent="0.3">
      <c r="A31" s="259"/>
      <c r="B31" s="259"/>
      <c r="C31" s="259"/>
      <c r="D31" s="259"/>
      <c r="E31" s="259"/>
      <c r="F31" s="259"/>
      <c r="G31" s="259"/>
      <c r="H31" s="259"/>
      <c r="I31" s="291"/>
      <c r="J31" s="259"/>
      <c r="K31" s="259"/>
      <c r="L31" s="259"/>
      <c r="M31" s="259"/>
      <c r="N31" s="259"/>
      <c r="O31" s="259"/>
      <c r="P31" s="259"/>
      <c r="Q31" s="117"/>
      <c r="R31" s="308"/>
      <c r="S31" s="179" t="s">
        <v>247</v>
      </c>
      <c r="T31" s="180"/>
      <c r="U31" s="183">
        <v>0.01</v>
      </c>
      <c r="V31" s="185">
        <f>+U31/(U$26+U$28+U$29+U$31+U$32)*(1-V$24-V$25-V$27-V$30)</f>
        <v>8.6956521739130453E-3</v>
      </c>
      <c r="W31" s="185"/>
      <c r="X31" s="180"/>
      <c r="Y31" s="183">
        <f>+V31</f>
        <v>8.6956521739130453E-3</v>
      </c>
      <c r="Z31" s="316"/>
      <c r="AA31" s="317"/>
      <c r="AB31" s="308"/>
      <c r="AC31" s="308"/>
      <c r="AD31" s="308"/>
      <c r="AE31" s="308"/>
      <c r="AF31" s="94"/>
    </row>
    <row r="32" spans="1:32" ht="14.25" x14ac:dyDescent="0.3">
      <c r="A32" s="259"/>
      <c r="B32" s="259"/>
      <c r="C32" s="259"/>
      <c r="D32" s="259"/>
      <c r="E32" s="259"/>
      <c r="F32" s="259"/>
      <c r="G32" s="259"/>
      <c r="H32" s="259"/>
      <c r="I32" s="291"/>
      <c r="J32" s="259"/>
      <c r="K32" s="259"/>
      <c r="L32" s="259"/>
      <c r="M32" s="259"/>
      <c r="N32" s="259"/>
      <c r="O32" s="259"/>
      <c r="P32" s="259"/>
      <c r="Q32" s="117"/>
      <c r="R32" s="308"/>
      <c r="S32" s="179" t="s">
        <v>248</v>
      </c>
      <c r="T32" s="180"/>
      <c r="U32" s="183">
        <f>1-SUM(U25:U31)</f>
        <v>1.100000000000001E-2</v>
      </c>
      <c r="V32" s="185">
        <f>+U32/(U$26+U$28+U$29+U$31+U$32)*(1-V$24-V$25-V$27-V$30)</f>
        <v>9.5652173913043578E-3</v>
      </c>
      <c r="W32" s="185"/>
      <c r="X32" s="182"/>
      <c r="Y32" s="183">
        <f>+V32</f>
        <v>9.5652173913043578E-3</v>
      </c>
      <c r="Z32" s="316"/>
      <c r="AA32" s="317"/>
      <c r="AB32" s="308"/>
      <c r="AC32" s="308"/>
      <c r="AD32" s="308"/>
      <c r="AE32" s="308"/>
      <c r="AF32" s="94"/>
    </row>
    <row r="33" spans="1:32" ht="14.25" x14ac:dyDescent="0.3">
      <c r="A33" s="259"/>
      <c r="B33" s="259"/>
      <c r="C33" s="259"/>
      <c r="D33" s="259"/>
      <c r="E33" s="259"/>
      <c r="F33" s="259"/>
      <c r="G33" s="259"/>
      <c r="H33" s="259"/>
      <c r="I33" s="291"/>
      <c r="J33" s="259"/>
      <c r="K33" s="259"/>
      <c r="L33" s="259"/>
      <c r="M33" s="259"/>
      <c r="N33" s="259"/>
      <c r="O33" s="259"/>
      <c r="P33" s="259"/>
      <c r="Q33" s="117"/>
      <c r="R33" s="308"/>
      <c r="S33" s="179"/>
      <c r="T33" s="180"/>
      <c r="U33" s="184">
        <f t="shared" ref="U33:X33" si="0">SUM(U24:U32)</f>
        <v>1</v>
      </c>
      <c r="V33" s="182">
        <f t="shared" si="0"/>
        <v>1</v>
      </c>
      <c r="W33" s="182">
        <f t="shared" si="0"/>
        <v>0.3103240291989664</v>
      </c>
      <c r="X33" s="182">
        <f t="shared" si="0"/>
        <v>0.29683168010335914</v>
      </c>
      <c r="Y33" s="183">
        <f>SUM(Y24:Y32)</f>
        <v>0.26950801162790711</v>
      </c>
      <c r="Z33" s="316"/>
      <c r="AA33" s="317"/>
      <c r="AB33" s="308"/>
      <c r="AC33" s="308"/>
      <c r="AD33" s="308"/>
      <c r="AE33" s="308"/>
      <c r="AF33" s="94"/>
    </row>
    <row r="34" spans="1:32" ht="14.25" x14ac:dyDescent="0.3">
      <c r="A34" s="259"/>
      <c r="B34" s="259"/>
      <c r="C34" s="259"/>
      <c r="D34" s="259"/>
      <c r="E34" s="259"/>
      <c r="F34" s="259"/>
      <c r="G34" s="259"/>
      <c r="H34" s="259"/>
      <c r="I34" s="291"/>
      <c r="J34" s="259"/>
      <c r="K34" s="259"/>
      <c r="L34" s="259"/>
      <c r="M34" s="259"/>
      <c r="N34" s="259"/>
      <c r="O34" s="259"/>
      <c r="P34" s="259"/>
      <c r="Q34" s="117"/>
      <c r="R34" s="308"/>
      <c r="S34" s="323"/>
      <c r="T34" s="316"/>
      <c r="U34" s="316"/>
      <c r="V34" s="316"/>
      <c r="W34" s="321"/>
      <c r="X34" s="316"/>
      <c r="Y34" s="321"/>
      <c r="Z34" s="321"/>
      <c r="AA34" s="324"/>
      <c r="AB34" s="308"/>
      <c r="AC34" s="308"/>
      <c r="AD34" s="308"/>
      <c r="AE34" s="308"/>
      <c r="AF34" s="94"/>
    </row>
    <row r="35" spans="1:32" ht="14.25" x14ac:dyDescent="0.3">
      <c r="A35" s="259"/>
      <c r="B35" s="259"/>
      <c r="C35" s="259"/>
      <c r="D35" s="259"/>
      <c r="E35" s="259"/>
      <c r="F35" s="259"/>
      <c r="G35" s="259"/>
      <c r="H35" s="259"/>
      <c r="I35" s="291"/>
      <c r="J35" s="259"/>
      <c r="K35" s="259"/>
      <c r="L35" s="259"/>
      <c r="M35" s="259"/>
      <c r="N35" s="259"/>
      <c r="O35" s="259"/>
      <c r="P35" s="259"/>
      <c r="Q35" s="117"/>
      <c r="R35" s="308"/>
      <c r="S35" s="320"/>
      <c r="T35" s="321"/>
      <c r="U35" s="325"/>
      <c r="V35" s="321"/>
      <c r="W35" s="321"/>
      <c r="X35" s="316"/>
      <c r="Y35" s="321"/>
      <c r="Z35" s="321"/>
      <c r="AA35" s="324"/>
      <c r="AB35" s="308"/>
      <c r="AC35" s="308"/>
      <c r="AD35" s="308"/>
      <c r="AE35" s="308"/>
      <c r="AF35" s="94"/>
    </row>
    <row r="36" spans="1:32" ht="14.25" x14ac:dyDescent="0.3">
      <c r="A36" s="259"/>
      <c r="B36" s="259"/>
      <c r="C36" s="259"/>
      <c r="D36" s="259"/>
      <c r="E36" s="259"/>
      <c r="F36" s="259"/>
      <c r="G36" s="259"/>
      <c r="H36" s="259"/>
      <c r="I36" s="291"/>
      <c r="J36" s="259"/>
      <c r="K36" s="259"/>
      <c r="L36" s="259"/>
      <c r="M36" s="259"/>
      <c r="N36" s="259"/>
      <c r="O36" s="259"/>
      <c r="P36" s="259"/>
      <c r="Q36" s="117"/>
      <c r="R36" s="308"/>
      <c r="S36" s="179" t="s">
        <v>253</v>
      </c>
      <c r="T36" s="180"/>
      <c r="U36" s="180"/>
      <c r="V36" s="183">
        <f>+V27*E19</f>
        <v>0.57326999999999995</v>
      </c>
      <c r="W36" s="321"/>
      <c r="X36" s="316"/>
      <c r="Y36" s="316"/>
      <c r="Z36" s="316"/>
      <c r="AA36" s="317"/>
      <c r="AB36" s="308"/>
      <c r="AC36" s="308"/>
      <c r="AD36" s="308"/>
      <c r="AE36" s="308"/>
      <c r="AF36" s="94"/>
    </row>
    <row r="37" spans="1:32" ht="14.25" x14ac:dyDescent="0.3">
      <c r="A37" s="259"/>
      <c r="B37" s="259"/>
      <c r="C37" s="259"/>
      <c r="D37" s="259"/>
      <c r="E37" s="259"/>
      <c r="F37" s="259"/>
      <c r="G37" s="259"/>
      <c r="H37" s="259"/>
      <c r="I37" s="291"/>
      <c r="J37" s="259"/>
      <c r="K37" s="259"/>
      <c r="L37" s="259"/>
      <c r="M37" s="259"/>
      <c r="N37" s="259"/>
      <c r="O37" s="259"/>
      <c r="P37" s="259"/>
      <c r="Q37" s="117"/>
      <c r="R37" s="308"/>
      <c r="S37" s="179" t="s">
        <v>254</v>
      </c>
      <c r="T37" s="180"/>
      <c r="U37" s="180"/>
      <c r="V37" s="183">
        <f>+V36*180/172</f>
        <v>0.59993372093023256</v>
      </c>
      <c r="W37" s="321"/>
      <c r="X37" s="316"/>
      <c r="Y37" s="316"/>
      <c r="Z37" s="316"/>
      <c r="AA37" s="317"/>
      <c r="AB37" s="308"/>
      <c r="AC37" s="308"/>
      <c r="AD37" s="308"/>
      <c r="AE37" s="308"/>
      <c r="AF37" s="94"/>
    </row>
    <row r="38" spans="1:32" ht="14.25" x14ac:dyDescent="0.3">
      <c r="A38" s="259"/>
      <c r="B38" s="259"/>
      <c r="C38" s="259"/>
      <c r="D38" s="259"/>
      <c r="E38" s="259"/>
      <c r="F38" s="259"/>
      <c r="G38" s="259"/>
      <c r="H38" s="259"/>
      <c r="I38" s="291"/>
      <c r="J38" s="259"/>
      <c r="K38" s="259"/>
      <c r="L38" s="259"/>
      <c r="M38" s="259"/>
      <c r="N38" s="259"/>
      <c r="O38" s="259"/>
      <c r="P38" s="259"/>
      <c r="Q38" s="117"/>
      <c r="R38" s="308"/>
      <c r="S38" s="179" t="s">
        <v>252</v>
      </c>
      <c r="T38" s="180"/>
      <c r="U38" s="180"/>
      <c r="V38" s="183">
        <f>+V37-V36</f>
        <v>2.6663720930232615E-2</v>
      </c>
      <c r="W38" s="321"/>
      <c r="X38" s="316"/>
      <c r="Y38" s="316"/>
      <c r="Z38" s="316"/>
      <c r="AA38" s="317"/>
      <c r="AB38" s="308"/>
      <c r="AC38" s="308"/>
      <c r="AD38" s="308"/>
      <c r="AE38" s="308"/>
      <c r="AF38" s="94"/>
    </row>
    <row r="39" spans="1:32" ht="12.75" customHeight="1" x14ac:dyDescent="0.3">
      <c r="A39" s="259"/>
      <c r="B39" s="259"/>
      <c r="C39" s="259"/>
      <c r="D39" s="259"/>
      <c r="E39" s="259"/>
      <c r="F39" s="259"/>
      <c r="G39" s="259"/>
      <c r="H39" s="259"/>
      <c r="I39" s="291"/>
      <c r="J39" s="259"/>
      <c r="K39" s="259"/>
      <c r="L39" s="259"/>
      <c r="M39" s="259"/>
      <c r="N39" s="259"/>
      <c r="O39" s="259"/>
      <c r="P39" s="259"/>
      <c r="Q39" s="117"/>
      <c r="R39" s="308"/>
      <c r="S39" s="320"/>
      <c r="T39" s="321"/>
      <c r="U39" s="321"/>
      <c r="V39" s="321"/>
      <c r="W39" s="321"/>
      <c r="X39" s="316"/>
      <c r="Y39" s="316"/>
      <c r="Z39" s="316"/>
      <c r="AA39" s="317"/>
      <c r="AB39" s="308"/>
      <c r="AC39" s="308"/>
      <c r="AD39" s="308"/>
      <c r="AE39" s="308"/>
      <c r="AF39" s="94"/>
    </row>
    <row r="40" spans="1:32" ht="12.75" customHeight="1" x14ac:dyDescent="0.3">
      <c r="A40" s="259"/>
      <c r="B40" s="259"/>
      <c r="C40" s="259"/>
      <c r="D40" s="259"/>
      <c r="E40" s="259"/>
      <c r="F40" s="259"/>
      <c r="G40" s="259"/>
      <c r="H40" s="259"/>
      <c r="I40" s="291"/>
      <c r="J40" s="259"/>
      <c r="K40" s="259"/>
      <c r="L40" s="259"/>
      <c r="M40" s="259"/>
      <c r="N40" s="259"/>
      <c r="O40" s="259"/>
      <c r="P40" s="259"/>
      <c r="Q40" s="117"/>
      <c r="R40" s="308"/>
      <c r="S40" s="179" t="s">
        <v>255</v>
      </c>
      <c r="T40" s="180"/>
      <c r="U40" s="180"/>
      <c r="V40" s="183"/>
      <c r="W40" s="321"/>
      <c r="X40" s="316"/>
      <c r="Y40" s="316"/>
      <c r="Z40" s="316"/>
      <c r="AA40" s="317"/>
      <c r="AB40" s="308"/>
      <c r="AC40" s="308"/>
      <c r="AD40" s="308"/>
      <c r="AE40" s="308"/>
      <c r="AF40" s="94"/>
    </row>
    <row r="41" spans="1:32" ht="14.25" x14ac:dyDescent="0.3">
      <c r="A41" s="259"/>
      <c r="B41" s="259"/>
      <c r="C41" s="259"/>
      <c r="D41" s="259"/>
      <c r="E41" s="259"/>
      <c r="F41" s="259"/>
      <c r="G41" s="259"/>
      <c r="H41" s="259"/>
      <c r="I41" s="291"/>
      <c r="J41" s="259"/>
      <c r="K41" s="259"/>
      <c r="L41" s="259"/>
      <c r="M41" s="259"/>
      <c r="N41" s="259"/>
      <c r="O41" s="259"/>
      <c r="P41" s="259"/>
      <c r="Q41" s="117"/>
      <c r="R41" s="308"/>
      <c r="S41" s="186" t="s">
        <v>256</v>
      </c>
      <c r="T41" s="180"/>
      <c r="U41" s="180"/>
      <c r="V41" s="183">
        <f>+V37</f>
        <v>0.59993372093023256</v>
      </c>
      <c r="W41" s="321"/>
      <c r="X41" s="316"/>
      <c r="Y41" s="316"/>
      <c r="Z41" s="316"/>
      <c r="AA41" s="317"/>
      <c r="AB41" s="308"/>
      <c r="AC41" s="308"/>
      <c r="AD41" s="308"/>
      <c r="AE41" s="308"/>
      <c r="AF41" s="94"/>
    </row>
    <row r="42" spans="1:32" ht="14.25" x14ac:dyDescent="0.3">
      <c r="A42" s="259"/>
      <c r="B42" s="259"/>
      <c r="C42" s="259"/>
      <c r="D42" s="293"/>
      <c r="E42" s="293"/>
      <c r="F42" s="293"/>
      <c r="G42" s="293"/>
      <c r="H42" s="259"/>
      <c r="I42" s="291"/>
      <c r="J42" s="259"/>
      <c r="K42" s="259"/>
      <c r="L42" s="259"/>
      <c r="M42" s="259"/>
      <c r="N42" s="259"/>
      <c r="O42" s="259"/>
      <c r="P42" s="259"/>
      <c r="Q42" s="117"/>
      <c r="R42" s="308"/>
      <c r="S42" s="186" t="s">
        <v>257</v>
      </c>
      <c r="T42" s="180"/>
      <c r="U42" s="180"/>
      <c r="V42" s="183">
        <f>+V30</f>
        <v>2.5999999999999999E-2</v>
      </c>
      <c r="W42" s="321"/>
      <c r="X42" s="316"/>
      <c r="Y42" s="316"/>
      <c r="Z42" s="316"/>
      <c r="AA42" s="317"/>
      <c r="AB42" s="308"/>
      <c r="AC42" s="308"/>
      <c r="AD42" s="308"/>
      <c r="AE42" s="308"/>
      <c r="AF42" s="94"/>
    </row>
    <row r="43" spans="1:32" ht="14.25" x14ac:dyDescent="0.3">
      <c r="A43" s="259"/>
      <c r="B43" s="259"/>
      <c r="C43" s="259"/>
      <c r="D43" s="293"/>
      <c r="E43" s="293"/>
      <c r="F43" s="293"/>
      <c r="G43" s="293"/>
      <c r="H43" s="259"/>
      <c r="I43" s="291"/>
      <c r="J43" s="259"/>
      <c r="K43" s="259"/>
      <c r="L43" s="259"/>
      <c r="M43" s="259"/>
      <c r="N43" s="259"/>
      <c r="O43" s="259"/>
      <c r="P43" s="259"/>
      <c r="Q43" s="117"/>
      <c r="R43" s="308"/>
      <c r="S43" s="179"/>
      <c r="T43" s="180"/>
      <c r="U43" s="180"/>
      <c r="V43" s="183">
        <f>SUM(V41:V42)</f>
        <v>0.62593372093023258</v>
      </c>
      <c r="W43" s="321"/>
      <c r="X43" s="316"/>
      <c r="Y43" s="316"/>
      <c r="Z43" s="316"/>
      <c r="AA43" s="317"/>
      <c r="AB43" s="308"/>
      <c r="AC43" s="308"/>
      <c r="AD43" s="308"/>
      <c r="AE43" s="308"/>
      <c r="AF43" s="94"/>
    </row>
    <row r="44" spans="1:32" ht="14.25" x14ac:dyDescent="0.3">
      <c r="A44" s="259"/>
      <c r="B44" s="259"/>
      <c r="C44" s="259"/>
      <c r="D44" s="293"/>
      <c r="E44" s="293"/>
      <c r="F44" s="293"/>
      <c r="G44" s="293"/>
      <c r="H44" s="259"/>
      <c r="I44" s="291"/>
      <c r="J44" s="259"/>
      <c r="K44" s="259"/>
      <c r="L44" s="259"/>
      <c r="M44" s="259"/>
      <c r="N44" s="259"/>
      <c r="O44" s="259"/>
      <c r="P44" s="259"/>
      <c r="Q44" s="117"/>
      <c r="R44" s="308"/>
      <c r="S44" s="179" t="s">
        <v>261</v>
      </c>
      <c r="T44" s="180"/>
      <c r="U44" s="180"/>
      <c r="V44" s="183">
        <f>+V43*E20</f>
        <v>0.60715570930232554</v>
      </c>
      <c r="W44" s="321"/>
      <c r="X44" s="316"/>
      <c r="Y44" s="316"/>
      <c r="Z44" s="316"/>
      <c r="AA44" s="317"/>
      <c r="AB44" s="308"/>
      <c r="AC44" s="308"/>
      <c r="AD44" s="308"/>
      <c r="AE44" s="308"/>
      <c r="AF44" s="94"/>
    </row>
    <row r="45" spans="1:32" ht="14.25" x14ac:dyDescent="0.3">
      <c r="A45" s="259"/>
      <c r="B45" s="259"/>
      <c r="C45" s="259"/>
      <c r="D45" s="293"/>
      <c r="E45" s="293"/>
      <c r="F45" s="293"/>
      <c r="G45" s="293"/>
      <c r="H45" s="259"/>
      <c r="I45" s="291"/>
      <c r="J45" s="259"/>
      <c r="K45" s="259"/>
      <c r="L45" s="259"/>
      <c r="M45" s="259"/>
      <c r="N45" s="259"/>
      <c r="O45" s="259"/>
      <c r="P45" s="259"/>
      <c r="Q45" s="117"/>
      <c r="R45" s="308"/>
      <c r="S45" s="320"/>
      <c r="T45" s="321"/>
      <c r="U45" s="321"/>
      <c r="V45" s="321"/>
      <c r="W45" s="321"/>
      <c r="X45" s="316"/>
      <c r="Y45" s="316"/>
      <c r="Z45" s="316"/>
      <c r="AA45" s="317"/>
      <c r="AB45" s="308"/>
      <c r="AC45" s="308"/>
      <c r="AD45" s="308"/>
      <c r="AE45" s="308"/>
      <c r="AF45" s="94"/>
    </row>
    <row r="46" spans="1:32" ht="14.25" x14ac:dyDescent="0.3">
      <c r="A46" s="259"/>
      <c r="B46" s="259"/>
      <c r="C46" s="259"/>
      <c r="D46" s="293"/>
      <c r="E46" s="293"/>
      <c r="F46" s="293"/>
      <c r="G46" s="293"/>
      <c r="H46" s="259"/>
      <c r="I46" s="291"/>
      <c r="J46" s="259"/>
      <c r="K46" s="259"/>
      <c r="L46" s="259"/>
      <c r="M46" s="259"/>
      <c r="N46" s="259"/>
      <c r="O46" s="259"/>
      <c r="P46" s="259"/>
      <c r="Q46" s="117"/>
      <c r="R46" s="308"/>
      <c r="S46" s="179" t="s">
        <v>258</v>
      </c>
      <c r="T46" s="180"/>
      <c r="U46" s="180"/>
      <c r="V46" s="183"/>
      <c r="W46" s="321"/>
      <c r="X46" s="316"/>
      <c r="Y46" s="316"/>
      <c r="Z46" s="316"/>
      <c r="AA46" s="317"/>
      <c r="AB46" s="308"/>
      <c r="AC46" s="308"/>
      <c r="AD46" s="308"/>
      <c r="AE46" s="308"/>
      <c r="AF46" s="94"/>
    </row>
    <row r="47" spans="1:32" ht="14.25" x14ac:dyDescent="0.3">
      <c r="A47" s="259"/>
      <c r="B47" s="259"/>
      <c r="C47" s="259"/>
      <c r="D47" s="293"/>
      <c r="E47" s="293"/>
      <c r="F47" s="293"/>
      <c r="G47" s="293"/>
      <c r="H47" s="259"/>
      <c r="I47" s="291"/>
      <c r="J47" s="259"/>
      <c r="K47" s="259"/>
      <c r="L47" s="259"/>
      <c r="M47" s="259"/>
      <c r="N47" s="259"/>
      <c r="O47" s="259"/>
      <c r="P47" s="259"/>
      <c r="Q47" s="117"/>
      <c r="R47" s="308"/>
      <c r="S47" s="186" t="s">
        <v>259</v>
      </c>
      <c r="T47" s="180"/>
      <c r="U47" s="180"/>
      <c r="V47" s="183">
        <f>+V44*46/(46+44)</f>
        <v>0.3103240291989664</v>
      </c>
      <c r="W47" s="321"/>
      <c r="X47" s="316"/>
      <c r="Y47" s="316"/>
      <c r="Z47" s="316"/>
      <c r="AA47" s="317"/>
      <c r="AB47" s="308"/>
      <c r="AC47" s="308"/>
      <c r="AD47" s="308"/>
      <c r="AE47" s="308"/>
      <c r="AF47" s="94"/>
    </row>
    <row r="48" spans="1:32" ht="14.25" x14ac:dyDescent="0.3">
      <c r="A48" s="259"/>
      <c r="B48" s="259"/>
      <c r="C48" s="259"/>
      <c r="D48" s="293"/>
      <c r="E48" s="293"/>
      <c r="F48" s="293"/>
      <c r="G48" s="293"/>
      <c r="H48" s="259"/>
      <c r="I48" s="291"/>
      <c r="J48" s="259"/>
      <c r="K48" s="259"/>
      <c r="L48" s="259"/>
      <c r="M48" s="259"/>
      <c r="N48" s="259"/>
      <c r="O48" s="259"/>
      <c r="P48" s="259"/>
      <c r="Q48" s="117"/>
      <c r="R48" s="308"/>
      <c r="S48" s="186" t="s">
        <v>260</v>
      </c>
      <c r="T48" s="180"/>
      <c r="U48" s="180"/>
      <c r="V48" s="183">
        <f>+V44-V47</f>
        <v>0.29683168010335914</v>
      </c>
      <c r="W48" s="321"/>
      <c r="X48" s="316"/>
      <c r="Y48" s="316"/>
      <c r="Z48" s="316"/>
      <c r="AA48" s="317"/>
      <c r="AB48" s="308"/>
      <c r="AC48" s="308"/>
      <c r="AD48" s="308"/>
      <c r="AE48" s="308"/>
    </row>
    <row r="49" spans="1:32" ht="14.25" x14ac:dyDescent="0.3">
      <c r="A49" s="259"/>
      <c r="B49" s="259"/>
      <c r="C49" s="259"/>
      <c r="D49" s="293"/>
      <c r="E49" s="293"/>
      <c r="F49" s="293"/>
      <c r="G49" s="293"/>
      <c r="H49" s="259"/>
      <c r="I49" s="291"/>
      <c r="J49" s="259"/>
      <c r="K49" s="259"/>
      <c r="L49" s="259"/>
      <c r="M49" s="259"/>
      <c r="N49" s="259"/>
      <c r="O49" s="259"/>
      <c r="P49" s="259"/>
      <c r="Q49" s="117"/>
      <c r="R49" s="308"/>
      <c r="S49" s="320"/>
      <c r="T49" s="321"/>
      <c r="U49" s="325"/>
      <c r="V49" s="321"/>
      <c r="W49" s="321"/>
      <c r="X49" s="316"/>
      <c r="Y49" s="321"/>
      <c r="Z49" s="321"/>
      <c r="AA49" s="324"/>
      <c r="AB49" s="308"/>
      <c r="AC49" s="308"/>
      <c r="AD49" s="308"/>
      <c r="AE49" s="308"/>
    </row>
    <row r="50" spans="1:32" ht="14.25" x14ac:dyDescent="0.3">
      <c r="A50" s="259"/>
      <c r="B50" s="259"/>
      <c r="C50" s="259"/>
      <c r="D50" s="293"/>
      <c r="E50" s="293"/>
      <c r="F50" s="293"/>
      <c r="G50" s="293"/>
      <c r="H50" s="259"/>
      <c r="I50" s="291"/>
      <c r="J50" s="259"/>
      <c r="K50" s="259"/>
      <c r="L50" s="259"/>
      <c r="M50" s="259"/>
      <c r="N50" s="259"/>
      <c r="O50" s="259"/>
      <c r="P50" s="259"/>
      <c r="Q50" s="117"/>
      <c r="R50" s="308"/>
      <c r="S50" s="438" t="s">
        <v>262</v>
      </c>
      <c r="T50" s="439"/>
      <c r="U50" s="439"/>
      <c r="V50" s="439"/>
      <c r="W50" s="439"/>
      <c r="X50" s="439"/>
      <c r="Y50" s="439"/>
      <c r="Z50" s="439"/>
      <c r="AA50" s="324"/>
      <c r="AB50" s="308"/>
      <c r="AC50" s="308"/>
      <c r="AD50" s="308"/>
      <c r="AE50" s="308"/>
      <c r="AF50" s="94"/>
    </row>
    <row r="51" spans="1:32" ht="13.5" customHeight="1" x14ac:dyDescent="0.3">
      <c r="A51" s="259"/>
      <c r="B51" s="259"/>
      <c r="C51" s="259"/>
      <c r="D51" s="293"/>
      <c r="E51" s="293"/>
      <c r="F51" s="293"/>
      <c r="G51" s="293"/>
      <c r="H51" s="259"/>
      <c r="I51" s="291"/>
      <c r="J51" s="259"/>
      <c r="K51" s="259"/>
      <c r="L51" s="259"/>
      <c r="M51" s="259"/>
      <c r="N51" s="259"/>
      <c r="O51" s="259"/>
      <c r="P51" s="259"/>
      <c r="Q51" s="117"/>
      <c r="R51" s="308"/>
      <c r="S51" s="438"/>
      <c r="T51" s="439"/>
      <c r="U51" s="439"/>
      <c r="V51" s="439"/>
      <c r="W51" s="439"/>
      <c r="X51" s="439"/>
      <c r="Y51" s="439"/>
      <c r="Z51" s="439"/>
      <c r="AA51" s="317"/>
      <c r="AB51" s="308"/>
      <c r="AC51" s="308"/>
      <c r="AD51" s="308"/>
      <c r="AE51" s="308"/>
      <c r="AF51" s="94"/>
    </row>
    <row r="52" spans="1:32" ht="14.25" x14ac:dyDescent="0.3">
      <c r="A52" s="259"/>
      <c r="B52" s="259"/>
      <c r="C52" s="259"/>
      <c r="D52" s="293"/>
      <c r="E52" s="293"/>
      <c r="F52" s="293"/>
      <c r="G52" s="293"/>
      <c r="H52" s="259"/>
      <c r="I52" s="291"/>
      <c r="J52" s="259"/>
      <c r="K52" s="259"/>
      <c r="L52" s="259"/>
      <c r="M52" s="259"/>
      <c r="N52" s="259"/>
      <c r="O52" s="259"/>
      <c r="P52" s="259"/>
      <c r="Q52" s="117"/>
      <c r="R52" s="308"/>
      <c r="S52" s="179"/>
      <c r="T52" s="180"/>
      <c r="U52" s="180"/>
      <c r="V52" s="180"/>
      <c r="W52" s="180"/>
      <c r="X52" s="180"/>
      <c r="Y52" s="180"/>
      <c r="Z52" s="180"/>
      <c r="AA52" s="187"/>
      <c r="AB52" s="308"/>
      <c r="AC52" s="308"/>
      <c r="AD52" s="308"/>
      <c r="AE52" s="308"/>
    </row>
    <row r="53" spans="1:32" ht="14.25" customHeight="1" x14ac:dyDescent="0.3">
      <c r="A53" s="259"/>
      <c r="B53" s="259"/>
      <c r="C53" s="259"/>
      <c r="D53" s="293"/>
      <c r="E53" s="293"/>
      <c r="F53" s="293"/>
      <c r="G53" s="293"/>
      <c r="H53" s="259"/>
      <c r="I53" s="291"/>
      <c r="J53" s="259"/>
      <c r="K53" s="259"/>
      <c r="L53" s="259"/>
      <c r="M53" s="259"/>
      <c r="N53" s="259"/>
      <c r="O53" s="259"/>
      <c r="P53" s="259"/>
      <c r="Q53" s="117"/>
      <c r="R53" s="308"/>
      <c r="S53" s="179"/>
      <c r="T53" s="180"/>
      <c r="U53" s="180"/>
      <c r="V53" s="180"/>
      <c r="W53" s="180"/>
      <c r="X53" s="180"/>
      <c r="Y53" s="180"/>
      <c r="Z53" s="180"/>
      <c r="AA53" s="187"/>
      <c r="AB53" s="308"/>
      <c r="AC53" s="308"/>
      <c r="AD53" s="308"/>
      <c r="AE53" s="308"/>
    </row>
    <row r="54" spans="1:32" ht="14.25" x14ac:dyDescent="0.3">
      <c r="A54" s="259"/>
      <c r="B54" s="259"/>
      <c r="C54" s="259"/>
      <c r="D54" s="293"/>
      <c r="E54" s="293"/>
      <c r="F54" s="293"/>
      <c r="G54" s="293"/>
      <c r="H54" s="259"/>
      <c r="I54" s="291"/>
      <c r="J54" s="259"/>
      <c r="K54" s="259"/>
      <c r="L54" s="259"/>
      <c r="M54" s="259"/>
      <c r="N54" s="259"/>
      <c r="O54" s="259"/>
      <c r="P54" s="259"/>
      <c r="Q54" s="117"/>
      <c r="R54" s="308"/>
      <c r="S54" s="179"/>
      <c r="T54" s="180"/>
      <c r="U54" s="180"/>
      <c r="V54" s="180"/>
      <c r="W54" s="180"/>
      <c r="X54" s="180"/>
      <c r="Y54" s="180"/>
      <c r="Z54" s="180"/>
      <c r="AA54" s="187"/>
      <c r="AB54" s="308"/>
      <c r="AC54" s="308"/>
      <c r="AD54" s="308"/>
      <c r="AE54" s="308"/>
    </row>
    <row r="55" spans="1:32" ht="14.25" x14ac:dyDescent="0.3">
      <c r="A55" s="259"/>
      <c r="B55" s="259"/>
      <c r="C55" s="259"/>
      <c r="D55" s="293"/>
      <c r="E55" s="293"/>
      <c r="F55" s="293"/>
      <c r="G55" s="293"/>
      <c r="H55" s="259"/>
      <c r="I55" s="291"/>
      <c r="J55" s="259"/>
      <c r="K55" s="259"/>
      <c r="L55" s="259"/>
      <c r="M55" s="259"/>
      <c r="N55" s="259"/>
      <c r="O55" s="259"/>
      <c r="P55" s="259"/>
      <c r="Q55" s="117"/>
      <c r="R55" s="308"/>
      <c r="S55" s="179"/>
      <c r="T55" s="180"/>
      <c r="U55" s="180"/>
      <c r="V55" s="180"/>
      <c r="W55" s="180"/>
      <c r="X55" s="180"/>
      <c r="Y55" s="180"/>
      <c r="Z55" s="180"/>
      <c r="AA55" s="187"/>
      <c r="AB55" s="308"/>
      <c r="AC55" s="308"/>
      <c r="AD55" s="308"/>
      <c r="AE55" s="308"/>
    </row>
    <row r="56" spans="1:32" ht="15" thickBot="1" x14ac:dyDescent="0.35">
      <c r="A56" s="259"/>
      <c r="B56" s="259"/>
      <c r="C56" s="259"/>
      <c r="D56" s="293"/>
      <c r="E56" s="293"/>
      <c r="F56" s="293"/>
      <c r="G56" s="293"/>
      <c r="H56" s="259"/>
      <c r="I56" s="291"/>
      <c r="J56" s="259"/>
      <c r="K56" s="259"/>
      <c r="L56" s="259"/>
      <c r="M56" s="259"/>
      <c r="N56" s="259"/>
      <c r="O56" s="259"/>
      <c r="P56" s="259"/>
      <c r="Q56" s="117"/>
      <c r="R56" s="308"/>
      <c r="S56" s="188"/>
      <c r="T56" s="189"/>
      <c r="U56" s="189"/>
      <c r="V56" s="189"/>
      <c r="W56" s="189"/>
      <c r="X56" s="189"/>
      <c r="Y56" s="189"/>
      <c r="Z56" s="189"/>
      <c r="AA56" s="190"/>
      <c r="AB56" s="308"/>
      <c r="AC56" s="308"/>
      <c r="AD56" s="308"/>
      <c r="AE56" s="308"/>
    </row>
    <row r="57" spans="1:32" ht="14.25" x14ac:dyDescent="0.3">
      <c r="A57" s="259"/>
      <c r="B57" s="259"/>
      <c r="C57" s="259"/>
      <c r="D57" s="293"/>
      <c r="E57" s="293"/>
      <c r="F57" s="293"/>
      <c r="G57" s="293"/>
      <c r="H57" s="259"/>
      <c r="I57" s="291"/>
      <c r="J57" s="259"/>
      <c r="K57" s="259"/>
      <c r="L57" s="259"/>
      <c r="M57" s="259"/>
      <c r="N57" s="259"/>
      <c r="O57" s="259"/>
      <c r="P57" s="259"/>
      <c r="Q57" s="117"/>
      <c r="R57" s="308"/>
      <c r="S57" s="308"/>
      <c r="T57" s="308"/>
      <c r="U57" s="308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</row>
    <row r="58" spans="1:32" ht="15" thickBot="1" x14ac:dyDescent="0.35">
      <c r="A58" s="259"/>
      <c r="B58" s="259"/>
      <c r="C58" s="259"/>
      <c r="D58" s="293"/>
      <c r="E58" s="293"/>
      <c r="F58" s="293"/>
      <c r="G58" s="293"/>
      <c r="H58" s="259"/>
      <c r="I58" s="291"/>
      <c r="J58" s="259"/>
      <c r="K58" s="259"/>
      <c r="L58" s="259"/>
      <c r="M58" s="259"/>
      <c r="N58" s="259"/>
      <c r="O58" s="259"/>
      <c r="P58" s="259"/>
      <c r="Q58" s="117"/>
      <c r="R58" s="308"/>
      <c r="S58" s="308"/>
      <c r="T58" s="308"/>
      <c r="U58" s="308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9"/>
    </row>
    <row r="59" spans="1:32" ht="14.25" x14ac:dyDescent="0.3">
      <c r="A59" s="259"/>
      <c r="B59" s="259"/>
      <c r="C59" s="259"/>
      <c r="D59" s="293"/>
      <c r="E59" s="293"/>
      <c r="F59" s="293"/>
      <c r="G59" s="293"/>
      <c r="H59" s="259"/>
      <c r="I59" s="291"/>
      <c r="J59" s="259"/>
      <c r="K59" s="259"/>
      <c r="L59" s="259"/>
      <c r="M59" s="259"/>
      <c r="N59" s="259"/>
      <c r="O59" s="259"/>
      <c r="P59" s="259"/>
      <c r="Q59" s="117"/>
      <c r="R59" s="308"/>
      <c r="S59" s="100" t="s">
        <v>263</v>
      </c>
      <c r="T59" s="177"/>
      <c r="U59" s="178"/>
      <c r="V59" s="177"/>
      <c r="W59" s="326"/>
      <c r="X59" s="314"/>
      <c r="Y59" s="314"/>
      <c r="Z59" s="314"/>
      <c r="AA59" s="315"/>
      <c r="AB59" s="308"/>
      <c r="AC59" s="308"/>
      <c r="AD59" s="308"/>
      <c r="AE59" s="308"/>
      <c r="AF59" s="9"/>
    </row>
    <row r="60" spans="1:32" ht="14.25" x14ac:dyDescent="0.3">
      <c r="A60" s="259"/>
      <c r="B60" s="259"/>
      <c r="C60" s="259"/>
      <c r="D60" s="293"/>
      <c r="E60" s="293"/>
      <c r="F60" s="293"/>
      <c r="G60" s="293"/>
      <c r="H60" s="259"/>
      <c r="I60" s="291"/>
      <c r="J60" s="259"/>
      <c r="K60" s="259"/>
      <c r="L60" s="259"/>
      <c r="M60" s="259"/>
      <c r="N60" s="259"/>
      <c r="O60" s="259"/>
      <c r="P60" s="259"/>
      <c r="Q60" s="117"/>
      <c r="R60" s="308"/>
      <c r="S60" s="320"/>
      <c r="T60" s="321"/>
      <c r="U60" s="325"/>
      <c r="V60" s="321"/>
      <c r="W60" s="321"/>
      <c r="X60" s="316"/>
      <c r="Y60" s="316"/>
      <c r="Z60" s="316"/>
      <c r="AA60" s="317"/>
      <c r="AB60" s="308"/>
      <c r="AC60" s="308"/>
      <c r="AD60" s="308"/>
      <c r="AE60" s="308"/>
    </row>
    <row r="61" spans="1:32" ht="14.25" x14ac:dyDescent="0.3">
      <c r="A61" s="259"/>
      <c r="B61" s="259"/>
      <c r="C61" s="259"/>
      <c r="D61" s="293"/>
      <c r="E61" s="293"/>
      <c r="F61" s="293"/>
      <c r="G61" s="293"/>
      <c r="H61" s="259"/>
      <c r="I61" s="291"/>
      <c r="J61" s="259"/>
      <c r="K61" s="259"/>
      <c r="L61" s="259"/>
      <c r="M61" s="259"/>
      <c r="N61" s="259"/>
      <c r="O61" s="259"/>
      <c r="P61" s="259"/>
      <c r="Q61" s="117"/>
      <c r="R61" s="308"/>
      <c r="S61" s="179"/>
      <c r="T61" s="98"/>
      <c r="U61" s="98"/>
      <c r="V61" s="321"/>
      <c r="W61" s="321"/>
      <c r="X61" s="316"/>
      <c r="Y61" s="316"/>
      <c r="Z61" s="316"/>
      <c r="AA61" s="317"/>
      <c r="AB61" s="308"/>
      <c r="AC61" s="308"/>
      <c r="AD61" s="308"/>
      <c r="AE61" s="308"/>
    </row>
    <row r="62" spans="1:32" ht="12.75" customHeight="1" x14ac:dyDescent="0.3">
      <c r="A62" s="259"/>
      <c r="B62" s="259"/>
      <c r="C62" s="259"/>
      <c r="D62" s="293"/>
      <c r="E62" s="293"/>
      <c r="F62" s="293"/>
      <c r="G62" s="293"/>
      <c r="H62" s="259"/>
      <c r="I62" s="291"/>
      <c r="J62" s="259"/>
      <c r="K62" s="259"/>
      <c r="L62" s="259"/>
      <c r="M62" s="259"/>
      <c r="N62" s="259"/>
      <c r="O62" s="259"/>
      <c r="P62" s="259"/>
      <c r="Q62" s="117"/>
      <c r="R62" s="308"/>
      <c r="S62" s="101" t="s">
        <v>264</v>
      </c>
      <c r="T62" s="99">
        <f>+E24</f>
        <v>0.97</v>
      </c>
      <c r="U62" s="99"/>
      <c r="V62" s="321"/>
      <c r="W62" s="321"/>
      <c r="X62" s="316"/>
      <c r="Y62" s="316"/>
      <c r="Z62" s="316"/>
      <c r="AA62" s="317"/>
      <c r="AB62" s="308"/>
      <c r="AC62" s="308"/>
      <c r="AD62" s="308"/>
      <c r="AE62" s="308"/>
    </row>
    <row r="63" spans="1:32" ht="14.25" x14ac:dyDescent="0.3">
      <c r="A63" s="259"/>
      <c r="B63" s="259"/>
      <c r="C63" s="259"/>
      <c r="D63" s="293"/>
      <c r="E63" s="293"/>
      <c r="F63" s="293"/>
      <c r="G63" s="293"/>
      <c r="H63" s="259"/>
      <c r="I63" s="291"/>
      <c r="J63" s="259"/>
      <c r="K63" s="259"/>
      <c r="L63" s="259"/>
      <c r="M63" s="259"/>
      <c r="N63" s="259"/>
      <c r="O63" s="259"/>
      <c r="P63" s="259"/>
      <c r="Q63" s="117"/>
      <c r="R63" s="308"/>
      <c r="S63" s="102" t="s">
        <v>265</v>
      </c>
      <c r="T63" s="99">
        <f>+(24+6+16)/28</f>
        <v>1.6428571428571428</v>
      </c>
      <c r="U63" s="99"/>
      <c r="V63" s="321"/>
      <c r="W63" s="321"/>
      <c r="X63" s="316"/>
      <c r="Y63" s="316"/>
      <c r="Z63" s="316"/>
      <c r="AA63" s="317"/>
      <c r="AB63" s="308"/>
      <c r="AC63" s="308"/>
      <c r="AD63" s="308"/>
      <c r="AE63" s="308"/>
    </row>
    <row r="64" spans="1:32" ht="15" thickBot="1" x14ac:dyDescent="0.35">
      <c r="A64" s="259"/>
      <c r="B64" s="259"/>
      <c r="C64" s="259"/>
      <c r="D64" s="293"/>
      <c r="E64" s="293"/>
      <c r="F64" s="293"/>
      <c r="G64" s="293"/>
      <c r="H64" s="259"/>
      <c r="I64" s="291"/>
      <c r="J64" s="259"/>
      <c r="K64" s="259"/>
      <c r="L64" s="259"/>
      <c r="M64" s="259"/>
      <c r="N64" s="259"/>
      <c r="O64" s="259"/>
      <c r="P64" s="259"/>
      <c r="Q64" s="117"/>
      <c r="R64" s="308"/>
      <c r="S64" s="103" t="s">
        <v>266</v>
      </c>
      <c r="T64" s="104"/>
      <c r="U64" s="104">
        <f>+T63/T62</f>
        <v>1.6936671575846833</v>
      </c>
      <c r="V64" s="322"/>
      <c r="W64" s="322"/>
      <c r="X64" s="318"/>
      <c r="Y64" s="318"/>
      <c r="Z64" s="318"/>
      <c r="AA64" s="319"/>
      <c r="AB64" s="308"/>
      <c r="AC64" s="308"/>
      <c r="AD64" s="308"/>
      <c r="AE64" s="308"/>
    </row>
    <row r="65" spans="1:31" ht="14.25" x14ac:dyDescent="0.3">
      <c r="A65" s="259"/>
      <c r="B65" s="259"/>
      <c r="C65" s="259"/>
      <c r="D65" s="293"/>
      <c r="E65" s="293"/>
      <c r="F65" s="293"/>
      <c r="G65" s="293"/>
      <c r="H65" s="259"/>
      <c r="I65" s="291"/>
      <c r="J65" s="259"/>
      <c r="K65" s="259"/>
      <c r="L65" s="259"/>
      <c r="M65" s="259"/>
      <c r="N65" s="259"/>
      <c r="O65" s="259"/>
      <c r="P65" s="259"/>
      <c r="Q65" s="117"/>
      <c r="R65" s="308"/>
      <c r="S65" s="308"/>
      <c r="T65" s="308"/>
      <c r="U65" s="308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</row>
    <row r="66" spans="1:31" ht="14.25" x14ac:dyDescent="0.3">
      <c r="A66" s="259"/>
      <c r="B66" s="259"/>
      <c r="C66" s="259"/>
      <c r="D66" s="293"/>
      <c r="E66" s="293"/>
      <c r="F66" s="293"/>
      <c r="G66" s="293"/>
      <c r="H66" s="259"/>
      <c r="I66" s="291"/>
      <c r="J66" s="259"/>
      <c r="K66" s="259"/>
      <c r="L66" s="259"/>
      <c r="M66" s="259"/>
      <c r="N66" s="259"/>
      <c r="O66" s="259"/>
      <c r="P66" s="259"/>
      <c r="Q66" s="117"/>
      <c r="R66" s="308"/>
      <c r="S66" s="308"/>
      <c r="T66" s="308"/>
      <c r="U66" s="308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</row>
    <row r="67" spans="1:31" ht="14.25" x14ac:dyDescent="0.3">
      <c r="A67" s="259"/>
      <c r="B67" s="259"/>
      <c r="C67" s="259"/>
      <c r="D67" s="293"/>
      <c r="E67" s="293"/>
      <c r="F67" s="293"/>
      <c r="G67" s="293"/>
      <c r="H67" s="259"/>
      <c r="I67" s="291"/>
      <c r="J67" s="259"/>
      <c r="K67" s="259"/>
      <c r="L67" s="259"/>
      <c r="M67" s="259"/>
      <c r="N67" s="259"/>
      <c r="O67" s="259"/>
      <c r="P67" s="259"/>
      <c r="Q67" s="117"/>
      <c r="R67" s="308"/>
      <c r="S67" s="308"/>
      <c r="T67" s="308"/>
      <c r="U67" s="308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</row>
    <row r="68" spans="1:31" ht="14.25" x14ac:dyDescent="0.3">
      <c r="A68" s="259"/>
      <c r="B68" s="259"/>
      <c r="C68" s="259"/>
      <c r="D68" s="292"/>
      <c r="E68" s="292"/>
      <c r="F68" s="292"/>
      <c r="G68" s="292"/>
      <c r="H68" s="259"/>
      <c r="I68" s="291"/>
      <c r="J68" s="259"/>
      <c r="K68" s="259"/>
      <c r="L68" s="259"/>
      <c r="M68" s="259"/>
      <c r="N68" s="259"/>
      <c r="O68" s="259"/>
      <c r="P68" s="259"/>
      <c r="Q68" s="118"/>
      <c r="R68" s="308"/>
      <c r="S68" s="308"/>
      <c r="T68" s="308"/>
      <c r="U68" s="308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</row>
    <row r="69" spans="1:31" ht="14.25" x14ac:dyDescent="0.3">
      <c r="A69" s="259"/>
      <c r="B69" s="259"/>
      <c r="C69" s="259"/>
      <c r="D69" s="292"/>
      <c r="E69" s="292"/>
      <c r="F69" s="292"/>
      <c r="G69" s="292"/>
      <c r="H69" s="259"/>
      <c r="I69" s="291"/>
      <c r="J69" s="259"/>
      <c r="K69" s="259"/>
      <c r="L69" s="259"/>
      <c r="M69" s="259"/>
      <c r="N69" s="259"/>
      <c r="O69" s="259"/>
      <c r="P69" s="259"/>
      <c r="Q69" s="118"/>
      <c r="R69" s="308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</row>
    <row r="70" spans="1:31" ht="14.25" x14ac:dyDescent="0.3">
      <c r="A70" s="259"/>
      <c r="B70" s="259"/>
      <c r="C70" s="259"/>
      <c r="D70" s="292"/>
      <c r="E70" s="292"/>
      <c r="F70" s="292"/>
      <c r="G70" s="292"/>
      <c r="H70" s="259"/>
      <c r="I70" s="291"/>
      <c r="J70" s="259"/>
      <c r="K70" s="259"/>
      <c r="L70" s="259"/>
      <c r="M70" s="259"/>
      <c r="N70" s="259"/>
      <c r="O70" s="259"/>
      <c r="P70" s="259"/>
      <c r="Q70" s="118"/>
      <c r="R70" s="308"/>
      <c r="S70" s="308"/>
      <c r="T70" s="308"/>
      <c r="U70" s="308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</row>
    <row r="71" spans="1:31" ht="14.25" x14ac:dyDescent="0.3">
      <c r="A71" s="259"/>
      <c r="B71" s="259"/>
      <c r="C71" s="259"/>
      <c r="D71" s="292"/>
      <c r="E71" s="292"/>
      <c r="F71" s="292"/>
      <c r="G71" s="292"/>
      <c r="H71" s="292"/>
      <c r="I71" s="292"/>
      <c r="J71" s="292"/>
      <c r="K71" s="292"/>
      <c r="L71" s="292"/>
      <c r="M71" s="292"/>
      <c r="N71" s="292"/>
      <c r="O71" s="292"/>
      <c r="P71" s="259"/>
      <c r="Q71" s="118"/>
      <c r="R71" s="308"/>
      <c r="S71" s="308"/>
      <c r="T71" s="308"/>
      <c r="U71" s="30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</row>
    <row r="72" spans="1:31" ht="14.25" x14ac:dyDescent="0.3">
      <c r="A72" s="259"/>
      <c r="B72" s="259"/>
      <c r="C72" s="259"/>
      <c r="D72" s="292"/>
      <c r="E72" s="292"/>
      <c r="F72" s="292"/>
      <c r="G72" s="292"/>
      <c r="H72" s="292"/>
      <c r="I72" s="312"/>
      <c r="J72" s="292"/>
      <c r="K72" s="292"/>
      <c r="L72" s="292"/>
      <c r="M72" s="292"/>
      <c r="N72" s="292"/>
      <c r="O72" s="292"/>
      <c r="P72" s="259"/>
      <c r="Q72" s="118"/>
      <c r="R72" s="308"/>
      <c r="S72" s="308"/>
      <c r="T72" s="308"/>
      <c r="U72" s="30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</row>
    <row r="73" spans="1:31" ht="14.25" x14ac:dyDescent="0.3">
      <c r="A73" s="259"/>
      <c r="B73" s="259"/>
      <c r="C73" s="259"/>
      <c r="D73" s="292"/>
      <c r="E73" s="292"/>
      <c r="F73" s="292"/>
      <c r="G73" s="292"/>
      <c r="H73" s="292"/>
      <c r="I73" s="312"/>
      <c r="J73" s="292"/>
      <c r="K73" s="292"/>
      <c r="L73" s="292"/>
      <c r="M73" s="292"/>
      <c r="N73" s="292"/>
      <c r="O73" s="292"/>
      <c r="P73" s="259"/>
      <c r="Q73" s="118"/>
      <c r="R73" s="308"/>
      <c r="S73" s="308"/>
      <c r="T73" s="308"/>
      <c r="U73" s="30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</row>
    <row r="74" spans="1:31" ht="14.25" x14ac:dyDescent="0.3">
      <c r="A74" s="259"/>
      <c r="B74" s="259"/>
      <c r="C74" s="259"/>
      <c r="D74" s="292"/>
      <c r="E74" s="292"/>
      <c r="F74" s="292"/>
      <c r="G74" s="292"/>
      <c r="H74" s="292"/>
      <c r="I74" s="312"/>
      <c r="J74" s="292"/>
      <c r="K74" s="292"/>
      <c r="L74" s="292"/>
      <c r="M74" s="292"/>
      <c r="N74" s="292"/>
      <c r="O74" s="292"/>
      <c r="P74" s="259"/>
      <c r="Q74" s="118"/>
      <c r="R74" s="308"/>
      <c r="S74" s="308"/>
      <c r="T74" s="308"/>
      <c r="U74" s="30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</row>
    <row r="75" spans="1:31" x14ac:dyDescent="0.2">
      <c r="D75" s="9"/>
      <c r="E75" s="9"/>
      <c r="F75" s="9"/>
      <c r="G75" s="9"/>
      <c r="H75" s="9"/>
      <c r="I75" s="95"/>
      <c r="J75" s="9"/>
      <c r="K75" s="9"/>
      <c r="L75" s="9"/>
      <c r="M75" s="9"/>
      <c r="N75" s="9"/>
      <c r="O75" s="9"/>
      <c r="P75" s="9"/>
      <c r="Q75" s="9"/>
    </row>
    <row r="76" spans="1:31" x14ac:dyDescent="0.2">
      <c r="D76" s="9"/>
      <c r="E76" s="9"/>
      <c r="F76" s="9"/>
      <c r="G76" s="9"/>
      <c r="H76" s="9"/>
      <c r="I76" s="95"/>
      <c r="J76" s="9"/>
      <c r="K76" s="9"/>
      <c r="L76" s="9"/>
      <c r="M76" s="9"/>
      <c r="N76" s="9"/>
      <c r="O76" s="9"/>
      <c r="P76" s="9"/>
      <c r="Q76" s="9"/>
    </row>
    <row r="77" spans="1:31" x14ac:dyDescent="0.2">
      <c r="D77" s="9"/>
      <c r="E77" s="9"/>
      <c r="F77" s="9"/>
      <c r="G77" s="9"/>
      <c r="H77" s="9"/>
      <c r="I77" s="95"/>
      <c r="J77" s="9"/>
      <c r="K77" s="9"/>
      <c r="L77" s="9"/>
      <c r="M77" s="9"/>
      <c r="N77" s="9"/>
      <c r="O77" s="9"/>
      <c r="P77" s="9"/>
      <c r="Q77" s="9"/>
    </row>
  </sheetData>
  <mergeCells count="14">
    <mergeCell ref="B2:D3"/>
    <mergeCell ref="L18:L20"/>
    <mergeCell ref="H7:I9"/>
    <mergeCell ref="H23:I25"/>
    <mergeCell ref="H18:I20"/>
    <mergeCell ref="K7:K9"/>
    <mergeCell ref="L7:L9"/>
    <mergeCell ref="H12:I13"/>
    <mergeCell ref="H15:I16"/>
    <mergeCell ref="S50:Z51"/>
    <mergeCell ref="W20:Y20"/>
    <mergeCell ref="U20:V21"/>
    <mergeCell ref="U22:U23"/>
    <mergeCell ref="V22:V23"/>
  </mergeCell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0"/>
  <sheetViews>
    <sheetView zoomScale="85" zoomScaleNormal="85" workbookViewId="0">
      <selection activeCell="M3" sqref="M3"/>
    </sheetView>
  </sheetViews>
  <sheetFormatPr defaultRowHeight="14.25" x14ac:dyDescent="0.3"/>
  <cols>
    <col min="2" max="2" width="2.7109375" customWidth="1"/>
    <col min="3" max="3" width="9.140625" style="119"/>
    <col min="4" max="4" width="1.7109375" style="119" customWidth="1"/>
    <col min="5" max="5" width="17.5703125" style="119" customWidth="1"/>
    <col min="6" max="8" width="13.7109375" style="119" customWidth="1"/>
    <col min="9" max="9" width="8.5703125" style="119" customWidth="1"/>
    <col min="10" max="10" width="9.140625" style="119"/>
    <col min="11" max="11" width="30.85546875" style="119" customWidth="1"/>
    <col min="12" max="12" width="11.7109375" style="119" customWidth="1"/>
    <col min="13" max="14" width="9.140625" style="119"/>
    <col min="15" max="15" width="6.7109375" style="119" customWidth="1"/>
    <col min="16" max="16" width="10.5703125" style="119" bestFit="1" customWidth="1"/>
    <col min="17" max="17" width="10.5703125" style="119" customWidth="1"/>
    <col min="18" max="18" width="3.7109375" style="119" customWidth="1"/>
    <col min="19" max="19" width="2.7109375" customWidth="1"/>
    <col min="21" max="21" width="4.7109375" customWidth="1"/>
    <col min="23" max="23" width="15.85546875" customWidth="1"/>
    <col min="24" max="24" width="9.140625" customWidth="1"/>
    <col min="27" max="27" width="18.7109375" customWidth="1"/>
    <col min="39" max="39" width="33.42578125" customWidth="1"/>
  </cols>
  <sheetData>
    <row r="1" spans="1:39" ht="15" thickBot="1" x14ac:dyDescent="0.35">
      <c r="A1" s="259"/>
      <c r="B1" s="259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259"/>
      <c r="T1" s="259"/>
      <c r="U1" s="116"/>
      <c r="V1" s="308"/>
      <c r="W1" s="308"/>
      <c r="X1" s="308"/>
      <c r="Y1" s="308"/>
      <c r="Z1" s="308"/>
      <c r="AA1" s="308"/>
      <c r="AB1" s="308"/>
      <c r="AC1" s="308"/>
      <c r="AD1" s="308"/>
      <c r="AE1" s="308"/>
      <c r="AF1" s="308"/>
      <c r="AG1" s="308"/>
      <c r="AH1" s="308"/>
      <c r="AI1" s="308"/>
      <c r="AJ1" s="306"/>
      <c r="AK1" s="306"/>
      <c r="AL1" s="306"/>
      <c r="AM1" s="306"/>
    </row>
    <row r="2" spans="1:39" ht="20.100000000000001" customHeight="1" x14ac:dyDescent="0.3">
      <c r="A2" s="259"/>
      <c r="B2" s="441" t="s">
        <v>353</v>
      </c>
      <c r="C2" s="441"/>
      <c r="D2" s="441"/>
      <c r="E2" s="441"/>
      <c r="F2" s="473"/>
      <c r="G2" s="220" t="s">
        <v>376</v>
      </c>
      <c r="H2" s="204"/>
      <c r="I2" s="307"/>
      <c r="J2" s="307"/>
      <c r="K2" s="307"/>
      <c r="L2" s="307"/>
      <c r="M2" s="307"/>
      <c r="N2" s="307"/>
      <c r="O2" s="307"/>
      <c r="P2" s="307"/>
      <c r="Q2" s="307"/>
      <c r="R2" s="307"/>
      <c r="S2" s="259"/>
      <c r="T2" s="259"/>
      <c r="U2" s="116"/>
      <c r="V2" s="308"/>
      <c r="W2" s="308"/>
      <c r="X2" s="308"/>
      <c r="Y2" s="308"/>
      <c r="Z2" s="308"/>
      <c r="AA2" s="308"/>
      <c r="AB2" s="308"/>
      <c r="AC2" s="308"/>
      <c r="AD2" s="308"/>
      <c r="AE2" s="308"/>
      <c r="AF2" s="308"/>
      <c r="AG2" s="308"/>
      <c r="AH2" s="308"/>
      <c r="AI2" s="308"/>
      <c r="AJ2" s="308"/>
      <c r="AK2" s="308"/>
      <c r="AL2" s="308"/>
      <c r="AM2" s="308"/>
    </row>
    <row r="3" spans="1:39" ht="20.100000000000001" customHeight="1" thickBot="1" x14ac:dyDescent="0.35">
      <c r="A3" s="259"/>
      <c r="B3" s="441"/>
      <c r="C3" s="441"/>
      <c r="D3" s="441"/>
      <c r="E3" s="441"/>
      <c r="F3" s="473"/>
      <c r="G3" s="361" t="s">
        <v>377</v>
      </c>
      <c r="H3" s="206"/>
      <c r="I3" s="307"/>
      <c r="J3" s="307"/>
      <c r="K3" s="307"/>
      <c r="L3" s="307"/>
      <c r="M3" s="307"/>
      <c r="N3" s="307"/>
      <c r="O3" s="307"/>
      <c r="P3" s="307"/>
      <c r="Q3" s="307"/>
      <c r="R3" s="307"/>
      <c r="S3" s="259"/>
      <c r="T3" s="259"/>
      <c r="U3" s="116"/>
      <c r="V3" s="308"/>
      <c r="W3" s="308"/>
      <c r="X3" s="308"/>
      <c r="Y3" s="308"/>
      <c r="Z3" s="308"/>
      <c r="AA3" s="308"/>
      <c r="AB3" s="308"/>
      <c r="AC3" s="308"/>
      <c r="AD3" s="308"/>
      <c r="AE3" s="308"/>
      <c r="AF3" s="308"/>
      <c r="AG3" s="308"/>
      <c r="AH3" s="308"/>
      <c r="AI3" s="308"/>
      <c r="AJ3" s="308"/>
      <c r="AK3" s="308"/>
      <c r="AL3" s="308"/>
      <c r="AM3" s="308"/>
    </row>
    <row r="4" spans="1:39" x14ac:dyDescent="0.3">
      <c r="A4" s="259"/>
      <c r="B4" s="362" t="s">
        <v>437</v>
      </c>
      <c r="C4" s="259"/>
      <c r="D4" s="259"/>
      <c r="E4" s="259"/>
      <c r="F4" s="259"/>
      <c r="G4" s="259"/>
      <c r="H4" s="259"/>
      <c r="I4" s="259"/>
      <c r="J4" s="259"/>
      <c r="K4" s="259"/>
      <c r="L4" s="307"/>
      <c r="M4" s="307"/>
      <c r="N4" s="307"/>
      <c r="O4" s="307"/>
      <c r="P4" s="307"/>
      <c r="Q4" s="307"/>
      <c r="R4" s="307"/>
      <c r="S4" s="259"/>
      <c r="T4" s="259"/>
      <c r="U4" s="116"/>
      <c r="V4" s="308"/>
      <c r="W4" s="308"/>
      <c r="X4" s="308"/>
      <c r="Y4" s="308"/>
      <c r="Z4" s="308"/>
      <c r="AA4" s="308"/>
      <c r="AB4" s="308"/>
      <c r="AC4" s="308"/>
      <c r="AD4" s="308"/>
      <c r="AE4" s="308"/>
      <c r="AF4" s="308"/>
      <c r="AG4" s="308"/>
      <c r="AH4" s="308"/>
      <c r="AI4" s="308"/>
      <c r="AJ4" s="308"/>
      <c r="AK4" s="308"/>
      <c r="AL4" s="308"/>
      <c r="AM4" s="308"/>
    </row>
    <row r="5" spans="1:39" x14ac:dyDescent="0.3">
      <c r="A5" s="259"/>
      <c r="B5" s="259"/>
      <c r="C5" s="307"/>
      <c r="D5" s="307"/>
      <c r="E5" s="259"/>
      <c r="F5" s="259"/>
      <c r="G5" s="259"/>
      <c r="H5" s="259"/>
      <c r="I5" s="259"/>
      <c r="J5" s="259"/>
      <c r="K5" s="259"/>
      <c r="L5" s="307"/>
      <c r="M5" s="307"/>
      <c r="N5" s="307"/>
      <c r="O5" s="307"/>
      <c r="P5" s="307"/>
      <c r="Q5" s="307"/>
      <c r="R5" s="307"/>
      <c r="S5" s="259"/>
      <c r="T5" s="259"/>
      <c r="U5" s="116"/>
      <c r="V5" s="308"/>
      <c r="W5" s="308"/>
      <c r="X5" s="308"/>
      <c r="Y5" s="308"/>
      <c r="Z5" s="308"/>
      <c r="AA5" s="308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</row>
    <row r="6" spans="1:39" x14ac:dyDescent="0.3">
      <c r="A6" s="259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59"/>
      <c r="U6" s="116"/>
      <c r="V6" s="308"/>
      <c r="W6" s="308"/>
      <c r="X6" s="308"/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</row>
    <row r="7" spans="1:39" x14ac:dyDescent="0.3">
      <c r="A7" s="259"/>
      <c r="B7" s="7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7"/>
      <c r="T7" s="259"/>
      <c r="U7" s="116"/>
      <c r="V7" s="308"/>
      <c r="W7" s="308"/>
      <c r="X7" s="308"/>
      <c r="Y7" s="308"/>
      <c r="Z7" s="308"/>
      <c r="AA7" s="308"/>
      <c r="AB7" s="308"/>
      <c r="AC7" s="308"/>
      <c r="AD7" s="308"/>
      <c r="AE7" s="308"/>
      <c r="AF7" s="308"/>
      <c r="AG7" s="308"/>
      <c r="AH7" s="308"/>
      <c r="AI7" s="308"/>
      <c r="AJ7" s="308"/>
      <c r="AK7" s="308"/>
      <c r="AL7" s="308"/>
      <c r="AM7" s="308"/>
    </row>
    <row r="8" spans="1:39" ht="15.75" customHeight="1" x14ac:dyDescent="0.3">
      <c r="A8" s="259"/>
      <c r="B8" s="7"/>
      <c r="C8" s="120"/>
      <c r="D8" s="120"/>
      <c r="E8" s="475" t="s">
        <v>285</v>
      </c>
      <c r="F8" s="489" t="s">
        <v>286</v>
      </c>
      <c r="G8" s="490"/>
      <c r="H8" s="491"/>
      <c r="I8" s="120"/>
      <c r="J8" s="120"/>
      <c r="K8" s="121" t="s">
        <v>287</v>
      </c>
      <c r="L8" s="453" t="s">
        <v>288</v>
      </c>
      <c r="M8" s="477" t="s">
        <v>289</v>
      </c>
      <c r="N8" s="477" t="s">
        <v>290</v>
      </c>
      <c r="O8" s="477" t="s">
        <v>291</v>
      </c>
      <c r="P8" s="477" t="s">
        <v>292</v>
      </c>
      <c r="Q8" s="480" t="s">
        <v>293</v>
      </c>
      <c r="R8" s="120"/>
      <c r="S8" s="7"/>
      <c r="T8" s="259"/>
      <c r="U8" s="116"/>
      <c r="V8" s="308"/>
      <c r="W8" s="122" t="s">
        <v>294</v>
      </c>
      <c r="X8" s="122"/>
      <c r="Y8" s="122"/>
      <c r="Z8" s="122"/>
      <c r="AA8" s="122"/>
      <c r="AB8" s="123"/>
      <c r="AC8" s="123"/>
      <c r="AD8" s="123"/>
      <c r="AE8" s="123"/>
      <c r="AF8" s="308"/>
      <c r="AG8" s="308"/>
      <c r="AH8" s="308"/>
      <c r="AI8" s="308"/>
      <c r="AJ8" s="308"/>
      <c r="AK8" s="308"/>
      <c r="AL8" s="308"/>
      <c r="AM8" s="308"/>
    </row>
    <row r="9" spans="1:39" ht="15.75" x14ac:dyDescent="0.3">
      <c r="A9" s="259"/>
      <c r="B9" s="7"/>
      <c r="C9" s="120"/>
      <c r="D9" s="120"/>
      <c r="E9" s="475"/>
      <c r="F9" s="483" t="s">
        <v>295</v>
      </c>
      <c r="G9" s="485" t="s">
        <v>279</v>
      </c>
      <c r="H9" s="487" t="s">
        <v>296</v>
      </c>
      <c r="I9" s="120"/>
      <c r="J9" s="120"/>
      <c r="L9" s="454"/>
      <c r="M9" s="478"/>
      <c r="N9" s="478"/>
      <c r="O9" s="478"/>
      <c r="P9" s="478"/>
      <c r="Q9" s="481"/>
      <c r="R9" s="120"/>
      <c r="S9" s="7"/>
      <c r="T9" s="259"/>
      <c r="U9" s="116"/>
      <c r="V9" s="308"/>
      <c r="W9" s="122" t="s">
        <v>297</v>
      </c>
      <c r="X9" s="122"/>
      <c r="Y9" s="122"/>
      <c r="Z9" s="122"/>
      <c r="AA9" s="122"/>
      <c r="AB9" s="123"/>
      <c r="AC9" s="123"/>
      <c r="AD9" s="123"/>
      <c r="AE9" s="123"/>
      <c r="AF9" s="308"/>
      <c r="AG9" s="308"/>
      <c r="AH9" s="308"/>
      <c r="AI9" s="308"/>
      <c r="AJ9" s="308"/>
      <c r="AK9" s="308"/>
      <c r="AL9" s="308"/>
      <c r="AM9" s="308"/>
    </row>
    <row r="10" spans="1:39" ht="15.75" x14ac:dyDescent="0.3">
      <c r="A10" s="259"/>
      <c r="B10" s="7"/>
      <c r="C10" s="120"/>
      <c r="D10" s="120"/>
      <c r="E10" s="475"/>
      <c r="F10" s="483"/>
      <c r="G10" s="485"/>
      <c r="H10" s="487"/>
      <c r="I10" s="120"/>
      <c r="J10" s="120"/>
      <c r="K10" s="124" t="s">
        <v>298</v>
      </c>
      <c r="L10" s="454"/>
      <c r="M10" s="478"/>
      <c r="N10" s="478"/>
      <c r="O10" s="478"/>
      <c r="P10" s="478"/>
      <c r="Q10" s="481"/>
      <c r="R10" s="120"/>
      <c r="S10" s="7"/>
      <c r="T10" s="259"/>
      <c r="U10" s="116"/>
      <c r="V10" s="308"/>
      <c r="W10" s="122" t="s">
        <v>299</v>
      </c>
      <c r="X10" s="122"/>
      <c r="Y10" s="122"/>
      <c r="Z10" s="122"/>
      <c r="AA10" s="125">
        <v>70000</v>
      </c>
      <c r="AB10" s="123"/>
      <c r="AC10" s="123"/>
      <c r="AD10" s="123"/>
      <c r="AE10" s="123"/>
      <c r="AF10" s="308"/>
      <c r="AG10" s="308"/>
      <c r="AH10" s="308"/>
      <c r="AI10" s="308"/>
      <c r="AJ10" s="308"/>
      <c r="AK10" s="308"/>
      <c r="AL10" s="308"/>
      <c r="AM10" s="308"/>
    </row>
    <row r="11" spans="1:39" ht="15.75" x14ac:dyDescent="0.3">
      <c r="A11" s="259"/>
      <c r="B11" s="7"/>
      <c r="C11" s="120"/>
      <c r="D11" s="120"/>
      <c r="E11" s="476"/>
      <c r="F11" s="484"/>
      <c r="G11" s="486"/>
      <c r="H11" s="488"/>
      <c r="I11" s="120"/>
      <c r="J11" s="120"/>
      <c r="K11" s="120"/>
      <c r="L11" s="455"/>
      <c r="M11" s="479"/>
      <c r="N11" s="479"/>
      <c r="O11" s="479"/>
      <c r="P11" s="479"/>
      <c r="Q11" s="482"/>
      <c r="R11" s="120"/>
      <c r="S11" s="7"/>
      <c r="T11" s="259"/>
      <c r="U11" s="116"/>
      <c r="V11" s="308"/>
      <c r="W11" s="122" t="s">
        <v>300</v>
      </c>
      <c r="X11" s="122"/>
      <c r="Y11" s="122"/>
      <c r="Z11" s="122"/>
      <c r="AA11" s="126">
        <v>0.02</v>
      </c>
      <c r="AB11" s="123"/>
      <c r="AC11" s="123"/>
      <c r="AD11" s="123"/>
      <c r="AE11" s="123"/>
      <c r="AF11" s="308"/>
      <c r="AG11" s="308"/>
      <c r="AH11" s="308"/>
      <c r="AI11" s="308"/>
      <c r="AJ11" s="308"/>
      <c r="AK11" s="308"/>
      <c r="AL11" s="308"/>
      <c r="AM11" s="308"/>
    </row>
    <row r="12" spans="1:39" ht="15.75" x14ac:dyDescent="0.3">
      <c r="A12" s="259"/>
      <c r="B12" s="7"/>
      <c r="C12" s="120"/>
      <c r="D12" s="120"/>
      <c r="E12" s="127" t="s">
        <v>301</v>
      </c>
      <c r="F12" s="128"/>
      <c r="G12" s="128"/>
      <c r="H12" s="128"/>
      <c r="I12" s="120"/>
      <c r="J12" s="120"/>
      <c r="K12" s="129" t="s">
        <v>302</v>
      </c>
      <c r="L12" s="130"/>
      <c r="M12" s="130"/>
      <c r="N12" s="131">
        <f>+-AA12</f>
        <v>-1400</v>
      </c>
      <c r="O12" s="132">
        <v>0.56999999999999995</v>
      </c>
      <c r="P12" s="131">
        <f>+N12*O12</f>
        <v>-797.99999999999989</v>
      </c>
      <c r="Q12" s="133">
        <f>+P12/AA$14</f>
        <v>-53.199999999999996</v>
      </c>
      <c r="R12" s="120"/>
      <c r="S12" s="7"/>
      <c r="T12" s="259"/>
      <c r="U12" s="116"/>
      <c r="V12" s="308"/>
      <c r="W12" s="122"/>
      <c r="X12" s="122"/>
      <c r="Y12" s="122"/>
      <c r="Z12" s="122"/>
      <c r="AA12" s="122">
        <f>+AA10*AA11</f>
        <v>1400</v>
      </c>
      <c r="AB12" s="123"/>
      <c r="AC12" s="123"/>
      <c r="AD12" s="123"/>
      <c r="AE12" s="123"/>
      <c r="AF12" s="308"/>
      <c r="AG12" s="308"/>
      <c r="AH12" s="308"/>
      <c r="AI12" s="308"/>
      <c r="AJ12" s="308"/>
      <c r="AK12" s="308"/>
      <c r="AL12" s="308"/>
      <c r="AM12" s="308"/>
    </row>
    <row r="13" spans="1:39" ht="15.75" x14ac:dyDescent="0.3">
      <c r="A13" s="259"/>
      <c r="B13" s="7"/>
      <c r="C13" s="120"/>
      <c r="D13" s="120"/>
      <c r="E13" s="134" t="s">
        <v>303</v>
      </c>
      <c r="F13" s="193">
        <f>+G13</f>
        <v>4.4999999999999997E-3</v>
      </c>
      <c r="G13" s="193">
        <f>45/10000</f>
        <v>4.4999999999999997E-3</v>
      </c>
      <c r="H13" s="193">
        <v>1.9E-2</v>
      </c>
      <c r="I13" s="120"/>
      <c r="J13" s="120"/>
      <c r="K13" s="135" t="s">
        <v>304</v>
      </c>
      <c r="L13" s="136"/>
      <c r="M13" s="137"/>
      <c r="N13" s="136"/>
      <c r="O13" s="137"/>
      <c r="P13" s="136"/>
      <c r="Q13" s="138">
        <f>+P13/AA$14</f>
        <v>0</v>
      </c>
      <c r="R13" s="120"/>
      <c r="S13" s="7"/>
      <c r="T13" s="259"/>
      <c r="U13" s="116"/>
      <c r="V13" s="308"/>
      <c r="W13" s="122" t="s">
        <v>305</v>
      </c>
      <c r="X13" s="122"/>
      <c r="Y13" s="122"/>
      <c r="Z13" s="122"/>
      <c r="AA13" s="126">
        <v>0.56999999999999995</v>
      </c>
      <c r="AB13" s="123"/>
      <c r="AC13" s="123"/>
      <c r="AD13" s="123"/>
      <c r="AE13" s="123"/>
      <c r="AF13" s="308"/>
      <c r="AG13" s="308"/>
      <c r="AH13" s="308"/>
      <c r="AI13" s="308"/>
      <c r="AJ13" s="308"/>
      <c r="AK13" s="308"/>
      <c r="AL13" s="308"/>
      <c r="AM13" s="308"/>
    </row>
    <row r="14" spans="1:39" ht="15.75" x14ac:dyDescent="0.3">
      <c r="A14" s="259"/>
      <c r="B14" s="7"/>
      <c r="C14" s="120"/>
      <c r="D14" s="120"/>
      <c r="E14" s="139" t="s">
        <v>306</v>
      </c>
      <c r="F14" s="194">
        <f>+G14</f>
        <v>2.5000000000000001E-3</v>
      </c>
      <c r="G14" s="194">
        <f>25/10000</f>
        <v>2.5000000000000001E-3</v>
      </c>
      <c r="H14" s="194">
        <f>80/10000</f>
        <v>8.0000000000000002E-3</v>
      </c>
      <c r="I14" s="120"/>
      <c r="J14" s="120"/>
      <c r="K14" s="134" t="s">
        <v>307</v>
      </c>
      <c r="L14" s="131">
        <f>+IF(G27=W21,0,IF(G27=W22,G16*1000,0))</f>
        <v>0</v>
      </c>
      <c r="M14" s="191">
        <v>0.3</v>
      </c>
      <c r="N14" s="131">
        <f>+L14*M14</f>
        <v>0</v>
      </c>
      <c r="O14" s="132">
        <f>+O12</f>
        <v>0.56999999999999995</v>
      </c>
      <c r="P14" s="131">
        <f>+N14*O14</f>
        <v>0</v>
      </c>
      <c r="Q14" s="133">
        <f>+P14/AA$14</f>
        <v>0</v>
      </c>
      <c r="R14" s="120"/>
      <c r="S14" s="7"/>
      <c r="T14" s="259"/>
      <c r="U14" s="116"/>
      <c r="V14" s="308"/>
      <c r="W14" s="122" t="s">
        <v>308</v>
      </c>
      <c r="X14" s="122"/>
      <c r="Y14" s="122"/>
      <c r="Z14" s="122"/>
      <c r="AA14" s="122">
        <f>+X15</f>
        <v>15</v>
      </c>
      <c r="AB14" s="123"/>
      <c r="AC14" s="123"/>
      <c r="AD14" s="123"/>
      <c r="AE14" s="123"/>
      <c r="AF14" s="308"/>
      <c r="AG14" s="308"/>
      <c r="AH14" s="308"/>
      <c r="AI14" s="308"/>
      <c r="AJ14" s="308"/>
      <c r="AK14" s="308"/>
      <c r="AL14" s="308"/>
      <c r="AM14" s="308"/>
    </row>
    <row r="15" spans="1:39" ht="15.75" x14ac:dyDescent="0.3">
      <c r="A15" s="259"/>
      <c r="B15" s="7"/>
      <c r="C15" s="120"/>
      <c r="D15" s="120"/>
      <c r="E15" s="134" t="s">
        <v>309</v>
      </c>
      <c r="F15" s="193">
        <f>+G15</f>
        <v>2.4E-2</v>
      </c>
      <c r="G15" s="193">
        <v>2.4E-2</v>
      </c>
      <c r="H15" s="193">
        <v>6.0000000000000001E-3</v>
      </c>
      <c r="I15" s="120"/>
      <c r="J15" s="120"/>
      <c r="K15" s="139" t="s">
        <v>310</v>
      </c>
      <c r="L15" s="136">
        <f>+F16*1000</f>
        <v>3630.7999999999997</v>
      </c>
      <c r="M15" s="192">
        <v>0.35</v>
      </c>
      <c r="N15" s="136">
        <f>+L15*M15</f>
        <v>1270.7799999999997</v>
      </c>
      <c r="O15" s="141">
        <f>+O14</f>
        <v>0.56999999999999995</v>
      </c>
      <c r="P15" s="136">
        <f>+N15*O15</f>
        <v>724.34459999999979</v>
      </c>
      <c r="Q15" s="138">
        <f>+P15/AA$14</f>
        <v>48.289639999999984</v>
      </c>
      <c r="R15" s="120"/>
      <c r="S15" s="7"/>
      <c r="T15" s="259"/>
      <c r="U15" s="116"/>
      <c r="V15" s="308"/>
      <c r="W15" s="142" t="s">
        <v>311</v>
      </c>
      <c r="X15" s="143">
        <v>15</v>
      </c>
      <c r="Y15" s="122" t="s">
        <v>312</v>
      </c>
      <c r="Z15" s="122"/>
      <c r="AA15" s="122"/>
      <c r="AB15" s="123"/>
      <c r="AC15" s="123"/>
      <c r="AD15" s="123"/>
      <c r="AE15" s="123"/>
      <c r="AF15" s="308"/>
      <c r="AG15" s="308"/>
      <c r="AH15" s="308"/>
      <c r="AI15" s="308"/>
      <c r="AJ15" s="308"/>
      <c r="AK15" s="308"/>
      <c r="AL15" s="308"/>
      <c r="AM15" s="308"/>
    </row>
    <row r="16" spans="1:39" ht="15.75" x14ac:dyDescent="0.3">
      <c r="A16" s="259"/>
      <c r="B16" s="7"/>
      <c r="C16" s="120"/>
      <c r="D16" s="120"/>
      <c r="E16" s="137" t="s">
        <v>313</v>
      </c>
      <c r="F16" s="144">
        <f>+Massabalans!T12</f>
        <v>3.6307999999999998</v>
      </c>
      <c r="G16" s="144">
        <f>+Massabalans!T11</f>
        <v>7.7333333333333343</v>
      </c>
      <c r="H16" s="144">
        <f>+Massabalans!T9*Massabalans!T10</f>
        <v>7.3949999999999996</v>
      </c>
      <c r="I16" s="120"/>
      <c r="J16" s="120"/>
      <c r="K16" s="134"/>
      <c r="L16" s="131"/>
      <c r="M16" s="140"/>
      <c r="N16" s="131"/>
      <c r="O16" s="132"/>
      <c r="P16" s="131">
        <f>SUM(P12:P15)</f>
        <v>-73.6554000000001</v>
      </c>
      <c r="Q16" s="133">
        <f>SUM(Q12:Q15)</f>
        <v>-4.9103600000000114</v>
      </c>
      <c r="R16" s="120"/>
      <c r="S16" s="7"/>
      <c r="T16" s="259"/>
      <c r="U16" s="116"/>
      <c r="V16" s="308"/>
      <c r="W16" s="122" t="s">
        <v>314</v>
      </c>
      <c r="X16" s="122"/>
      <c r="Y16" s="122"/>
      <c r="Z16" s="122"/>
      <c r="AA16" s="122">
        <f>+AA12*AA13/AA14</f>
        <v>53.199999999999996</v>
      </c>
      <c r="AB16" s="123"/>
      <c r="AC16" s="123"/>
      <c r="AD16" s="123"/>
      <c r="AE16" s="123"/>
      <c r="AF16" s="308"/>
      <c r="AG16" s="308"/>
      <c r="AH16" s="308"/>
      <c r="AI16" s="308"/>
      <c r="AJ16" s="308"/>
      <c r="AK16" s="308"/>
      <c r="AL16" s="308"/>
      <c r="AM16" s="308"/>
    </row>
    <row r="17" spans="1:39" ht="15.75" x14ac:dyDescent="0.3">
      <c r="A17" s="259"/>
      <c r="B17" s="7"/>
      <c r="C17" s="120"/>
      <c r="D17" s="120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120"/>
      <c r="S17" s="7"/>
      <c r="T17" s="259"/>
      <c r="U17" s="116"/>
      <c r="V17" s="308"/>
      <c r="W17" s="122"/>
      <c r="X17" s="122"/>
      <c r="Y17" s="122"/>
      <c r="Z17" s="122"/>
      <c r="AA17" s="122"/>
      <c r="AB17" s="123"/>
      <c r="AC17" s="123"/>
      <c r="AD17" s="123"/>
      <c r="AE17" s="123"/>
      <c r="AF17" s="308"/>
      <c r="AG17" s="308"/>
      <c r="AH17" s="308"/>
      <c r="AI17" s="308"/>
      <c r="AJ17" s="308"/>
      <c r="AK17" s="308"/>
      <c r="AL17" s="308"/>
      <c r="AM17" s="308"/>
    </row>
    <row r="18" spans="1:39" ht="15.75" x14ac:dyDescent="0.3">
      <c r="A18" s="259"/>
      <c r="B18" s="7"/>
      <c r="C18" s="120"/>
      <c r="D18" s="120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120"/>
      <c r="S18" s="7"/>
      <c r="T18" s="259"/>
      <c r="U18" s="116"/>
      <c r="V18" s="308"/>
      <c r="W18" s="122"/>
      <c r="X18" s="122"/>
      <c r="Y18" s="122"/>
      <c r="Z18" s="122"/>
      <c r="AA18" s="122"/>
      <c r="AB18" s="123"/>
      <c r="AC18" s="123"/>
      <c r="AD18" s="123"/>
      <c r="AE18" s="123"/>
      <c r="AF18" s="308"/>
      <c r="AG18" s="308"/>
      <c r="AH18" s="308"/>
      <c r="AI18" s="308"/>
      <c r="AJ18" s="308"/>
      <c r="AK18" s="308"/>
      <c r="AL18" s="308"/>
      <c r="AM18" s="308"/>
    </row>
    <row r="19" spans="1:39" x14ac:dyDescent="0.3">
      <c r="A19" s="259"/>
      <c r="B19" s="7"/>
      <c r="C19" s="120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7"/>
      <c r="T19" s="259"/>
      <c r="U19" s="116"/>
      <c r="V19" s="308"/>
      <c r="W19" s="306"/>
      <c r="X19" s="306"/>
      <c r="Y19" s="306"/>
      <c r="Z19" s="306"/>
      <c r="AA19" s="306"/>
      <c r="AB19" s="306"/>
      <c r="AC19" s="306"/>
      <c r="AD19" s="306"/>
      <c r="AE19" s="306"/>
      <c r="AF19" s="308"/>
      <c r="AG19" s="308"/>
      <c r="AH19" s="308"/>
      <c r="AI19" s="308"/>
      <c r="AJ19" s="308"/>
      <c r="AK19" s="308"/>
      <c r="AL19" s="308"/>
      <c r="AM19" s="308"/>
    </row>
    <row r="20" spans="1:39" x14ac:dyDescent="0.3">
      <c r="A20" s="259"/>
      <c r="B20" s="7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7"/>
      <c r="T20" s="259"/>
      <c r="U20" s="116"/>
      <c r="V20" s="308"/>
      <c r="W20" s="122" t="s">
        <v>355</v>
      </c>
      <c r="X20" s="306"/>
      <c r="Y20" s="306"/>
      <c r="Z20" s="306"/>
      <c r="AA20" s="306"/>
      <c r="AB20" s="306"/>
      <c r="AC20" s="306"/>
      <c r="AD20" s="306"/>
      <c r="AE20" s="306"/>
      <c r="AF20" s="308"/>
      <c r="AG20" s="308"/>
      <c r="AH20" s="308"/>
      <c r="AI20" s="308"/>
      <c r="AJ20" s="308"/>
      <c r="AK20" s="308"/>
      <c r="AL20" s="308"/>
      <c r="AM20" s="308"/>
    </row>
    <row r="21" spans="1:39" x14ac:dyDescent="0.3">
      <c r="A21" s="259"/>
      <c r="B21" s="7"/>
      <c r="C21" s="120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7"/>
      <c r="T21" s="259"/>
      <c r="U21" s="116"/>
      <c r="V21" s="308"/>
      <c r="W21" s="122" t="s">
        <v>434</v>
      </c>
      <c r="X21" s="122"/>
      <c r="Y21" s="205" t="s">
        <v>377</v>
      </c>
      <c r="Z21" s="306"/>
      <c r="AA21" s="306"/>
      <c r="AB21" s="306"/>
      <c r="AC21" s="306"/>
      <c r="AD21" s="306"/>
      <c r="AE21" s="306"/>
      <c r="AF21" s="308"/>
      <c r="AG21" s="308"/>
      <c r="AH21" s="308"/>
      <c r="AI21" s="308"/>
      <c r="AJ21" s="308"/>
      <c r="AK21" s="308"/>
      <c r="AL21" s="308"/>
      <c r="AM21" s="308"/>
    </row>
    <row r="22" spans="1:39" x14ac:dyDescent="0.3">
      <c r="A22" s="259"/>
      <c r="B22" s="7"/>
      <c r="C22" s="120"/>
      <c r="D22" s="120"/>
      <c r="E22" s="465" t="s">
        <v>315</v>
      </c>
      <c r="F22" s="467" t="s">
        <v>279</v>
      </c>
      <c r="G22" s="469" t="s">
        <v>296</v>
      </c>
      <c r="H22" s="471" t="s">
        <v>295</v>
      </c>
      <c r="I22" s="120"/>
      <c r="J22" s="120"/>
      <c r="K22" s="120"/>
      <c r="L22" s="453" t="s">
        <v>316</v>
      </c>
      <c r="M22" s="477" t="s">
        <v>317</v>
      </c>
      <c r="N22" s="480" t="s">
        <v>318</v>
      </c>
      <c r="O22" s="120"/>
      <c r="P22" s="120"/>
      <c r="Q22" s="120"/>
      <c r="R22" s="120"/>
      <c r="S22" s="7"/>
      <c r="T22" s="259"/>
      <c r="U22" s="116"/>
      <c r="V22" s="308"/>
      <c r="W22" s="122" t="s">
        <v>322</v>
      </c>
      <c r="X22" s="122"/>
      <c r="Y22" s="205" t="s">
        <v>378</v>
      </c>
      <c r="Z22" s="306"/>
      <c r="AA22" s="306"/>
      <c r="AB22" s="306"/>
      <c r="AC22" s="306"/>
      <c r="AD22" s="306"/>
      <c r="AE22" s="306"/>
      <c r="AF22" s="308"/>
      <c r="AG22" s="308"/>
      <c r="AH22" s="308"/>
      <c r="AI22" s="308"/>
      <c r="AJ22" s="308"/>
      <c r="AK22" s="308"/>
      <c r="AL22" s="308"/>
      <c r="AM22" s="308"/>
    </row>
    <row r="23" spans="1:39" x14ac:dyDescent="0.3">
      <c r="A23" s="259"/>
      <c r="B23" s="7"/>
      <c r="C23" s="120"/>
      <c r="D23" s="120"/>
      <c r="E23" s="466"/>
      <c r="F23" s="468"/>
      <c r="G23" s="470"/>
      <c r="H23" s="472"/>
      <c r="I23" s="120"/>
      <c r="J23" s="120"/>
      <c r="K23" s="145"/>
      <c r="L23" s="454"/>
      <c r="M23" s="478"/>
      <c r="N23" s="481"/>
      <c r="O23" s="120"/>
      <c r="P23" s="120"/>
      <c r="Q23" s="120"/>
      <c r="R23" s="120"/>
      <c r="S23" s="7"/>
      <c r="T23" s="259"/>
      <c r="U23" s="116"/>
      <c r="V23" s="308"/>
      <c r="W23" s="306"/>
      <c r="X23" s="306"/>
      <c r="Y23" s="306"/>
      <c r="Z23" s="306"/>
      <c r="AA23" s="306"/>
      <c r="AB23" s="306"/>
      <c r="AC23" s="306"/>
      <c r="AD23" s="306"/>
      <c r="AE23" s="306"/>
      <c r="AF23" s="308"/>
      <c r="AG23" s="308"/>
      <c r="AH23" s="308"/>
      <c r="AI23" s="308"/>
      <c r="AJ23" s="308"/>
      <c r="AK23" s="308"/>
      <c r="AL23" s="308"/>
      <c r="AM23" s="308"/>
    </row>
    <row r="24" spans="1:39" x14ac:dyDescent="0.3">
      <c r="A24" s="259"/>
      <c r="B24" s="7"/>
      <c r="C24" s="120"/>
      <c r="D24" s="120"/>
      <c r="E24" s="127" t="s">
        <v>303</v>
      </c>
      <c r="F24" s="146">
        <f>1000*G13*G16</f>
        <v>34.800000000000004</v>
      </c>
      <c r="G24" s="146">
        <f>1000*H16*H13</f>
        <v>140.505</v>
      </c>
      <c r="H24" s="146">
        <f>1000*F13*F16</f>
        <v>16.3386</v>
      </c>
      <c r="I24" s="120"/>
      <c r="J24" s="120"/>
      <c r="K24" s="145" t="s">
        <v>319</v>
      </c>
      <c r="L24" s="454"/>
      <c r="M24" s="478"/>
      <c r="N24" s="481"/>
      <c r="O24" s="120"/>
      <c r="P24" s="120"/>
      <c r="Q24" s="120"/>
      <c r="R24" s="120"/>
      <c r="S24" s="7"/>
      <c r="T24" s="259"/>
      <c r="U24" s="116"/>
      <c r="V24" s="308"/>
      <c r="W24" s="306"/>
      <c r="X24" s="306"/>
      <c r="Y24" s="306"/>
      <c r="Z24" s="306"/>
      <c r="AA24" s="306"/>
      <c r="AB24" s="306"/>
      <c r="AC24" s="306"/>
      <c r="AD24" s="306"/>
      <c r="AE24" s="306"/>
      <c r="AF24" s="308"/>
      <c r="AG24" s="308"/>
      <c r="AH24" s="308"/>
      <c r="AI24" s="308"/>
      <c r="AJ24" s="308"/>
      <c r="AK24" s="308"/>
      <c r="AL24" s="308"/>
      <c r="AM24" s="308"/>
    </row>
    <row r="25" spans="1:39" x14ac:dyDescent="0.3">
      <c r="A25" s="259"/>
      <c r="B25" s="7"/>
      <c r="C25" s="120"/>
      <c r="D25" s="120"/>
      <c r="E25" s="203" t="s">
        <v>306</v>
      </c>
      <c r="F25" s="133">
        <f>1000*G14*G16</f>
        <v>19.333333333333336</v>
      </c>
      <c r="G25" s="133">
        <f>1000*H14*'[1]Etheen uit graan'!K24</f>
        <v>37.151408617986597</v>
      </c>
      <c r="H25" s="133">
        <f>1000*F14*F16</f>
        <v>9.077</v>
      </c>
      <c r="I25" s="120"/>
      <c r="J25" s="120"/>
      <c r="K25" s="147"/>
      <c r="L25" s="455"/>
      <c r="M25" s="479"/>
      <c r="N25" s="482"/>
      <c r="O25" s="120"/>
      <c r="P25" s="120"/>
      <c r="Q25" s="120"/>
      <c r="R25" s="120"/>
      <c r="S25" s="7"/>
      <c r="T25" s="259"/>
      <c r="U25" s="116"/>
      <c r="V25" s="308"/>
      <c r="W25" s="309" t="s">
        <v>356</v>
      </c>
      <c r="X25" s="310"/>
      <c r="Y25" s="310"/>
      <c r="Z25" s="310"/>
      <c r="AA25" s="310"/>
      <c r="AB25" s="310"/>
      <c r="AC25" s="310"/>
      <c r="AD25" s="310"/>
      <c r="AE25" s="310"/>
      <c r="AF25" s="308"/>
      <c r="AG25" s="308"/>
      <c r="AH25" s="308"/>
      <c r="AI25" s="308"/>
      <c r="AJ25" s="308"/>
      <c r="AK25" s="308"/>
      <c r="AL25" s="308"/>
      <c r="AM25" s="308"/>
    </row>
    <row r="26" spans="1:39" x14ac:dyDescent="0.3">
      <c r="A26" s="259"/>
      <c r="B26" s="7"/>
      <c r="C26" s="120"/>
      <c r="D26" s="120"/>
      <c r="E26" s="127" t="s">
        <v>309</v>
      </c>
      <c r="F26" s="138">
        <f>1000*G15*G16</f>
        <v>185.60000000000002</v>
      </c>
      <c r="G26" s="138">
        <f>1000*H15*'[1]Etheen uit graan'!K24</f>
        <v>27.86355646348995</v>
      </c>
      <c r="H26" s="138">
        <f>1000*F15*F16</f>
        <v>87.139199999999988</v>
      </c>
      <c r="I26" s="120"/>
      <c r="J26" s="120"/>
      <c r="K26" s="137" t="s">
        <v>320</v>
      </c>
      <c r="L26" s="144"/>
      <c r="M26" s="144"/>
      <c r="N26" s="144"/>
      <c r="O26" s="120"/>
      <c r="P26" s="120"/>
      <c r="Q26" s="120"/>
      <c r="R26" s="120"/>
      <c r="S26" s="7"/>
      <c r="T26" s="259"/>
      <c r="U26" s="116"/>
      <c r="V26" s="308"/>
      <c r="W26" s="310"/>
      <c r="X26" s="310"/>
      <c r="Y26" s="310"/>
      <c r="Z26" s="310"/>
      <c r="AA26" s="310"/>
      <c r="AB26" s="310"/>
      <c r="AC26" s="310"/>
      <c r="AD26" s="310"/>
      <c r="AE26" s="310"/>
      <c r="AF26" s="308"/>
      <c r="AG26" s="308"/>
      <c r="AH26" s="308"/>
      <c r="AI26" s="308"/>
      <c r="AJ26" s="308"/>
      <c r="AK26" s="308"/>
      <c r="AL26" s="308"/>
      <c r="AM26" s="308"/>
    </row>
    <row r="27" spans="1:39" ht="14.25" customHeight="1" x14ac:dyDescent="0.3">
      <c r="A27" s="259"/>
      <c r="B27" s="7"/>
      <c r="C27" s="120"/>
      <c r="D27" s="120"/>
      <c r="E27" s="492" t="s">
        <v>321</v>
      </c>
      <c r="F27" s="461" t="s">
        <v>434</v>
      </c>
      <c r="G27" s="463" t="s">
        <v>352</v>
      </c>
      <c r="H27" s="461" t="s">
        <v>322</v>
      </c>
      <c r="I27" s="120"/>
      <c r="J27" s="120"/>
      <c r="K27" s="130" t="s">
        <v>323</v>
      </c>
      <c r="L27" s="133">
        <f>IF(G27=W21,+-H24,IF(G27=W22,+-H24+-F24,0))</f>
        <v>0</v>
      </c>
      <c r="M27" s="148"/>
      <c r="N27" s="133"/>
      <c r="O27" s="120"/>
      <c r="P27" s="120"/>
      <c r="Q27" s="120"/>
      <c r="R27" s="120"/>
      <c r="S27" s="7"/>
      <c r="T27" s="259"/>
      <c r="U27" s="116"/>
      <c r="V27" s="308"/>
      <c r="W27" s="306"/>
      <c r="X27" s="306"/>
      <c r="Y27" s="310"/>
      <c r="Z27" s="310"/>
      <c r="AA27" s="310"/>
      <c r="AB27" s="310"/>
      <c r="AC27" s="310"/>
      <c r="AD27" s="310"/>
      <c r="AE27" s="310"/>
      <c r="AF27" s="308"/>
      <c r="AG27" s="308"/>
      <c r="AH27" s="308"/>
      <c r="AI27" s="308"/>
      <c r="AJ27" s="308"/>
      <c r="AK27" s="308"/>
      <c r="AL27" s="308"/>
      <c r="AM27" s="308"/>
    </row>
    <row r="28" spans="1:39" x14ac:dyDescent="0.3">
      <c r="A28" s="259"/>
      <c r="B28" s="7"/>
      <c r="C28" s="120"/>
      <c r="D28" s="120"/>
      <c r="E28" s="493"/>
      <c r="F28" s="462"/>
      <c r="G28" s="464"/>
      <c r="H28" s="462"/>
      <c r="I28" s="120"/>
      <c r="J28" s="120"/>
      <c r="K28" s="137" t="s">
        <v>324</v>
      </c>
      <c r="L28" s="138">
        <f>+Q16</f>
        <v>-4.9103600000000114</v>
      </c>
      <c r="M28" s="149"/>
      <c r="N28" s="138"/>
      <c r="O28" s="120"/>
      <c r="P28" s="120"/>
      <c r="Q28" s="120"/>
      <c r="R28" s="120"/>
      <c r="S28" s="7"/>
      <c r="T28" s="259"/>
      <c r="U28" s="116"/>
      <c r="V28" s="308"/>
      <c r="W28" s="306"/>
      <c r="X28" s="306"/>
      <c r="Y28" s="306"/>
      <c r="Z28" s="310"/>
      <c r="AA28" s="310"/>
      <c r="AB28" s="310"/>
      <c r="AC28" s="310"/>
      <c r="AD28" s="310"/>
      <c r="AE28" s="310"/>
      <c r="AF28" s="308"/>
      <c r="AG28" s="308"/>
      <c r="AH28" s="308"/>
      <c r="AI28" s="308"/>
      <c r="AJ28" s="308"/>
      <c r="AK28" s="308"/>
      <c r="AL28" s="308"/>
      <c r="AM28" s="308"/>
    </row>
    <row r="29" spans="1:39" ht="15" x14ac:dyDescent="0.3">
      <c r="A29" s="259"/>
      <c r="B29" s="7"/>
      <c r="C29" s="120"/>
      <c r="D29" s="120"/>
      <c r="E29" s="120"/>
      <c r="F29" s="120"/>
      <c r="G29" s="120"/>
      <c r="H29" s="120"/>
      <c r="I29" s="120"/>
      <c r="J29" s="120"/>
      <c r="K29" s="130" t="s">
        <v>325</v>
      </c>
      <c r="L29" s="133">
        <f>+L27+L28</f>
        <v>-4.9103600000000114</v>
      </c>
      <c r="M29" s="202">
        <f>+IF(G3=Y21,AE45,AE36)</f>
        <v>0.49</v>
      </c>
      <c r="N29" s="133">
        <f>+L29*M29</f>
        <v>-2.4060764000000057</v>
      </c>
      <c r="O29" s="120"/>
      <c r="P29" s="120"/>
      <c r="Q29" s="120"/>
      <c r="R29" s="120"/>
      <c r="S29" s="7"/>
      <c r="T29" s="259"/>
      <c r="U29" s="116"/>
      <c r="V29" s="308"/>
      <c r="W29" s="306"/>
      <c r="X29" s="306"/>
      <c r="Y29" s="306"/>
      <c r="Z29" s="310"/>
      <c r="AA29" s="310"/>
      <c r="AB29" s="310"/>
      <c r="AC29" s="310"/>
      <c r="AD29" s="310"/>
      <c r="AE29" s="310"/>
      <c r="AF29" s="308"/>
      <c r="AG29" s="308"/>
      <c r="AH29" s="308"/>
      <c r="AI29" s="308"/>
      <c r="AJ29" s="308"/>
      <c r="AK29" s="308"/>
      <c r="AL29" s="308"/>
      <c r="AM29" s="308"/>
    </row>
    <row r="30" spans="1:39" x14ac:dyDescent="0.3">
      <c r="A30" s="259"/>
      <c r="B30" s="7"/>
      <c r="C30" s="120"/>
      <c r="D30" s="120"/>
      <c r="E30" s="120"/>
      <c r="F30" s="120"/>
      <c r="G30" s="120"/>
      <c r="H30" s="120"/>
      <c r="I30" s="120"/>
      <c r="J30" s="120"/>
      <c r="K30" s="137" t="s">
        <v>326</v>
      </c>
      <c r="L30" s="138"/>
      <c r="M30" s="149"/>
      <c r="N30" s="138">
        <f>+-L27</f>
        <v>0</v>
      </c>
      <c r="O30" s="120"/>
      <c r="P30" s="120"/>
      <c r="Q30" s="120"/>
      <c r="R30" s="120"/>
      <c r="S30" s="7"/>
      <c r="T30" s="259"/>
      <c r="U30" s="116"/>
      <c r="V30" s="308"/>
      <c r="W30" s="310"/>
      <c r="X30" s="310"/>
      <c r="Y30" s="310"/>
      <c r="Z30" s="310"/>
      <c r="AA30" s="119" t="s">
        <v>357</v>
      </c>
      <c r="AB30" s="119"/>
      <c r="AC30" s="310"/>
      <c r="AD30" s="310"/>
      <c r="AE30" s="310"/>
      <c r="AF30" s="308"/>
      <c r="AG30" s="308"/>
      <c r="AH30" s="308"/>
      <c r="AI30" s="308"/>
      <c r="AJ30" s="308"/>
      <c r="AK30" s="308"/>
      <c r="AL30" s="308"/>
      <c r="AM30" s="308"/>
    </row>
    <row r="31" spans="1:39" x14ac:dyDescent="0.3">
      <c r="A31" s="259"/>
      <c r="B31" s="7"/>
      <c r="C31" s="120"/>
      <c r="D31" s="120"/>
      <c r="E31" s="120"/>
      <c r="F31" s="120"/>
      <c r="G31" s="120"/>
      <c r="H31" s="120"/>
      <c r="I31" s="120"/>
      <c r="J31" s="120"/>
      <c r="K31" s="130" t="s">
        <v>327</v>
      </c>
      <c r="L31" s="133"/>
      <c r="M31" s="133"/>
      <c r="N31" s="167">
        <f>+N29+N30</f>
        <v>-2.4060764000000057</v>
      </c>
      <c r="O31" s="120"/>
      <c r="P31" s="120"/>
      <c r="Q31" s="120"/>
      <c r="R31" s="120"/>
      <c r="S31" s="7"/>
      <c r="T31" s="259"/>
      <c r="U31" s="116"/>
      <c r="V31" s="308"/>
      <c r="W31" s="207" t="s">
        <v>358</v>
      </c>
      <c r="X31" s="119"/>
      <c r="Y31" s="119"/>
      <c r="Z31" s="310"/>
      <c r="AA31" s="310"/>
      <c r="AB31" s="151" t="s">
        <v>359</v>
      </c>
      <c r="AC31" s="152"/>
      <c r="AD31" s="153"/>
      <c r="AE31" s="151" t="s">
        <v>360</v>
      </c>
      <c r="AF31" s="152"/>
      <c r="AG31" s="153"/>
      <c r="AH31" s="151" t="s">
        <v>361</v>
      </c>
      <c r="AI31" s="152"/>
      <c r="AJ31" s="153"/>
      <c r="AK31" s="308"/>
      <c r="AL31" s="308"/>
      <c r="AM31" s="308"/>
    </row>
    <row r="32" spans="1:39" x14ac:dyDescent="0.3">
      <c r="A32" s="259"/>
      <c r="B32" s="7"/>
      <c r="C32" s="120"/>
      <c r="D32" s="120"/>
      <c r="E32" s="120"/>
      <c r="F32" s="120"/>
      <c r="G32" s="120"/>
      <c r="H32" s="120"/>
      <c r="I32" s="120"/>
      <c r="J32" s="120"/>
      <c r="K32" s="120"/>
      <c r="L32" s="120"/>
      <c r="M32" s="120"/>
      <c r="N32" s="120"/>
      <c r="O32" s="120"/>
      <c r="P32" s="120"/>
      <c r="Q32" s="120"/>
      <c r="R32" s="120"/>
      <c r="S32" s="7"/>
      <c r="T32" s="259"/>
      <c r="U32" s="116"/>
      <c r="V32" s="308"/>
      <c r="W32" s="119"/>
      <c r="X32" s="208" t="s">
        <v>362</v>
      </c>
      <c r="Y32" s="208" t="s">
        <v>20</v>
      </c>
      <c r="Z32" s="310"/>
      <c r="AA32" s="310"/>
      <c r="AB32" s="163" t="s">
        <v>363</v>
      </c>
      <c r="AC32" s="168" t="s">
        <v>364</v>
      </c>
      <c r="AD32" s="169"/>
      <c r="AE32" s="163" t="s">
        <v>363</v>
      </c>
      <c r="AF32" s="168" t="s">
        <v>364</v>
      </c>
      <c r="AG32" s="169"/>
      <c r="AH32" s="163" t="s">
        <v>363</v>
      </c>
      <c r="AI32" s="168" t="s">
        <v>364</v>
      </c>
      <c r="AJ32" s="169"/>
      <c r="AK32" s="308"/>
      <c r="AL32" s="308"/>
      <c r="AM32" s="308"/>
    </row>
    <row r="33" spans="1:39" x14ac:dyDescent="0.3">
      <c r="A33" s="259"/>
      <c r="B33" s="7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7"/>
      <c r="T33" s="259"/>
      <c r="U33" s="117"/>
      <c r="V33" s="308"/>
      <c r="W33" s="209" t="s">
        <v>365</v>
      </c>
      <c r="X33" s="210">
        <v>0.01</v>
      </c>
      <c r="Y33" s="211">
        <f>+X33</f>
        <v>0.01</v>
      </c>
      <c r="Z33" s="310"/>
      <c r="AA33" s="151" t="s">
        <v>70</v>
      </c>
      <c r="AB33" s="212">
        <v>0.01</v>
      </c>
      <c r="AC33" s="213">
        <f>+AB33</f>
        <v>0.01</v>
      </c>
      <c r="AD33" s="153" t="s">
        <v>366</v>
      </c>
      <c r="AE33" s="212">
        <v>0.01</v>
      </c>
      <c r="AF33" s="213">
        <f>+AE33</f>
        <v>0.01</v>
      </c>
      <c r="AG33" s="153" t="s">
        <v>366</v>
      </c>
      <c r="AH33" s="212">
        <v>0.02</v>
      </c>
      <c r="AI33" s="213">
        <f>+AH33</f>
        <v>0.02</v>
      </c>
      <c r="AJ33" s="153" t="s">
        <v>366</v>
      </c>
      <c r="AK33" s="308"/>
      <c r="AL33" s="308"/>
      <c r="AM33" s="308"/>
    </row>
    <row r="34" spans="1:39" x14ac:dyDescent="0.3">
      <c r="A34" s="259"/>
      <c r="B34" s="7"/>
      <c r="C34" s="120"/>
      <c r="D34" s="120"/>
      <c r="E34" s="120"/>
      <c r="F34" s="120"/>
      <c r="G34" s="120"/>
      <c r="H34" s="120"/>
      <c r="I34" s="120"/>
      <c r="J34" s="120"/>
      <c r="K34" s="56"/>
      <c r="L34" s="56"/>
      <c r="M34" s="56"/>
      <c r="N34" s="56"/>
      <c r="O34" s="120"/>
      <c r="P34" s="120"/>
      <c r="Q34" s="120"/>
      <c r="R34" s="120"/>
      <c r="S34" s="7"/>
      <c r="T34" s="259"/>
      <c r="U34" s="117"/>
      <c r="V34" s="308"/>
      <c r="W34" s="209" t="s">
        <v>367</v>
      </c>
      <c r="X34" s="210">
        <v>0.1</v>
      </c>
      <c r="Y34" s="211">
        <f>+X34*1%</f>
        <v>1E-3</v>
      </c>
      <c r="Z34" s="310"/>
      <c r="AA34" s="163" t="s">
        <v>368</v>
      </c>
      <c r="AB34" s="214">
        <v>0.1</v>
      </c>
      <c r="AC34" s="166">
        <f>+AB34*1%</f>
        <v>1E-3</v>
      </c>
      <c r="AD34" s="169" t="s">
        <v>369</v>
      </c>
      <c r="AE34" s="214">
        <v>0.2</v>
      </c>
      <c r="AF34" s="166">
        <f>+AE34*1%</f>
        <v>2E-3</v>
      </c>
      <c r="AG34" s="169" t="s">
        <v>369</v>
      </c>
      <c r="AH34" s="214">
        <v>0.2</v>
      </c>
      <c r="AI34" s="166">
        <f>+AH34*1%</f>
        <v>2E-3</v>
      </c>
      <c r="AJ34" s="169" t="s">
        <v>369</v>
      </c>
      <c r="AK34" s="308"/>
      <c r="AL34" s="308"/>
      <c r="AM34" s="308"/>
    </row>
    <row r="35" spans="1:39" x14ac:dyDescent="0.3">
      <c r="A35" s="259"/>
      <c r="B35" s="7"/>
      <c r="C35" s="120"/>
      <c r="D35" s="120"/>
      <c r="E35" s="456" t="s">
        <v>328</v>
      </c>
      <c r="F35" s="451" t="s">
        <v>329</v>
      </c>
      <c r="G35" s="458"/>
      <c r="H35" s="452"/>
      <c r="I35" s="459" t="s">
        <v>317</v>
      </c>
      <c r="J35" s="459" t="s">
        <v>330</v>
      </c>
      <c r="K35" s="56"/>
      <c r="L35" s="56"/>
      <c r="M35" s="56"/>
      <c r="N35" s="56"/>
      <c r="O35" s="120"/>
      <c r="P35" s="120"/>
      <c r="Q35" s="120"/>
      <c r="R35" s="120"/>
      <c r="S35" s="7"/>
      <c r="T35" s="259"/>
      <c r="U35" s="117"/>
      <c r="V35" s="308"/>
      <c r="W35" s="209" t="s">
        <v>370</v>
      </c>
      <c r="X35" s="215">
        <f>+IF(G3="yes",30%,0%)</f>
        <v>0</v>
      </c>
      <c r="Y35" s="211">
        <f>+X35*0.75%</f>
        <v>0</v>
      </c>
      <c r="Z35" s="310"/>
      <c r="AA35" s="163" t="s">
        <v>371</v>
      </c>
      <c r="AB35" s="214"/>
      <c r="AC35" s="216">
        <f>+AB35*0.75%</f>
        <v>0</v>
      </c>
      <c r="AD35" s="169" t="s">
        <v>369</v>
      </c>
      <c r="AE35" s="214"/>
      <c r="AF35" s="216">
        <f>+AE35*0.75%</f>
        <v>0</v>
      </c>
      <c r="AG35" s="169" t="s">
        <v>369</v>
      </c>
      <c r="AH35" s="214"/>
      <c r="AI35" s="216">
        <f>+AH35*0.75%</f>
        <v>0</v>
      </c>
      <c r="AJ35" s="169" t="s">
        <v>369</v>
      </c>
      <c r="AK35" s="308"/>
      <c r="AL35" s="308"/>
      <c r="AM35" s="308"/>
    </row>
    <row r="36" spans="1:39" x14ac:dyDescent="0.3">
      <c r="A36" s="259"/>
      <c r="B36" s="7"/>
      <c r="C36" s="120"/>
      <c r="D36" s="120"/>
      <c r="E36" s="457"/>
      <c r="F36" s="150" t="s">
        <v>331</v>
      </c>
      <c r="G36" s="150" t="s">
        <v>332</v>
      </c>
      <c r="H36" s="150" t="s">
        <v>333</v>
      </c>
      <c r="I36" s="460"/>
      <c r="J36" s="460"/>
      <c r="K36" s="56"/>
      <c r="L36" s="56"/>
      <c r="M36" s="56"/>
      <c r="N36" s="56"/>
      <c r="O36" s="56"/>
      <c r="P36" s="120"/>
      <c r="Q36" s="120"/>
      <c r="R36" s="120"/>
      <c r="S36" s="7"/>
      <c r="T36" s="259"/>
      <c r="U36" s="117"/>
      <c r="V36" s="308"/>
      <c r="W36" s="208" t="s">
        <v>372</v>
      </c>
      <c r="X36" s="210">
        <f>1-X33-X34-X35</f>
        <v>0.89</v>
      </c>
      <c r="Y36" s="211">
        <f>+SUM(Y33:Y35)</f>
        <v>1.0999999999999999E-2</v>
      </c>
      <c r="Z36" s="310"/>
      <c r="AA36" s="155" t="s">
        <v>373</v>
      </c>
      <c r="AB36" s="217">
        <f>1-SUM(AB33:AB35)</f>
        <v>0.89</v>
      </c>
      <c r="AC36" s="218">
        <f>SUM(AC33:AC35)</f>
        <v>1.0999999999999999E-2</v>
      </c>
      <c r="AD36" s="157"/>
      <c r="AE36" s="217">
        <f>1-SUM(AE33:AE35)</f>
        <v>0.79</v>
      </c>
      <c r="AF36" s="218">
        <f>SUM(AF33:AF35)</f>
        <v>1.2E-2</v>
      </c>
      <c r="AG36" s="157"/>
      <c r="AH36" s="217">
        <f>1-SUM(AH33:AH35)</f>
        <v>0.78</v>
      </c>
      <c r="AI36" s="218">
        <f>SUM(AI33:AI35)</f>
        <v>2.1999999999999999E-2</v>
      </c>
      <c r="AJ36" s="157"/>
      <c r="AK36" s="308"/>
      <c r="AL36" s="308"/>
      <c r="AM36" s="308"/>
    </row>
    <row r="37" spans="1:39" ht="15" x14ac:dyDescent="0.3">
      <c r="A37" s="259"/>
      <c r="B37" s="7"/>
      <c r="C37" s="120"/>
      <c r="D37" s="120"/>
      <c r="E37" s="127" t="s">
        <v>303</v>
      </c>
      <c r="F37" s="146">
        <f>+F24+G24</f>
        <v>175.30500000000001</v>
      </c>
      <c r="G37" s="146">
        <f>+N31</f>
        <v>-2.4060764000000057</v>
      </c>
      <c r="H37" s="146">
        <f>SUM(F37:G37)</f>
        <v>172.89892359999999</v>
      </c>
      <c r="I37" s="202">
        <f>+IF(G3=Y21,AB45,AB36)</f>
        <v>0.59000000000000008</v>
      </c>
      <c r="J37" s="146">
        <f>+H37/I37</f>
        <v>293.04902305084738</v>
      </c>
      <c r="K37" s="56"/>
      <c r="L37" s="56"/>
      <c r="M37" s="56"/>
      <c r="N37" s="56"/>
      <c r="O37" s="56"/>
      <c r="P37" s="120"/>
      <c r="Q37" s="120"/>
      <c r="R37" s="120"/>
      <c r="S37" s="7"/>
      <c r="T37" s="259"/>
      <c r="U37" s="117"/>
      <c r="V37" s="308"/>
      <c r="W37" s="310"/>
      <c r="X37" s="310"/>
      <c r="Y37" s="310"/>
      <c r="Z37" s="310"/>
      <c r="AA37" s="310"/>
      <c r="AB37" s="310"/>
      <c r="AC37" s="310"/>
      <c r="AD37" s="310"/>
      <c r="AE37" s="310"/>
      <c r="AF37" s="310"/>
      <c r="AG37" s="310"/>
      <c r="AH37" s="310"/>
      <c r="AI37" s="310"/>
      <c r="AJ37" s="310"/>
      <c r="AK37" s="308"/>
      <c r="AL37" s="308"/>
      <c r="AM37" s="308"/>
    </row>
    <row r="38" spans="1:39" x14ac:dyDescent="0.3">
      <c r="A38" s="259"/>
      <c r="B38" s="7"/>
      <c r="C38" s="120"/>
      <c r="D38" s="120"/>
      <c r="E38" s="203" t="s">
        <v>306</v>
      </c>
      <c r="F38" s="133">
        <f>+F25+G25</f>
        <v>56.484741951319933</v>
      </c>
      <c r="G38" s="133"/>
      <c r="H38" s="133">
        <f t="shared" ref="H38:H39" si="0">SUM(F38:G38)</f>
        <v>56.484741951319933</v>
      </c>
      <c r="I38" s="148">
        <v>1</v>
      </c>
      <c r="J38" s="133">
        <f t="shared" ref="J38:J39" si="1">+H38/I38</f>
        <v>56.484741951319933</v>
      </c>
      <c r="K38" s="56"/>
      <c r="L38" s="56"/>
      <c r="M38" s="56"/>
      <c r="N38" s="56"/>
      <c r="O38" s="56"/>
      <c r="P38" s="120"/>
      <c r="Q38" s="120"/>
      <c r="R38" s="120"/>
      <c r="S38" s="7"/>
      <c r="T38" s="259"/>
      <c r="U38" s="117"/>
      <c r="V38" s="308"/>
      <c r="W38" s="207" t="s">
        <v>374</v>
      </c>
      <c r="X38" s="119"/>
      <c r="Y38" s="119"/>
      <c r="Z38" s="310"/>
      <c r="AA38" s="310"/>
      <c r="AB38" s="310"/>
      <c r="AC38" s="310"/>
      <c r="AD38" s="310"/>
      <c r="AE38" s="310"/>
      <c r="AF38" s="310"/>
      <c r="AG38" s="310"/>
      <c r="AH38" s="310"/>
      <c r="AI38" s="310"/>
      <c r="AJ38" s="310"/>
      <c r="AK38" s="308"/>
      <c r="AL38" s="308"/>
      <c r="AM38" s="308"/>
    </row>
    <row r="39" spans="1:39" x14ac:dyDescent="0.3">
      <c r="A39" s="259"/>
      <c r="B39" s="7"/>
      <c r="C39" s="120"/>
      <c r="D39" s="120"/>
      <c r="E39" s="127" t="s">
        <v>309</v>
      </c>
      <c r="F39" s="146">
        <f>+F26+G26</f>
        <v>213.46355646348997</v>
      </c>
      <c r="G39" s="138"/>
      <c r="H39" s="146">
        <f t="shared" si="0"/>
        <v>213.46355646348997</v>
      </c>
      <c r="I39" s="149">
        <v>1</v>
      </c>
      <c r="J39" s="146">
        <f t="shared" si="1"/>
        <v>213.46355646348997</v>
      </c>
      <c r="K39" s="56"/>
      <c r="L39" s="56"/>
      <c r="M39" s="56"/>
      <c r="N39" s="56"/>
      <c r="O39" s="56"/>
      <c r="P39" s="120"/>
      <c r="Q39" s="120"/>
      <c r="R39" s="120"/>
      <c r="S39" s="7"/>
      <c r="T39" s="259"/>
      <c r="U39" s="117"/>
      <c r="V39" s="308"/>
      <c r="W39" s="119"/>
      <c r="X39" s="119" t="s">
        <v>362</v>
      </c>
      <c r="Y39" s="119" t="s">
        <v>20</v>
      </c>
      <c r="Z39" s="310"/>
      <c r="AA39" s="119" t="s">
        <v>375</v>
      </c>
      <c r="AB39" s="310"/>
      <c r="AC39" s="310"/>
      <c r="AD39" s="310"/>
      <c r="AE39" s="310"/>
      <c r="AF39" s="310"/>
      <c r="AG39" s="310"/>
      <c r="AH39" s="310"/>
      <c r="AI39" s="310"/>
      <c r="AJ39" s="310"/>
      <c r="AK39" s="308"/>
      <c r="AL39" s="308"/>
      <c r="AM39" s="308"/>
    </row>
    <row r="40" spans="1:39" x14ac:dyDescent="0.3">
      <c r="A40" s="259"/>
      <c r="B40" s="7"/>
      <c r="C40" s="120"/>
      <c r="D40" s="120"/>
      <c r="E40" s="56"/>
      <c r="F40" s="56"/>
      <c r="G40" s="56"/>
      <c r="H40" s="56"/>
      <c r="I40" s="56"/>
      <c r="J40" s="120"/>
      <c r="K40" s="56"/>
      <c r="L40" s="56"/>
      <c r="M40" s="56"/>
      <c r="N40" s="56"/>
      <c r="O40" s="56"/>
      <c r="P40" s="120"/>
      <c r="Q40" s="120"/>
      <c r="R40" s="120"/>
      <c r="S40" s="7"/>
      <c r="T40" s="259"/>
      <c r="U40" s="117"/>
      <c r="V40" s="308"/>
      <c r="W40" s="209" t="s">
        <v>365</v>
      </c>
      <c r="X40" s="210">
        <v>0.01</v>
      </c>
      <c r="Y40" s="211">
        <f>+X40</f>
        <v>0.01</v>
      </c>
      <c r="Z40" s="310"/>
      <c r="AA40" s="310"/>
      <c r="AB40" s="151" t="s">
        <v>359</v>
      </c>
      <c r="AC40" s="152"/>
      <c r="AD40" s="153"/>
      <c r="AE40" s="151" t="s">
        <v>360</v>
      </c>
      <c r="AF40" s="152"/>
      <c r="AG40" s="153"/>
      <c r="AH40" s="151" t="s">
        <v>361</v>
      </c>
      <c r="AI40" s="152"/>
      <c r="AJ40" s="153"/>
      <c r="AK40" s="308"/>
      <c r="AL40" s="308"/>
      <c r="AM40" s="308"/>
    </row>
    <row r="41" spans="1:39" x14ac:dyDescent="0.3">
      <c r="A41" s="259"/>
      <c r="B41" s="7"/>
      <c r="C41" s="120"/>
      <c r="D41" s="120"/>
      <c r="E41" s="56"/>
      <c r="F41" s="56"/>
      <c r="G41" s="56"/>
      <c r="H41" s="56"/>
      <c r="I41" s="56"/>
      <c r="J41" s="120"/>
      <c r="K41" s="56"/>
      <c r="L41" s="56"/>
      <c r="M41" s="56"/>
      <c r="N41" s="56"/>
      <c r="O41" s="56"/>
      <c r="P41" s="120"/>
      <c r="Q41" s="120"/>
      <c r="R41" s="120"/>
      <c r="S41" s="7"/>
      <c r="T41" s="259"/>
      <c r="U41" s="117"/>
      <c r="V41" s="308"/>
      <c r="W41" s="209" t="s">
        <v>367</v>
      </c>
      <c r="X41" s="210">
        <v>0.2</v>
      </c>
      <c r="Y41" s="211">
        <f>+X41*1%</f>
        <v>2E-3</v>
      </c>
      <c r="Z41" s="310"/>
      <c r="AA41" s="310"/>
      <c r="AB41" s="163" t="s">
        <v>363</v>
      </c>
      <c r="AC41" s="168" t="s">
        <v>364</v>
      </c>
      <c r="AD41" s="169"/>
      <c r="AE41" s="163" t="s">
        <v>363</v>
      </c>
      <c r="AF41" s="168" t="s">
        <v>364</v>
      </c>
      <c r="AG41" s="169"/>
      <c r="AH41" s="163" t="s">
        <v>363</v>
      </c>
      <c r="AI41" s="168" t="s">
        <v>364</v>
      </c>
      <c r="AJ41" s="169"/>
      <c r="AK41" s="308"/>
      <c r="AL41" s="308"/>
      <c r="AM41" s="308"/>
    </row>
    <row r="42" spans="1:39" x14ac:dyDescent="0.3">
      <c r="A42" s="259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259"/>
      <c r="U42" s="117"/>
      <c r="V42" s="308"/>
      <c r="W42" s="209" t="s">
        <v>370</v>
      </c>
      <c r="X42" s="210">
        <f>+X35</f>
        <v>0</v>
      </c>
      <c r="Y42" s="211">
        <f>+X42*0.75%</f>
        <v>0</v>
      </c>
      <c r="Z42" s="310"/>
      <c r="AA42" s="151" t="s">
        <v>70</v>
      </c>
      <c r="AB42" s="212">
        <v>0.01</v>
      </c>
      <c r="AC42" s="213">
        <f>+AB42</f>
        <v>0.01</v>
      </c>
      <c r="AD42" s="153" t="s">
        <v>366</v>
      </c>
      <c r="AE42" s="212">
        <v>0.01</v>
      </c>
      <c r="AF42" s="213">
        <f>+AE42</f>
        <v>0.01</v>
      </c>
      <c r="AG42" s="153" t="s">
        <v>366</v>
      </c>
      <c r="AH42" s="212">
        <v>0.02</v>
      </c>
      <c r="AI42" s="213">
        <f>+AH42</f>
        <v>0.02</v>
      </c>
      <c r="AJ42" s="153" t="s">
        <v>366</v>
      </c>
      <c r="AK42" s="308"/>
      <c r="AL42" s="308"/>
      <c r="AM42" s="308"/>
    </row>
    <row r="43" spans="1:39" x14ac:dyDescent="0.3">
      <c r="A43" s="259"/>
      <c r="B43" s="259"/>
      <c r="C43" s="307"/>
      <c r="D43" s="307"/>
      <c r="E43" s="307"/>
      <c r="F43" s="307"/>
      <c r="G43" s="307"/>
      <c r="H43" s="307"/>
      <c r="I43" s="307"/>
      <c r="J43" s="307"/>
      <c r="K43" s="259"/>
      <c r="L43" s="259"/>
      <c r="M43" s="259"/>
      <c r="N43" s="259"/>
      <c r="O43" s="259"/>
      <c r="P43" s="307"/>
      <c r="Q43" s="307"/>
      <c r="R43" s="307"/>
      <c r="S43" s="259"/>
      <c r="T43" s="259"/>
      <c r="U43" s="117"/>
      <c r="V43" s="308"/>
      <c r="W43" s="208" t="s">
        <v>372</v>
      </c>
      <c r="X43" s="210">
        <f>1-X40-X41-X42</f>
        <v>0.79</v>
      </c>
      <c r="Y43" s="211">
        <f>+SUM(Y40:Y42)</f>
        <v>1.2E-2</v>
      </c>
      <c r="Z43" s="310"/>
      <c r="AA43" s="163" t="s">
        <v>368</v>
      </c>
      <c r="AB43" s="214">
        <v>0.1</v>
      </c>
      <c r="AC43" s="166">
        <f>+AB43*1%</f>
        <v>1E-3</v>
      </c>
      <c r="AD43" s="169" t="s">
        <v>369</v>
      </c>
      <c r="AE43" s="214">
        <v>0.2</v>
      </c>
      <c r="AF43" s="166">
        <f>+AE43*1%</f>
        <v>2E-3</v>
      </c>
      <c r="AG43" s="169" t="s">
        <v>369</v>
      </c>
      <c r="AH43" s="214">
        <v>0.2</v>
      </c>
      <c r="AI43" s="166">
        <f>+AH43*1%</f>
        <v>2E-3</v>
      </c>
      <c r="AJ43" s="169" t="s">
        <v>369</v>
      </c>
      <c r="AK43" s="308"/>
      <c r="AL43" s="308"/>
      <c r="AM43" s="308"/>
    </row>
    <row r="44" spans="1:39" x14ac:dyDescent="0.3">
      <c r="A44" s="259"/>
      <c r="B44" s="259"/>
      <c r="C44" s="307"/>
      <c r="D44" s="307"/>
      <c r="E44" s="307"/>
      <c r="F44" s="307"/>
      <c r="G44" s="307"/>
      <c r="H44" s="307"/>
      <c r="I44" s="307"/>
      <c r="J44" s="307"/>
      <c r="K44" s="259"/>
      <c r="L44" s="259"/>
      <c r="M44" s="259"/>
      <c r="N44" s="259"/>
      <c r="O44" s="259"/>
      <c r="P44" s="307"/>
      <c r="Q44" s="307"/>
      <c r="R44" s="307"/>
      <c r="S44" s="259"/>
      <c r="T44" s="259"/>
      <c r="U44" s="117"/>
      <c r="V44" s="308"/>
      <c r="W44" s="119"/>
      <c r="X44" s="119"/>
      <c r="Y44" s="119"/>
      <c r="Z44" s="310"/>
      <c r="AA44" s="163" t="s">
        <v>371</v>
      </c>
      <c r="AB44" s="214">
        <v>0.3</v>
      </c>
      <c r="AC44" s="216">
        <f>+AB44*0.75%</f>
        <v>2.2499999999999998E-3</v>
      </c>
      <c r="AD44" s="169" t="s">
        <v>369</v>
      </c>
      <c r="AE44" s="214">
        <f>+AB44</f>
        <v>0.3</v>
      </c>
      <c r="AF44" s="216">
        <f>+AE44*0.75%</f>
        <v>2.2499999999999998E-3</v>
      </c>
      <c r="AG44" s="169" t="s">
        <v>369</v>
      </c>
      <c r="AH44" s="214">
        <f>+AE44</f>
        <v>0.3</v>
      </c>
      <c r="AI44" s="216">
        <f>+AH44*0.75%</f>
        <v>2.2499999999999998E-3</v>
      </c>
      <c r="AJ44" s="169" t="s">
        <v>369</v>
      </c>
      <c r="AK44" s="308"/>
      <c r="AL44" s="308"/>
      <c r="AM44" s="308"/>
    </row>
    <row r="45" spans="1:39" x14ac:dyDescent="0.3">
      <c r="A45" s="259"/>
      <c r="B45" s="259"/>
      <c r="C45" s="307"/>
      <c r="D45" s="307"/>
      <c r="E45" s="307"/>
      <c r="F45" s="151" t="s">
        <v>334</v>
      </c>
      <c r="G45" s="152"/>
      <c r="H45" s="153"/>
      <c r="I45" s="154" t="s">
        <v>335</v>
      </c>
      <c r="J45" s="151" t="s">
        <v>336</v>
      </c>
      <c r="K45" s="153"/>
      <c r="L45" s="307"/>
      <c r="M45" s="307"/>
      <c r="N45" s="307"/>
      <c r="O45" s="451" t="s">
        <v>337</v>
      </c>
      <c r="P45" s="452"/>
      <c r="Q45" s="307"/>
      <c r="R45" s="307"/>
      <c r="S45" s="259"/>
      <c r="T45" s="259"/>
      <c r="U45" s="117"/>
      <c r="V45" s="308"/>
      <c r="W45" s="219" t="s">
        <v>311</v>
      </c>
      <c r="X45" s="119">
        <v>15</v>
      </c>
      <c r="Y45" s="119"/>
      <c r="Z45" s="310"/>
      <c r="AA45" s="155" t="s">
        <v>373</v>
      </c>
      <c r="AB45" s="217">
        <f>1-SUM(AB42:AB44)</f>
        <v>0.59000000000000008</v>
      </c>
      <c r="AC45" s="218">
        <f>SUM(AC42:AC44)</f>
        <v>1.325E-2</v>
      </c>
      <c r="AD45" s="157"/>
      <c r="AE45" s="217">
        <f>1-SUM(AE42:AE44)</f>
        <v>0.49</v>
      </c>
      <c r="AF45" s="218">
        <f>SUM(AF42:AF44)</f>
        <v>1.4250000000000001E-2</v>
      </c>
      <c r="AG45" s="157"/>
      <c r="AH45" s="217">
        <f>1-SUM(AH42:AH44)</f>
        <v>0.48</v>
      </c>
      <c r="AI45" s="218">
        <f>SUM(AI42:AI44)</f>
        <v>2.4249999999999997E-2</v>
      </c>
      <c r="AJ45" s="157"/>
      <c r="AK45" s="308"/>
      <c r="AL45" s="308"/>
      <c r="AM45" s="308"/>
    </row>
    <row r="46" spans="1:39" x14ac:dyDescent="0.3">
      <c r="A46" s="259"/>
      <c r="B46" s="259"/>
      <c r="C46" s="307"/>
      <c r="D46" s="307"/>
      <c r="E46" s="307"/>
      <c r="F46" s="155" t="s">
        <v>338</v>
      </c>
      <c r="G46" s="156" t="s">
        <v>339</v>
      </c>
      <c r="H46" s="157" t="s">
        <v>230</v>
      </c>
      <c r="I46" s="158"/>
      <c r="J46" s="155" t="s">
        <v>340</v>
      </c>
      <c r="K46" s="157" t="s">
        <v>341</v>
      </c>
      <c r="L46" s="307"/>
      <c r="M46" s="307"/>
      <c r="N46" s="307"/>
      <c r="O46" s="159" t="s">
        <v>338</v>
      </c>
      <c r="P46" s="159" t="s">
        <v>342</v>
      </c>
      <c r="Q46" s="307"/>
      <c r="R46" s="307"/>
      <c r="S46" s="259"/>
      <c r="T46" s="259"/>
      <c r="U46" s="117"/>
      <c r="V46" s="308"/>
      <c r="W46" s="308"/>
      <c r="X46" s="308"/>
      <c r="Y46" s="308"/>
      <c r="Z46" s="308"/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</row>
    <row r="47" spans="1:39" x14ac:dyDescent="0.3">
      <c r="A47" s="259"/>
      <c r="B47" s="259"/>
      <c r="C47" s="307"/>
      <c r="D47" s="307"/>
      <c r="E47" s="151" t="s">
        <v>343</v>
      </c>
      <c r="F47" s="199">
        <f>+J37</f>
        <v>293.04902305084738</v>
      </c>
      <c r="G47" s="231">
        <f>+F47/G$52/1000</f>
        <v>3.3683795752970966E-2</v>
      </c>
      <c r="H47" s="161">
        <f>+F47/H$52/1000</f>
        <v>0.18383732241701436</v>
      </c>
      <c r="I47" s="162">
        <f>+IF(G3=Y21,AC45,AC36)</f>
        <v>1.325E-2</v>
      </c>
      <c r="J47" s="160">
        <f>+H47*I47*(44/28)</f>
        <v>3.8277556774685487E-3</v>
      </c>
      <c r="K47" s="228">
        <f>+J47*298</f>
        <v>1.1406711918856276</v>
      </c>
      <c r="L47" s="307"/>
      <c r="M47" s="307"/>
      <c r="N47" s="134" t="s">
        <v>303</v>
      </c>
      <c r="O47" s="146">
        <f>+J37</f>
        <v>293.04902305084738</v>
      </c>
      <c r="P47" s="144">
        <f>+O47/(G$52)</f>
        <v>33.683795752970966</v>
      </c>
      <c r="Q47" s="307"/>
      <c r="R47" s="307"/>
      <c r="S47" s="259"/>
      <c r="T47" s="259"/>
      <c r="U47" s="117"/>
      <c r="V47" s="308"/>
      <c r="W47" s="308"/>
      <c r="X47" s="308"/>
      <c r="Y47" s="308"/>
      <c r="Z47" s="308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</row>
    <row r="48" spans="1:39" x14ac:dyDescent="0.3">
      <c r="A48" s="259"/>
      <c r="B48" s="259"/>
      <c r="C48" s="307"/>
      <c r="D48" s="307"/>
      <c r="E48" s="163" t="s">
        <v>344</v>
      </c>
      <c r="F48" s="200">
        <f>+-L29</f>
        <v>4.9103600000000114</v>
      </c>
      <c r="G48" s="232">
        <f>+F48/G$52/1000</f>
        <v>5.6440919540230012E-4</v>
      </c>
      <c r="H48" s="165">
        <f>+F48/H$52/1000</f>
        <v>3.0803973516300813E-3</v>
      </c>
      <c r="I48" s="166">
        <f>+IF(G3=Y21,AF45,AF36)</f>
        <v>1.4250000000000001E-2</v>
      </c>
      <c r="J48" s="164">
        <f>+H48*I48*(44/28)</f>
        <v>6.8978897838287891E-5</v>
      </c>
      <c r="K48" s="229">
        <f>+J48*298</f>
        <v>2.0555711555809791E-2</v>
      </c>
      <c r="L48" s="307"/>
      <c r="M48" s="307"/>
      <c r="N48" s="139" t="s">
        <v>306</v>
      </c>
      <c r="O48" s="133">
        <f>+J38</f>
        <v>56.484741951319933</v>
      </c>
      <c r="P48" s="167">
        <f>+O48/(G$52)</f>
        <v>6.4924990748643605</v>
      </c>
      <c r="Q48" s="307"/>
      <c r="R48" s="307"/>
      <c r="S48" s="307"/>
      <c r="T48" s="307"/>
      <c r="U48" s="117"/>
      <c r="V48" s="308"/>
      <c r="W48" s="308"/>
      <c r="X48" s="308"/>
      <c r="Y48" s="308"/>
      <c r="Z48" s="308"/>
      <c r="AA48" s="308"/>
      <c r="AB48" s="308"/>
      <c r="AC48" s="308"/>
      <c r="AD48" s="308"/>
      <c r="AE48" s="308"/>
      <c r="AF48" s="308"/>
      <c r="AG48" s="308"/>
      <c r="AH48" s="308"/>
      <c r="AI48" s="308"/>
      <c r="AJ48" s="308"/>
      <c r="AK48" s="308"/>
      <c r="AL48" s="308"/>
      <c r="AM48" s="308"/>
    </row>
    <row r="49" spans="1:39" x14ac:dyDescent="0.3">
      <c r="A49" s="259"/>
      <c r="B49" s="259"/>
      <c r="C49" s="307"/>
      <c r="D49" s="307"/>
      <c r="E49" s="163"/>
      <c r="F49" s="200"/>
      <c r="G49" s="168"/>
      <c r="H49" s="169"/>
      <c r="I49" s="168"/>
      <c r="J49" s="164">
        <f>SUM(J47:J48)</f>
        <v>3.8967345753068367E-3</v>
      </c>
      <c r="K49" s="229">
        <f>+J49*298</f>
        <v>1.1612269034414373</v>
      </c>
      <c r="L49" s="307"/>
      <c r="M49" s="307"/>
      <c r="N49" s="134" t="s">
        <v>309</v>
      </c>
      <c r="O49" s="138">
        <f>+J39</f>
        <v>213.46355646348997</v>
      </c>
      <c r="P49" s="170">
        <f>+O49/(G$52)</f>
        <v>24.536040972814941</v>
      </c>
      <c r="Q49" s="307"/>
      <c r="R49" s="307"/>
      <c r="S49" s="259"/>
      <c r="T49" s="259"/>
      <c r="U49" s="117"/>
      <c r="V49" s="308"/>
      <c r="W49" s="308"/>
      <c r="X49" s="308"/>
      <c r="Y49" s="308"/>
      <c r="Z49" s="308"/>
      <c r="AA49" s="308"/>
      <c r="AB49" s="308"/>
      <c r="AC49" s="308"/>
      <c r="AD49" s="308"/>
      <c r="AE49" s="308"/>
      <c r="AF49" s="308"/>
      <c r="AG49" s="308"/>
      <c r="AH49" s="308"/>
      <c r="AI49" s="308"/>
      <c r="AJ49" s="308"/>
      <c r="AK49" s="308"/>
      <c r="AL49" s="308"/>
      <c r="AM49" s="308"/>
    </row>
    <row r="50" spans="1:39" x14ac:dyDescent="0.3">
      <c r="A50" s="259"/>
      <c r="B50" s="259"/>
      <c r="C50" s="307"/>
      <c r="D50" s="307"/>
      <c r="E50" s="155" t="s">
        <v>345</v>
      </c>
      <c r="F50" s="201">
        <f>+-P16*44/12</f>
        <v>270.06980000000038</v>
      </c>
      <c r="G50" s="171">
        <f>+F50/G$52/1000</f>
        <v>3.1042505747126484E-2</v>
      </c>
      <c r="H50" s="172">
        <f>+F50/H$52/1000</f>
        <v>0.16942185433965429</v>
      </c>
      <c r="I50" s="156"/>
      <c r="J50" s="156"/>
      <c r="K50" s="230">
        <f>+H50</f>
        <v>0.16942185433965429</v>
      </c>
      <c r="L50" s="307"/>
      <c r="M50" s="307"/>
      <c r="N50" s="307"/>
      <c r="O50" s="307"/>
      <c r="P50" s="307"/>
      <c r="Q50" s="307"/>
      <c r="R50" s="307"/>
      <c r="S50" s="259"/>
      <c r="T50" s="259"/>
      <c r="U50" s="117"/>
      <c r="V50" s="308"/>
      <c r="W50" s="308"/>
      <c r="X50" s="308"/>
      <c r="Y50" s="308"/>
      <c r="Z50" s="308"/>
      <c r="AA50" s="308"/>
      <c r="AB50" s="308"/>
      <c r="AC50" s="308"/>
      <c r="AD50" s="308"/>
      <c r="AE50" s="308"/>
      <c r="AF50" s="308"/>
      <c r="AG50" s="308"/>
      <c r="AH50" s="308"/>
      <c r="AI50" s="308"/>
      <c r="AJ50" s="308"/>
      <c r="AK50" s="308"/>
      <c r="AL50" s="308"/>
      <c r="AM50" s="308"/>
    </row>
    <row r="51" spans="1:39" x14ac:dyDescent="0.3">
      <c r="A51" s="259"/>
      <c r="B51" s="259"/>
      <c r="C51" s="307"/>
      <c r="D51" s="307"/>
      <c r="E51" s="307"/>
      <c r="F51" s="307"/>
      <c r="G51" s="307"/>
      <c r="H51" s="307"/>
      <c r="I51" s="307"/>
      <c r="J51" s="307"/>
      <c r="K51" s="173">
        <f>SUM(K49:K50)</f>
        <v>1.3306487577810917</v>
      </c>
      <c r="L51" s="307"/>
      <c r="M51" s="307"/>
      <c r="N51" s="307"/>
      <c r="O51" s="307"/>
      <c r="P51" s="307"/>
      <c r="Q51" s="307"/>
      <c r="R51" s="307"/>
      <c r="S51" s="259"/>
      <c r="T51" s="259"/>
      <c r="U51" s="117"/>
      <c r="V51" s="308"/>
      <c r="W51" s="308"/>
      <c r="X51" s="308"/>
      <c r="Y51" s="308"/>
      <c r="Z51" s="308"/>
      <c r="AA51" s="308"/>
      <c r="AB51" s="308"/>
      <c r="AC51" s="308"/>
      <c r="AD51" s="308"/>
      <c r="AE51" s="308"/>
      <c r="AF51" s="308"/>
      <c r="AG51" s="308"/>
      <c r="AH51" s="308"/>
      <c r="AI51" s="308"/>
      <c r="AJ51" s="308"/>
      <c r="AK51" s="308"/>
      <c r="AL51" s="308"/>
      <c r="AM51" s="308"/>
    </row>
    <row r="52" spans="1:39" x14ac:dyDescent="0.3">
      <c r="A52" s="259"/>
      <c r="B52" s="259"/>
      <c r="C52" s="307"/>
      <c r="D52" s="307"/>
      <c r="E52" s="122" t="s">
        <v>346</v>
      </c>
      <c r="F52" s="307"/>
      <c r="G52" s="122">
        <f>+Massabalans!E8</f>
        <v>8.6999999999999993</v>
      </c>
      <c r="H52" s="174">
        <f>+G52/Massabalans!H10</f>
        <v>1.5940670762496121</v>
      </c>
      <c r="I52" s="307"/>
      <c r="J52" s="307"/>
      <c r="K52" s="307"/>
      <c r="L52" s="307"/>
      <c r="M52" s="307"/>
      <c r="N52" s="307"/>
      <c r="O52" s="307"/>
      <c r="P52" s="307"/>
      <c r="Q52" s="307"/>
      <c r="R52" s="307"/>
      <c r="S52" s="259"/>
      <c r="T52" s="259"/>
      <c r="U52" s="117"/>
      <c r="V52" s="308"/>
      <c r="W52" s="308"/>
      <c r="X52" s="308"/>
      <c r="Y52" s="308"/>
      <c r="Z52" s="308"/>
      <c r="AA52" s="308"/>
      <c r="AB52" s="308"/>
      <c r="AC52" s="308"/>
      <c r="AD52" s="308"/>
      <c r="AE52" s="308"/>
      <c r="AF52" s="308"/>
      <c r="AG52" s="308"/>
      <c r="AH52" s="308"/>
      <c r="AI52" s="308"/>
      <c r="AJ52" s="308"/>
      <c r="AK52" s="308"/>
      <c r="AL52" s="308"/>
      <c r="AM52" s="308"/>
    </row>
    <row r="53" spans="1:39" x14ac:dyDescent="0.3">
      <c r="A53" s="259"/>
      <c r="B53" s="259"/>
      <c r="C53" s="307"/>
      <c r="D53" s="307"/>
      <c r="E53" s="122"/>
      <c r="F53" s="307"/>
      <c r="G53" s="122" t="s">
        <v>347</v>
      </c>
      <c r="H53" s="122" t="s">
        <v>348</v>
      </c>
      <c r="I53" s="307"/>
      <c r="J53" s="307"/>
      <c r="K53" s="307"/>
      <c r="L53" s="307"/>
      <c r="M53" s="307"/>
      <c r="N53" s="307"/>
      <c r="O53" s="307"/>
      <c r="P53" s="307"/>
      <c r="Q53" s="307"/>
      <c r="R53" s="307"/>
      <c r="S53" s="259"/>
      <c r="T53" s="259"/>
      <c r="U53" s="117"/>
      <c r="V53" s="308"/>
      <c r="W53" s="308"/>
      <c r="X53" s="308"/>
      <c r="Y53" s="308"/>
      <c r="Z53" s="308"/>
      <c r="AA53" s="308"/>
      <c r="AB53" s="308"/>
      <c r="AC53" s="308"/>
      <c r="AD53" s="308"/>
      <c r="AE53" s="308"/>
      <c r="AF53" s="308"/>
      <c r="AG53" s="308"/>
      <c r="AH53" s="308"/>
      <c r="AI53" s="308"/>
      <c r="AJ53" s="308"/>
      <c r="AK53" s="308"/>
      <c r="AL53" s="308"/>
      <c r="AM53" s="308"/>
    </row>
    <row r="54" spans="1:39" x14ac:dyDescent="0.3">
      <c r="A54" s="259"/>
      <c r="B54" s="259"/>
      <c r="C54" s="307"/>
      <c r="D54" s="307"/>
      <c r="E54" s="307"/>
      <c r="F54" s="307"/>
      <c r="G54" s="307"/>
      <c r="H54" s="307"/>
      <c r="I54" s="307"/>
      <c r="J54" s="307"/>
      <c r="K54" s="307"/>
      <c r="L54" s="307"/>
      <c r="M54" s="307"/>
      <c r="N54" s="307"/>
      <c r="O54" s="307"/>
      <c r="P54" s="307"/>
      <c r="Q54" s="307"/>
      <c r="R54" s="307"/>
      <c r="S54" s="259"/>
      <c r="T54" s="259"/>
      <c r="U54" s="117"/>
      <c r="V54" s="308"/>
      <c r="W54" s="308"/>
      <c r="X54" s="308"/>
      <c r="Y54" s="308"/>
      <c r="Z54" s="308"/>
      <c r="AA54" s="308"/>
      <c r="AB54" s="308"/>
      <c r="AC54" s="308"/>
      <c r="AD54" s="308"/>
      <c r="AE54" s="308"/>
      <c r="AF54" s="308"/>
      <c r="AG54" s="308"/>
      <c r="AH54" s="308"/>
      <c r="AI54" s="308"/>
      <c r="AJ54" s="308"/>
      <c r="AK54" s="308"/>
      <c r="AL54" s="308"/>
      <c r="AM54" s="308"/>
    </row>
    <row r="55" spans="1:39" x14ac:dyDescent="0.3">
      <c r="A55" s="259"/>
      <c r="B55" s="259"/>
      <c r="C55" s="307"/>
      <c r="D55" s="307"/>
      <c r="E55" s="307"/>
      <c r="F55" s="307"/>
      <c r="G55" s="307"/>
      <c r="H55" s="307"/>
      <c r="I55" s="307"/>
      <c r="J55" s="307"/>
      <c r="K55" s="307"/>
      <c r="L55" s="307"/>
      <c r="M55" s="307"/>
      <c r="N55" s="307"/>
      <c r="O55" s="307"/>
      <c r="P55" s="307"/>
      <c r="Q55" s="307"/>
      <c r="R55" s="307"/>
      <c r="S55" s="307"/>
      <c r="T55" s="307"/>
      <c r="U55" s="117"/>
      <c r="V55" s="308"/>
      <c r="W55" s="308"/>
      <c r="X55" s="308"/>
      <c r="Y55" s="308"/>
      <c r="Z55" s="308"/>
      <c r="AA55" s="308"/>
      <c r="AB55" s="308"/>
      <c r="AC55" s="308"/>
      <c r="AD55" s="308"/>
      <c r="AE55" s="308"/>
      <c r="AF55" s="308"/>
      <c r="AG55" s="308"/>
      <c r="AH55" s="308"/>
      <c r="AI55" s="308"/>
      <c r="AJ55" s="308"/>
      <c r="AK55" s="308"/>
      <c r="AL55" s="308"/>
      <c r="AM55" s="308"/>
    </row>
    <row r="56" spans="1:39" x14ac:dyDescent="0.3">
      <c r="A56" s="259"/>
      <c r="B56" s="259"/>
      <c r="C56" s="307"/>
      <c r="D56" s="307"/>
      <c r="E56" s="474" t="s">
        <v>349</v>
      </c>
      <c r="F56" s="175" t="s">
        <v>350</v>
      </c>
      <c r="I56" s="120"/>
      <c r="J56" s="120"/>
      <c r="K56" s="120"/>
      <c r="L56" s="120"/>
      <c r="M56" s="307"/>
      <c r="N56" s="307"/>
      <c r="O56" s="307"/>
      <c r="P56" s="307"/>
      <c r="Q56" s="307"/>
      <c r="R56" s="307"/>
      <c r="S56" s="307"/>
      <c r="T56" s="307"/>
      <c r="U56" s="117"/>
      <c r="V56" s="308"/>
      <c r="W56" s="308"/>
      <c r="X56" s="308"/>
      <c r="Y56" s="308"/>
      <c r="Z56" s="308"/>
      <c r="AA56" s="308"/>
      <c r="AB56" s="308"/>
      <c r="AC56" s="308"/>
      <c r="AD56" s="308"/>
      <c r="AE56" s="308"/>
      <c r="AF56" s="308"/>
      <c r="AG56" s="308"/>
      <c r="AH56" s="308"/>
      <c r="AI56" s="308"/>
      <c r="AJ56" s="308"/>
      <c r="AK56" s="308"/>
      <c r="AL56" s="308"/>
      <c r="AM56" s="308"/>
    </row>
    <row r="57" spans="1:39" x14ac:dyDescent="0.3">
      <c r="A57" s="259"/>
      <c r="B57" s="259"/>
      <c r="C57" s="307"/>
      <c r="D57" s="307"/>
      <c r="E57" s="474"/>
      <c r="F57" s="175" t="s">
        <v>351</v>
      </c>
      <c r="I57" s="120"/>
      <c r="J57" s="120"/>
      <c r="K57" s="120"/>
      <c r="L57" s="120"/>
      <c r="M57" s="307"/>
      <c r="N57" s="307"/>
      <c r="O57" s="307"/>
      <c r="P57" s="307"/>
      <c r="Q57" s="307"/>
      <c r="R57" s="307"/>
      <c r="S57" s="307"/>
      <c r="T57" s="307"/>
      <c r="U57" s="117"/>
      <c r="V57" s="308"/>
      <c r="W57" s="308"/>
      <c r="X57" s="308"/>
      <c r="Y57" s="308"/>
      <c r="Z57" s="308"/>
      <c r="AA57" s="308"/>
      <c r="AB57" s="308"/>
      <c r="AC57" s="308"/>
      <c r="AD57" s="308"/>
      <c r="AE57" s="308"/>
      <c r="AF57" s="308"/>
      <c r="AG57" s="308"/>
      <c r="AH57" s="308"/>
      <c r="AI57" s="308"/>
      <c r="AJ57" s="308"/>
      <c r="AK57" s="308"/>
      <c r="AL57" s="308"/>
      <c r="AM57" s="308"/>
    </row>
    <row r="58" spans="1:39" x14ac:dyDescent="0.3">
      <c r="A58" s="259"/>
      <c r="B58" s="259"/>
      <c r="C58" s="307"/>
      <c r="D58" s="307"/>
      <c r="E58" s="307"/>
      <c r="F58" s="307"/>
      <c r="G58" s="307"/>
      <c r="H58" s="307"/>
      <c r="I58" s="307"/>
      <c r="J58" s="307"/>
      <c r="K58" s="307"/>
      <c r="L58" s="307"/>
      <c r="M58" s="307"/>
      <c r="N58" s="307"/>
      <c r="O58" s="307"/>
      <c r="P58" s="307"/>
      <c r="Q58" s="307"/>
      <c r="R58" s="307"/>
      <c r="S58" s="307"/>
      <c r="T58" s="307"/>
      <c r="U58" s="117"/>
      <c r="V58" s="308"/>
      <c r="W58" s="308"/>
      <c r="X58" s="308"/>
      <c r="Y58" s="308"/>
      <c r="Z58" s="308"/>
      <c r="AA58" s="308"/>
      <c r="AB58" s="308"/>
      <c r="AC58" s="308"/>
      <c r="AD58" s="308"/>
      <c r="AE58" s="308"/>
      <c r="AF58" s="308"/>
      <c r="AG58" s="308"/>
      <c r="AH58" s="308"/>
      <c r="AI58" s="308"/>
      <c r="AJ58" s="308"/>
      <c r="AK58" s="308"/>
      <c r="AL58" s="308"/>
      <c r="AM58" s="308"/>
    </row>
    <row r="59" spans="1:39" x14ac:dyDescent="0.3">
      <c r="A59" s="259"/>
      <c r="B59" s="259"/>
      <c r="C59" s="307"/>
      <c r="D59" s="307"/>
      <c r="E59" s="307"/>
      <c r="F59" s="307"/>
      <c r="G59" s="307"/>
      <c r="H59" s="259"/>
      <c r="I59" s="259"/>
      <c r="J59" s="259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117"/>
      <c r="V59" s="308"/>
      <c r="W59" s="308"/>
      <c r="X59" s="308"/>
      <c r="Y59" s="308"/>
      <c r="Z59" s="308"/>
      <c r="AA59" s="308"/>
      <c r="AB59" s="308"/>
      <c r="AC59" s="308"/>
      <c r="AD59" s="308"/>
      <c r="AE59" s="308"/>
      <c r="AF59" s="308"/>
      <c r="AG59" s="308"/>
      <c r="AH59" s="308"/>
      <c r="AI59" s="308"/>
      <c r="AJ59" s="308"/>
      <c r="AK59" s="308"/>
      <c r="AL59" s="308"/>
      <c r="AM59" s="308"/>
    </row>
    <row r="60" spans="1:39" x14ac:dyDescent="0.3">
      <c r="A60" s="259"/>
      <c r="B60" s="259"/>
      <c r="C60" s="307"/>
      <c r="D60" s="307"/>
      <c r="E60" s="307"/>
      <c r="F60" s="307"/>
      <c r="G60" s="307"/>
      <c r="H60" s="259"/>
      <c r="I60" s="259"/>
      <c r="J60" s="259"/>
      <c r="K60" s="307"/>
      <c r="L60" s="307"/>
      <c r="M60" s="307"/>
      <c r="N60" s="307"/>
      <c r="O60" s="307"/>
      <c r="P60" s="307"/>
      <c r="Q60" s="307"/>
      <c r="R60" s="307"/>
      <c r="S60" s="307"/>
      <c r="T60" s="307"/>
      <c r="U60" s="117"/>
      <c r="V60" s="308"/>
      <c r="W60" s="308"/>
      <c r="X60" s="308"/>
      <c r="Y60" s="308"/>
      <c r="Z60" s="308"/>
      <c r="AA60" s="308"/>
      <c r="AB60" s="308"/>
      <c r="AC60" s="308"/>
      <c r="AD60" s="308"/>
      <c r="AE60" s="308"/>
      <c r="AF60" s="308"/>
      <c r="AG60" s="308"/>
      <c r="AH60" s="308"/>
      <c r="AI60" s="308"/>
      <c r="AJ60" s="308"/>
      <c r="AK60" s="308"/>
      <c r="AL60" s="308"/>
      <c r="AM60" s="308"/>
    </row>
    <row r="61" spans="1:39" x14ac:dyDescent="0.3">
      <c r="A61" s="259"/>
      <c r="B61" s="259"/>
      <c r="C61" s="307"/>
      <c r="D61" s="307"/>
      <c r="E61" s="307"/>
      <c r="F61" s="307"/>
      <c r="G61" s="307"/>
      <c r="H61" s="259"/>
      <c r="I61" s="259"/>
      <c r="J61" s="259"/>
      <c r="K61" s="307"/>
      <c r="L61" s="307"/>
      <c r="M61" s="307"/>
      <c r="N61" s="307"/>
      <c r="O61" s="307"/>
      <c r="P61" s="307"/>
      <c r="Q61" s="307"/>
      <c r="R61" s="307"/>
      <c r="S61" s="307"/>
      <c r="T61" s="307"/>
      <c r="U61" s="117"/>
      <c r="V61" s="308"/>
      <c r="W61" s="308"/>
      <c r="X61" s="308"/>
      <c r="Y61" s="308"/>
      <c r="Z61" s="308"/>
      <c r="AA61" s="308"/>
      <c r="AB61" s="308"/>
      <c r="AC61" s="308"/>
      <c r="AD61" s="308"/>
      <c r="AE61" s="308"/>
      <c r="AF61" s="308"/>
      <c r="AG61" s="308"/>
      <c r="AH61" s="308"/>
      <c r="AI61" s="308"/>
      <c r="AJ61" s="308"/>
      <c r="AK61" s="308"/>
      <c r="AL61" s="308"/>
      <c r="AM61" s="308"/>
    </row>
    <row r="62" spans="1:39" x14ac:dyDescent="0.3">
      <c r="A62" s="259"/>
      <c r="B62" s="259"/>
      <c r="C62" s="307"/>
      <c r="D62" s="307"/>
      <c r="E62" s="307"/>
      <c r="F62" s="307"/>
      <c r="G62" s="307"/>
      <c r="H62" s="259"/>
      <c r="I62" s="259"/>
      <c r="J62" s="259"/>
      <c r="K62" s="307"/>
      <c r="L62" s="307"/>
      <c r="M62" s="307"/>
      <c r="N62" s="307"/>
      <c r="O62" s="307"/>
      <c r="P62" s="307"/>
      <c r="Q62" s="307"/>
      <c r="R62" s="307"/>
      <c r="S62" s="259"/>
      <c r="T62" s="259"/>
      <c r="U62" s="117"/>
      <c r="V62" s="308"/>
      <c r="W62" s="308"/>
      <c r="X62" s="308"/>
      <c r="Y62" s="308"/>
      <c r="Z62" s="308"/>
      <c r="AA62" s="308"/>
      <c r="AB62" s="308"/>
      <c r="AC62" s="308"/>
      <c r="AD62" s="308"/>
      <c r="AE62" s="308"/>
      <c r="AF62" s="308"/>
      <c r="AG62" s="308"/>
      <c r="AH62" s="308"/>
      <c r="AI62" s="308"/>
      <c r="AJ62" s="308"/>
      <c r="AK62" s="308"/>
      <c r="AL62" s="308"/>
      <c r="AM62" s="308"/>
    </row>
    <row r="63" spans="1:39" x14ac:dyDescent="0.3">
      <c r="A63" s="259"/>
      <c r="B63" s="259"/>
      <c r="C63" s="307"/>
      <c r="D63" s="307"/>
      <c r="E63" s="307"/>
      <c r="F63" s="307"/>
      <c r="G63" s="307"/>
      <c r="H63" s="259"/>
      <c r="I63" s="259"/>
      <c r="J63" s="259"/>
      <c r="K63" s="307"/>
      <c r="L63" s="307"/>
      <c r="M63" s="307"/>
      <c r="N63" s="307"/>
      <c r="O63" s="307"/>
      <c r="P63" s="307"/>
      <c r="Q63" s="307"/>
      <c r="R63" s="307"/>
      <c r="S63" s="259"/>
      <c r="T63" s="259"/>
      <c r="U63" s="117"/>
      <c r="V63" s="308"/>
      <c r="W63" s="308"/>
      <c r="X63" s="308"/>
      <c r="Y63" s="308"/>
      <c r="Z63" s="308"/>
      <c r="AA63" s="308"/>
      <c r="AB63" s="308"/>
      <c r="AC63" s="308"/>
      <c r="AD63" s="308"/>
      <c r="AE63" s="308"/>
      <c r="AF63" s="308"/>
      <c r="AG63" s="308"/>
      <c r="AH63" s="308"/>
      <c r="AI63" s="308"/>
      <c r="AJ63" s="308"/>
      <c r="AK63" s="308"/>
      <c r="AL63" s="308"/>
      <c r="AM63" s="308"/>
    </row>
    <row r="64" spans="1:39" x14ac:dyDescent="0.3">
      <c r="A64" s="259"/>
      <c r="B64" s="259"/>
      <c r="C64" s="307"/>
      <c r="D64" s="307"/>
      <c r="E64" s="307"/>
      <c r="F64" s="307"/>
      <c r="G64" s="307"/>
      <c r="H64" s="259"/>
      <c r="I64" s="259"/>
      <c r="J64" s="259"/>
      <c r="K64" s="307"/>
      <c r="L64" s="307"/>
      <c r="M64" s="307"/>
      <c r="N64" s="307"/>
      <c r="O64" s="307"/>
      <c r="P64" s="307"/>
      <c r="Q64" s="307"/>
      <c r="R64" s="307"/>
      <c r="S64" s="259"/>
      <c r="T64" s="259"/>
      <c r="U64" s="117"/>
      <c r="V64" s="308"/>
      <c r="W64" s="308"/>
      <c r="X64" s="308"/>
      <c r="Y64" s="308"/>
      <c r="Z64" s="308"/>
      <c r="AA64" s="308"/>
      <c r="AB64" s="308"/>
      <c r="AC64" s="308"/>
      <c r="AD64" s="308"/>
      <c r="AE64" s="308"/>
      <c r="AF64" s="308"/>
      <c r="AG64" s="308"/>
      <c r="AH64" s="308"/>
      <c r="AI64" s="308"/>
      <c r="AJ64" s="308"/>
      <c r="AK64" s="308"/>
      <c r="AL64" s="308"/>
      <c r="AM64" s="308"/>
    </row>
    <row r="65" spans="1:39" x14ac:dyDescent="0.3">
      <c r="A65" s="259"/>
      <c r="B65" s="259"/>
      <c r="C65" s="307"/>
      <c r="D65" s="307"/>
      <c r="E65" s="307"/>
      <c r="F65" s="307"/>
      <c r="G65" s="307"/>
      <c r="H65" s="307"/>
      <c r="I65" s="307"/>
      <c r="J65" s="307"/>
      <c r="K65" s="307"/>
      <c r="L65" s="307"/>
      <c r="M65" s="307"/>
      <c r="N65" s="307"/>
      <c r="O65" s="307"/>
      <c r="P65" s="307"/>
      <c r="Q65" s="307"/>
      <c r="R65" s="307"/>
      <c r="S65" s="259"/>
      <c r="T65" s="259"/>
      <c r="U65" s="117"/>
      <c r="V65" s="308"/>
      <c r="W65" s="308"/>
      <c r="X65" s="308"/>
      <c r="Y65" s="308"/>
      <c r="Z65" s="308"/>
      <c r="AA65" s="308"/>
      <c r="AB65" s="308"/>
      <c r="AC65" s="308"/>
      <c r="AD65" s="308"/>
      <c r="AE65" s="308"/>
      <c r="AF65" s="308"/>
      <c r="AG65" s="308"/>
      <c r="AH65" s="308"/>
      <c r="AI65" s="308"/>
      <c r="AJ65" s="308"/>
      <c r="AK65" s="308"/>
      <c r="AL65" s="308"/>
      <c r="AM65" s="308"/>
    </row>
    <row r="66" spans="1:39" x14ac:dyDescent="0.3">
      <c r="A66" s="259"/>
      <c r="B66" s="259"/>
      <c r="C66" s="307"/>
      <c r="D66" s="307"/>
      <c r="E66" s="307"/>
      <c r="F66" s="307"/>
      <c r="G66" s="307"/>
      <c r="H66" s="307"/>
      <c r="I66" s="307"/>
      <c r="J66" s="307"/>
      <c r="K66" s="307"/>
      <c r="L66" s="307"/>
      <c r="M66" s="307"/>
      <c r="N66" s="307"/>
      <c r="O66" s="307"/>
      <c r="P66" s="307"/>
      <c r="Q66" s="307"/>
      <c r="R66" s="307"/>
      <c r="S66" s="259"/>
      <c r="T66" s="259"/>
      <c r="U66" s="117"/>
      <c r="V66" s="308"/>
      <c r="W66" s="308"/>
      <c r="X66" s="308"/>
      <c r="Y66" s="308"/>
      <c r="Z66" s="308"/>
      <c r="AA66" s="308"/>
      <c r="AB66" s="308"/>
      <c r="AC66" s="308"/>
      <c r="AD66" s="308"/>
      <c r="AE66" s="308"/>
      <c r="AF66" s="308"/>
      <c r="AG66" s="308"/>
      <c r="AH66" s="308"/>
      <c r="AI66" s="308"/>
      <c r="AJ66" s="308"/>
      <c r="AK66" s="308"/>
      <c r="AL66" s="308"/>
      <c r="AM66" s="308"/>
    </row>
    <row r="67" spans="1:39" x14ac:dyDescent="0.3">
      <c r="A67" s="259"/>
      <c r="B67" s="259"/>
      <c r="C67" s="307"/>
      <c r="D67" s="307"/>
      <c r="E67" s="307"/>
      <c r="F67" s="307"/>
      <c r="G67" s="307"/>
      <c r="H67" s="307"/>
      <c r="I67" s="307"/>
      <c r="J67" s="307"/>
      <c r="K67" s="307"/>
      <c r="L67" s="307"/>
      <c r="M67" s="307"/>
      <c r="N67" s="307"/>
      <c r="O67" s="307"/>
      <c r="P67" s="307"/>
      <c r="Q67" s="307"/>
      <c r="R67" s="307"/>
      <c r="S67" s="259"/>
      <c r="T67" s="259"/>
      <c r="U67" s="117"/>
      <c r="V67" s="308"/>
      <c r="W67" s="308"/>
      <c r="X67" s="308"/>
      <c r="Y67" s="308"/>
      <c r="Z67" s="308"/>
      <c r="AA67" s="308"/>
      <c r="AB67" s="308"/>
      <c r="AC67" s="308"/>
      <c r="AD67" s="308"/>
      <c r="AE67" s="308"/>
      <c r="AF67" s="308"/>
      <c r="AG67" s="308"/>
      <c r="AH67" s="308"/>
      <c r="AI67" s="308"/>
      <c r="AJ67" s="308"/>
      <c r="AK67" s="308"/>
      <c r="AL67" s="308"/>
      <c r="AM67" s="308"/>
    </row>
    <row r="68" spans="1:39" x14ac:dyDescent="0.3">
      <c r="A68" s="259"/>
      <c r="B68" s="259"/>
      <c r="C68" s="307"/>
      <c r="D68" s="307"/>
      <c r="E68" s="307"/>
      <c r="F68" s="307"/>
      <c r="G68" s="307"/>
      <c r="H68" s="307"/>
      <c r="I68" s="307"/>
      <c r="J68" s="307"/>
      <c r="K68" s="307"/>
      <c r="L68" s="307"/>
      <c r="M68" s="307"/>
      <c r="N68" s="307"/>
      <c r="O68" s="307"/>
      <c r="P68" s="307"/>
      <c r="Q68" s="307"/>
      <c r="R68" s="307"/>
      <c r="S68" s="259"/>
      <c r="T68" s="259"/>
      <c r="U68" s="117"/>
      <c r="V68" s="308"/>
      <c r="W68" s="308"/>
      <c r="X68" s="308"/>
      <c r="Y68" s="308"/>
      <c r="Z68" s="308"/>
      <c r="AA68" s="308"/>
      <c r="AB68" s="308"/>
      <c r="AC68" s="308"/>
      <c r="AD68" s="308"/>
      <c r="AE68" s="308"/>
      <c r="AF68" s="308"/>
      <c r="AG68" s="308"/>
      <c r="AH68" s="308"/>
      <c r="AI68" s="308"/>
      <c r="AJ68" s="308"/>
      <c r="AK68" s="308"/>
      <c r="AL68" s="308"/>
      <c r="AM68" s="308"/>
    </row>
    <row r="69" spans="1:39" x14ac:dyDescent="0.3">
      <c r="A69" s="259"/>
      <c r="B69" s="259"/>
      <c r="C69" s="307"/>
      <c r="D69" s="307"/>
      <c r="E69" s="307"/>
      <c r="F69" s="307"/>
      <c r="G69" s="307"/>
      <c r="H69" s="307"/>
      <c r="I69" s="307"/>
      <c r="J69" s="307"/>
      <c r="K69" s="307"/>
      <c r="L69" s="307"/>
      <c r="M69" s="307"/>
      <c r="N69" s="307"/>
      <c r="O69" s="307"/>
      <c r="P69" s="307"/>
      <c r="Q69" s="307"/>
      <c r="R69" s="307"/>
      <c r="S69" s="259"/>
      <c r="T69" s="259"/>
      <c r="U69" s="117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308"/>
      <c r="AI69" s="308"/>
      <c r="AJ69" s="308"/>
      <c r="AK69" s="308"/>
      <c r="AL69" s="308"/>
      <c r="AM69" s="308"/>
    </row>
    <row r="70" spans="1:39" x14ac:dyDescent="0.3">
      <c r="A70" s="259"/>
      <c r="B70" s="259"/>
      <c r="C70" s="307"/>
      <c r="D70" s="307"/>
      <c r="E70" s="307"/>
      <c r="F70" s="307"/>
      <c r="G70" s="307"/>
      <c r="H70" s="307"/>
      <c r="I70" s="307"/>
      <c r="J70" s="307"/>
      <c r="K70" s="307"/>
      <c r="L70" s="307"/>
      <c r="M70" s="307"/>
      <c r="N70" s="307"/>
      <c r="O70" s="307"/>
      <c r="P70" s="307"/>
      <c r="Q70" s="307"/>
      <c r="R70" s="307"/>
      <c r="S70" s="259"/>
      <c r="T70" s="259"/>
      <c r="U70" s="117"/>
      <c r="V70" s="308"/>
      <c r="W70" s="308"/>
      <c r="X70" s="308"/>
      <c r="Y70" s="308"/>
      <c r="Z70" s="308"/>
      <c r="AA70" s="308"/>
      <c r="AB70" s="308"/>
      <c r="AC70" s="308"/>
      <c r="AD70" s="308"/>
      <c r="AE70" s="308"/>
      <c r="AF70" s="308"/>
      <c r="AG70" s="308"/>
      <c r="AH70" s="308"/>
      <c r="AI70" s="308"/>
      <c r="AJ70" s="308"/>
      <c r="AK70" s="308"/>
      <c r="AL70" s="308"/>
      <c r="AM70" s="308"/>
    </row>
    <row r="71" spans="1:39" x14ac:dyDescent="0.3">
      <c r="A71" s="259"/>
      <c r="B71" s="259"/>
      <c r="C71" s="307"/>
      <c r="D71" s="307"/>
      <c r="E71" s="307"/>
      <c r="F71" s="307"/>
      <c r="G71" s="307"/>
      <c r="H71" s="307"/>
      <c r="I71" s="307"/>
      <c r="J71" s="307"/>
      <c r="K71" s="307"/>
      <c r="L71" s="307"/>
      <c r="M71" s="307"/>
      <c r="N71" s="307"/>
      <c r="O71" s="307"/>
      <c r="P71" s="307"/>
      <c r="Q71" s="307"/>
      <c r="R71" s="307"/>
      <c r="S71" s="259"/>
      <c r="T71" s="259"/>
      <c r="U71" s="118"/>
      <c r="V71" s="308"/>
      <c r="W71" s="308"/>
      <c r="X71" s="308"/>
      <c r="Y71" s="308"/>
      <c r="Z71" s="308"/>
      <c r="AA71" s="308"/>
      <c r="AB71" s="308"/>
      <c r="AC71" s="308"/>
      <c r="AD71" s="308"/>
      <c r="AE71" s="308"/>
      <c r="AF71" s="308"/>
      <c r="AG71" s="308"/>
      <c r="AH71" s="308"/>
      <c r="AI71" s="308"/>
      <c r="AJ71" s="308"/>
      <c r="AK71" s="308"/>
      <c r="AL71" s="308"/>
      <c r="AM71" s="308"/>
    </row>
    <row r="72" spans="1:39" x14ac:dyDescent="0.3">
      <c r="A72" s="259"/>
      <c r="B72" s="259"/>
      <c r="C72" s="307"/>
      <c r="D72" s="307"/>
      <c r="E72" s="307"/>
      <c r="F72" s="307"/>
      <c r="G72" s="307"/>
      <c r="H72" s="307"/>
      <c r="I72" s="307"/>
      <c r="J72" s="307"/>
      <c r="K72" s="307"/>
      <c r="L72" s="307"/>
      <c r="M72" s="307"/>
      <c r="N72" s="307"/>
      <c r="O72" s="307"/>
      <c r="P72" s="307"/>
      <c r="Q72" s="307"/>
      <c r="R72" s="307"/>
      <c r="S72" s="259"/>
      <c r="T72" s="259"/>
      <c r="U72" s="118"/>
      <c r="V72" s="308"/>
      <c r="W72" s="308"/>
      <c r="X72" s="308"/>
      <c r="Y72" s="308"/>
      <c r="Z72" s="308"/>
      <c r="AA72" s="308"/>
      <c r="AB72" s="308"/>
      <c r="AC72" s="308"/>
      <c r="AD72" s="308"/>
      <c r="AE72" s="308"/>
      <c r="AF72" s="308"/>
      <c r="AG72" s="308"/>
      <c r="AH72" s="308"/>
      <c r="AI72" s="308"/>
      <c r="AJ72" s="308"/>
      <c r="AK72" s="308"/>
      <c r="AL72" s="308"/>
      <c r="AM72" s="308"/>
    </row>
    <row r="73" spans="1:39" x14ac:dyDescent="0.3">
      <c r="A73" s="259"/>
      <c r="B73" s="259"/>
      <c r="C73" s="307"/>
      <c r="D73" s="307"/>
      <c r="E73" s="307"/>
      <c r="F73" s="307"/>
      <c r="G73" s="307"/>
      <c r="H73" s="307"/>
      <c r="I73" s="307"/>
      <c r="J73" s="307"/>
      <c r="K73" s="307"/>
      <c r="L73" s="307"/>
      <c r="M73" s="307"/>
      <c r="N73" s="307"/>
      <c r="O73" s="307"/>
      <c r="P73" s="307"/>
      <c r="Q73" s="307"/>
      <c r="R73" s="307"/>
      <c r="S73" s="259"/>
      <c r="T73" s="259"/>
      <c r="U73" s="118"/>
      <c r="V73" s="308"/>
      <c r="W73" s="308"/>
      <c r="X73" s="308"/>
      <c r="Y73" s="308"/>
      <c r="Z73" s="308"/>
      <c r="AA73" s="308"/>
      <c r="AB73" s="308"/>
      <c r="AC73" s="308"/>
      <c r="AD73" s="308"/>
      <c r="AE73" s="308"/>
      <c r="AF73" s="308"/>
      <c r="AG73" s="308"/>
      <c r="AH73" s="308"/>
      <c r="AI73" s="308"/>
      <c r="AJ73" s="308"/>
      <c r="AK73" s="308"/>
      <c r="AL73" s="308"/>
      <c r="AM73" s="308"/>
    </row>
    <row r="74" spans="1:39" x14ac:dyDescent="0.3">
      <c r="A74" s="259"/>
      <c r="B74" s="259"/>
      <c r="C74" s="307"/>
      <c r="D74" s="307"/>
      <c r="E74" s="307"/>
      <c r="F74" s="307"/>
      <c r="G74" s="307"/>
      <c r="H74" s="307"/>
      <c r="I74" s="307"/>
      <c r="J74" s="307"/>
      <c r="K74" s="307"/>
      <c r="L74" s="307"/>
      <c r="M74" s="307"/>
      <c r="N74" s="307"/>
      <c r="O74" s="307"/>
      <c r="P74" s="307"/>
      <c r="Q74" s="307"/>
      <c r="R74" s="307"/>
      <c r="S74" s="259"/>
      <c r="T74" s="259"/>
      <c r="U74" s="118"/>
      <c r="V74" s="308"/>
      <c r="W74" s="308"/>
      <c r="X74" s="308"/>
      <c r="Y74" s="308"/>
      <c r="Z74" s="308"/>
      <c r="AA74" s="308"/>
      <c r="AB74" s="308"/>
      <c r="AC74" s="308"/>
      <c r="AD74" s="308"/>
      <c r="AE74" s="308"/>
      <c r="AF74" s="308"/>
      <c r="AG74" s="308"/>
      <c r="AH74" s="308"/>
      <c r="AI74" s="308"/>
      <c r="AJ74" s="308"/>
      <c r="AK74" s="308"/>
      <c r="AL74" s="308"/>
      <c r="AM74" s="308"/>
    </row>
    <row r="75" spans="1:39" x14ac:dyDescent="0.3">
      <c r="A75" s="259"/>
      <c r="B75" s="259"/>
      <c r="C75" s="307"/>
      <c r="D75" s="307"/>
      <c r="E75" s="307"/>
      <c r="F75" s="307"/>
      <c r="G75" s="307"/>
      <c r="H75" s="307"/>
      <c r="I75" s="307"/>
      <c r="J75" s="307"/>
      <c r="K75" s="307"/>
      <c r="L75" s="307"/>
      <c r="M75" s="307"/>
      <c r="N75" s="307"/>
      <c r="O75" s="307"/>
      <c r="P75" s="307"/>
      <c r="Q75" s="307"/>
      <c r="R75" s="307"/>
      <c r="S75" s="259"/>
      <c r="T75" s="259"/>
      <c r="U75" s="118"/>
      <c r="V75" s="308"/>
      <c r="W75" s="308"/>
      <c r="X75" s="308"/>
      <c r="Y75" s="308"/>
      <c r="Z75" s="308"/>
      <c r="AA75" s="308"/>
      <c r="AB75" s="308"/>
      <c r="AC75" s="308"/>
      <c r="AD75" s="308"/>
      <c r="AE75" s="308"/>
      <c r="AF75" s="308"/>
      <c r="AG75" s="308"/>
      <c r="AH75" s="308"/>
      <c r="AI75" s="308"/>
      <c r="AJ75" s="308"/>
      <c r="AK75" s="308"/>
      <c r="AL75" s="308"/>
      <c r="AM75" s="308"/>
    </row>
    <row r="76" spans="1:39" x14ac:dyDescent="0.3">
      <c r="A76" s="259"/>
      <c r="B76" s="259"/>
      <c r="C76" s="307"/>
      <c r="D76" s="307"/>
      <c r="E76" s="307"/>
      <c r="F76" s="307"/>
      <c r="G76" s="307"/>
      <c r="H76" s="307"/>
      <c r="I76" s="307"/>
      <c r="J76" s="307"/>
      <c r="K76" s="307"/>
      <c r="L76" s="307"/>
      <c r="M76" s="307"/>
      <c r="N76" s="307"/>
      <c r="O76" s="307"/>
      <c r="P76" s="307"/>
      <c r="Q76" s="307"/>
      <c r="R76" s="307"/>
      <c r="S76" s="259"/>
      <c r="T76" s="259"/>
      <c r="U76" s="118"/>
      <c r="V76" s="308"/>
      <c r="W76" s="308"/>
      <c r="X76" s="308"/>
      <c r="Y76" s="308"/>
      <c r="Z76" s="308"/>
      <c r="AA76" s="308"/>
      <c r="AB76" s="308"/>
      <c r="AC76" s="308"/>
      <c r="AD76" s="308"/>
      <c r="AE76" s="308"/>
      <c r="AF76" s="308"/>
      <c r="AG76" s="308"/>
      <c r="AH76" s="308"/>
      <c r="AI76" s="308"/>
      <c r="AJ76" s="308"/>
      <c r="AK76" s="308"/>
      <c r="AL76" s="308"/>
      <c r="AM76" s="308"/>
    </row>
    <row r="77" spans="1:39" x14ac:dyDescent="0.3">
      <c r="A77" s="259"/>
      <c r="B77" s="259"/>
      <c r="C77" s="307"/>
      <c r="D77" s="307"/>
      <c r="E77" s="307"/>
      <c r="F77" s="307"/>
      <c r="G77" s="307"/>
      <c r="H77" s="307"/>
      <c r="I77" s="307"/>
      <c r="J77" s="307"/>
      <c r="K77" s="307"/>
      <c r="L77" s="307"/>
      <c r="M77" s="307"/>
      <c r="N77" s="307"/>
      <c r="O77" s="307"/>
      <c r="P77" s="307"/>
      <c r="Q77" s="307"/>
      <c r="R77" s="307"/>
      <c r="S77" s="259"/>
      <c r="T77" s="259"/>
      <c r="U77" s="118"/>
      <c r="V77" s="308"/>
      <c r="W77" s="308"/>
      <c r="X77" s="308"/>
      <c r="Y77" s="308"/>
      <c r="Z77" s="308"/>
      <c r="AA77" s="308"/>
      <c r="AB77" s="308"/>
      <c r="AC77" s="308"/>
      <c r="AD77" s="308"/>
      <c r="AE77" s="308"/>
      <c r="AF77" s="308"/>
      <c r="AG77" s="308"/>
      <c r="AH77" s="308"/>
      <c r="AI77" s="308"/>
      <c r="AJ77" s="308"/>
      <c r="AK77" s="308"/>
      <c r="AL77" s="308"/>
      <c r="AM77" s="308"/>
    </row>
    <row r="78" spans="1:39" x14ac:dyDescent="0.3">
      <c r="U78" s="9"/>
    </row>
    <row r="79" spans="1:39" x14ac:dyDescent="0.3">
      <c r="U79" s="9"/>
    </row>
    <row r="80" spans="1:39" x14ac:dyDescent="0.3">
      <c r="U80" s="9"/>
    </row>
  </sheetData>
  <mergeCells count="29">
    <mergeCell ref="B2:F3"/>
    <mergeCell ref="E56:E57"/>
    <mergeCell ref="E8:E11"/>
    <mergeCell ref="P8:P11"/>
    <mergeCell ref="Q8:Q11"/>
    <mergeCell ref="F9:F11"/>
    <mergeCell ref="G9:G11"/>
    <mergeCell ref="H9:H11"/>
    <mergeCell ref="O8:O11"/>
    <mergeCell ref="F8:H8"/>
    <mergeCell ref="L8:L11"/>
    <mergeCell ref="M8:M11"/>
    <mergeCell ref="N8:N11"/>
    <mergeCell ref="M22:M25"/>
    <mergeCell ref="N22:N25"/>
    <mergeCell ref="E27:E28"/>
    <mergeCell ref="O45:P45"/>
    <mergeCell ref="L22:L25"/>
    <mergeCell ref="E35:E36"/>
    <mergeCell ref="F35:H35"/>
    <mergeCell ref="I35:I36"/>
    <mergeCell ref="J35:J36"/>
    <mergeCell ref="F27:F28"/>
    <mergeCell ref="G27:G28"/>
    <mergeCell ref="H27:H28"/>
    <mergeCell ref="E22:E23"/>
    <mergeCell ref="F22:F23"/>
    <mergeCell ref="G22:G23"/>
    <mergeCell ref="H22:H23"/>
  </mergeCells>
  <dataValidations count="2">
    <dataValidation type="list" allowBlank="1" showInputMessage="1" showErrorMessage="1" sqref="G3">
      <formula1>$Y$21:$Y$22</formula1>
    </dataValidation>
    <dataValidation type="list" allowBlank="1" showInputMessage="1" showErrorMessage="1" sqref="G27:G28">
      <formula1>$W$21:$W$22</formula1>
    </dataValidation>
  </dataValidations>
  <hyperlinks>
    <hyperlink ref="F57" r:id="rId1"/>
    <hyperlink ref="F56" r:id="rId2"/>
  </hyperlinks>
  <pageMargins left="0.7" right="0.7" top="0.75" bottom="0.75" header="0.3" footer="0.3"/>
  <pageSetup paperSize="9" orientation="portrait" horizontalDpi="0" verticalDpi="0" r:id="rId3"/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W53"/>
  <sheetViews>
    <sheetView tabSelected="1" topLeftCell="E1" zoomScale="85" zoomScaleNormal="85" workbookViewId="0">
      <selection activeCell="T1" sqref="T1:W6"/>
    </sheetView>
  </sheetViews>
  <sheetFormatPr defaultColWidth="11.5703125" defaultRowHeight="12.75" x14ac:dyDescent="0.2"/>
  <cols>
    <col min="2" max="3" width="4.5703125" customWidth="1"/>
    <col min="4" max="4" width="36.5703125" customWidth="1"/>
    <col min="5" max="5" width="13.140625" bestFit="1" customWidth="1"/>
    <col min="6" max="6" width="8.5703125" bestFit="1" customWidth="1"/>
    <col min="7" max="7" width="6.7109375" customWidth="1"/>
    <col min="8" max="8" width="14.7109375" customWidth="1"/>
    <col min="9" max="9" width="6.5703125" customWidth="1"/>
    <col min="10" max="10" width="16.140625" bestFit="1" customWidth="1"/>
    <col min="11" max="11" width="4.7109375" customWidth="1"/>
    <col min="12" max="15" width="6.7109375" customWidth="1"/>
    <col min="16" max="16" width="46" customWidth="1"/>
    <col min="17" max="17" width="3.85546875" customWidth="1"/>
    <col min="20" max="20" width="16.140625" bestFit="1" customWidth="1"/>
  </cols>
  <sheetData>
    <row r="1" spans="1:23" ht="12.75" customHeight="1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402"/>
      <c r="U1" s="402"/>
      <c r="V1" s="402"/>
      <c r="W1" s="402"/>
    </row>
    <row r="2" spans="1:23" ht="20.100000000000001" customHeight="1" x14ac:dyDescent="0.2">
      <c r="A2" s="259"/>
      <c r="B2" s="494" t="s">
        <v>229</v>
      </c>
      <c r="C2" s="494"/>
      <c r="D2" s="494"/>
      <c r="E2" s="502" t="s">
        <v>465</v>
      </c>
      <c r="F2" s="503"/>
      <c r="G2" s="506" t="s">
        <v>377</v>
      </c>
      <c r="H2" s="259"/>
      <c r="I2" s="2" t="s">
        <v>10</v>
      </c>
      <c r="K2" s="4"/>
      <c r="O2" s="3">
        <f>+Massabalans!H10</f>
        <v>5.4577377135651233</v>
      </c>
      <c r="P2" s="6" t="s">
        <v>11</v>
      </c>
      <c r="Q2" s="259"/>
      <c r="R2" s="259"/>
      <c r="S2" s="259"/>
      <c r="T2" s="403" t="s">
        <v>462</v>
      </c>
      <c r="U2" s="403"/>
      <c r="V2" s="403"/>
      <c r="W2" s="403"/>
    </row>
    <row r="3" spans="1:23" ht="20.100000000000001" customHeight="1" x14ac:dyDescent="0.2">
      <c r="A3" s="259"/>
      <c r="B3" s="494"/>
      <c r="C3" s="494"/>
      <c r="D3" s="494"/>
      <c r="E3" s="504"/>
      <c r="F3" s="505"/>
      <c r="G3" s="507"/>
      <c r="H3" s="259"/>
      <c r="I3" s="2" t="s">
        <v>12</v>
      </c>
      <c r="K3" s="3"/>
      <c r="O3" s="3">
        <f>IF(G2=T5,U3/1000,SUM(Landbouw!J13:J43)/1000)</f>
        <v>0.30419266693521824</v>
      </c>
      <c r="P3" s="6" t="s">
        <v>13</v>
      </c>
      <c r="Q3" s="259"/>
      <c r="R3" s="259"/>
      <c r="S3" s="259"/>
      <c r="T3" s="403" t="s">
        <v>463</v>
      </c>
      <c r="U3" s="404">
        <v>304.19266693521826</v>
      </c>
      <c r="V3" s="403" t="s">
        <v>464</v>
      </c>
      <c r="W3" s="403"/>
    </row>
    <row r="4" spans="1:23" ht="12.75" customHeight="1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403"/>
      <c r="U4" s="403"/>
      <c r="V4" s="403"/>
      <c r="W4" s="403"/>
    </row>
    <row r="5" spans="1:23" ht="13.5" customHeight="1" x14ac:dyDescent="0.2">
      <c r="A5" s="259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59"/>
      <c r="S5" s="259"/>
      <c r="T5" s="403" t="s">
        <v>377</v>
      </c>
      <c r="U5" s="403"/>
      <c r="V5" s="403"/>
      <c r="W5" s="403"/>
    </row>
    <row r="6" spans="1:23" ht="14.25" customHeight="1" x14ac:dyDescent="0.2">
      <c r="A6" s="259"/>
      <c r="B6" s="7"/>
      <c r="C6" s="48"/>
      <c r="D6" s="56"/>
      <c r="E6" s="56"/>
      <c r="F6" s="57"/>
      <c r="G6" s="56"/>
      <c r="H6" s="56"/>
      <c r="I6" s="56"/>
      <c r="J6" s="56"/>
      <c r="K6" s="57"/>
      <c r="L6" s="56"/>
      <c r="M6" s="56"/>
      <c r="N6" s="56"/>
      <c r="O6" s="56"/>
      <c r="P6" s="58"/>
      <c r="Q6" s="7"/>
      <c r="R6" s="259"/>
      <c r="S6" s="259"/>
      <c r="T6" s="403" t="s">
        <v>378</v>
      </c>
      <c r="U6" s="403"/>
      <c r="V6" s="403"/>
      <c r="W6" s="403"/>
    </row>
    <row r="7" spans="1:23" ht="14.25" customHeight="1" x14ac:dyDescent="0.2">
      <c r="A7" s="259"/>
      <c r="B7" s="7"/>
      <c r="C7" s="48"/>
      <c r="D7" s="497" t="s">
        <v>227</v>
      </c>
      <c r="E7" s="497"/>
      <c r="F7" s="57"/>
      <c r="G7" s="56"/>
      <c r="H7" s="56"/>
      <c r="I7" s="56"/>
      <c r="J7" s="56"/>
      <c r="K7" s="56"/>
      <c r="L7" s="495" t="s">
        <v>14</v>
      </c>
      <c r="M7" s="495"/>
      <c r="N7" s="495"/>
      <c r="O7" s="56"/>
      <c r="P7" s="59" t="s">
        <v>22</v>
      </c>
      <c r="Q7" s="7"/>
      <c r="R7" s="259"/>
      <c r="S7" s="259"/>
    </row>
    <row r="8" spans="1:23" ht="14.25" customHeight="1" x14ac:dyDescent="0.2">
      <c r="A8" s="259"/>
      <c r="B8" s="7"/>
      <c r="C8" s="48"/>
      <c r="D8" s="497" t="s">
        <v>228</v>
      </c>
      <c r="E8" s="497"/>
      <c r="F8" s="57"/>
      <c r="G8" s="56"/>
      <c r="H8" s="56"/>
      <c r="I8" s="56"/>
      <c r="J8" s="56"/>
      <c r="K8" s="56"/>
      <c r="L8" s="495"/>
      <c r="M8" s="495"/>
      <c r="N8" s="495"/>
      <c r="O8" s="56"/>
      <c r="P8" s="59"/>
      <c r="Q8" s="7"/>
      <c r="R8" s="259"/>
      <c r="S8" s="259"/>
    </row>
    <row r="9" spans="1:23" ht="14.25" customHeight="1" x14ac:dyDescent="0.2">
      <c r="A9" s="259"/>
      <c r="B9" s="7"/>
      <c r="C9" s="48"/>
      <c r="D9" s="56"/>
      <c r="E9" s="57"/>
      <c r="F9" s="57"/>
      <c r="G9" s="56"/>
      <c r="H9" s="56"/>
      <c r="I9" s="56"/>
      <c r="J9" s="57"/>
      <c r="K9" s="57"/>
      <c r="L9" s="44" t="s">
        <v>18</v>
      </c>
      <c r="M9" s="44" t="s">
        <v>19</v>
      </c>
      <c r="N9" s="44" t="s">
        <v>20</v>
      </c>
      <c r="O9" s="56"/>
      <c r="P9" s="59"/>
      <c r="Q9" s="7"/>
      <c r="R9" s="259"/>
      <c r="S9" s="259"/>
      <c r="T9" s="400"/>
      <c r="U9" s="400"/>
      <c r="V9" s="400"/>
      <c r="W9" s="400"/>
    </row>
    <row r="10" spans="1:23" ht="14.25" customHeight="1" x14ac:dyDescent="0.2">
      <c r="A10" s="259"/>
      <c r="B10" s="7"/>
      <c r="C10" s="48"/>
      <c r="D10" s="56"/>
      <c r="E10" s="57"/>
      <c r="F10" s="57"/>
      <c r="G10" s="56"/>
      <c r="H10" s="56"/>
      <c r="I10" s="56"/>
      <c r="J10" s="57"/>
      <c r="K10" s="57"/>
      <c r="L10" s="44"/>
      <c r="M10" s="44"/>
      <c r="N10" s="44"/>
      <c r="O10" s="56"/>
      <c r="P10" s="59"/>
      <c r="Q10" s="7"/>
      <c r="R10" s="259"/>
      <c r="S10" s="259"/>
    </row>
    <row r="11" spans="1:23" ht="14.25" customHeight="1" x14ac:dyDescent="0.2">
      <c r="A11" s="259"/>
      <c r="B11" s="7"/>
      <c r="C11" s="48"/>
      <c r="D11" s="65" t="s">
        <v>15</v>
      </c>
      <c r="E11" s="65" t="s">
        <v>21</v>
      </c>
      <c r="F11" s="66" t="s">
        <v>16</v>
      </c>
      <c r="G11" s="56"/>
      <c r="H11" s="56"/>
      <c r="I11" s="56"/>
      <c r="J11" s="296" t="s">
        <v>406</v>
      </c>
      <c r="K11" s="57"/>
      <c r="L11" s="57"/>
      <c r="M11" s="57"/>
      <c r="N11" s="57"/>
      <c r="O11" s="56"/>
      <c r="P11" s="59"/>
      <c r="Q11" s="7"/>
      <c r="R11" s="259"/>
      <c r="S11" s="259"/>
    </row>
    <row r="12" spans="1:23" ht="14.25" customHeight="1" x14ac:dyDescent="0.2">
      <c r="A12" s="259"/>
      <c r="B12" s="7"/>
      <c r="C12" s="48"/>
      <c r="D12" s="65"/>
      <c r="E12" s="65"/>
      <c r="F12" s="66"/>
      <c r="G12" s="56"/>
      <c r="H12" s="56"/>
      <c r="I12" s="56"/>
      <c r="J12" s="296" t="s">
        <v>423</v>
      </c>
      <c r="K12" s="57"/>
      <c r="L12" s="57"/>
      <c r="M12" s="57"/>
      <c r="N12" s="57"/>
      <c r="O12" s="56"/>
      <c r="P12" s="59"/>
      <c r="Q12" s="7"/>
      <c r="R12" s="259"/>
      <c r="S12" s="259"/>
    </row>
    <row r="13" spans="1:23" s="8" customFormat="1" ht="15" customHeight="1" x14ac:dyDescent="0.2">
      <c r="A13" s="259"/>
      <c r="B13" s="7"/>
      <c r="C13" s="48"/>
      <c r="D13" s="221" t="s">
        <v>23</v>
      </c>
      <c r="E13" s="45">
        <v>2.5377030162412988E-2</v>
      </c>
      <c r="F13" s="50" t="str">
        <f>IF(D13=0," ",VLOOKUP(D13,'DB E'!$A$5:$H$29,2,0))</f>
        <v>liter</v>
      </c>
      <c r="G13" s="56"/>
      <c r="H13" s="498" t="s">
        <v>205</v>
      </c>
      <c r="I13" s="56"/>
      <c r="J13" s="53">
        <f>IF(G$2=T$5,0,SUMPRODUCT(L13:N13,L$47:N$47)*E13)</f>
        <v>0</v>
      </c>
      <c r="K13" s="62"/>
      <c r="L13" s="49">
        <f>IF($D13=0," ",VLOOKUP($D13,'DB E'!$A$5:$H$29,5,0))</f>
        <v>3368.872231111111</v>
      </c>
      <c r="M13" s="42">
        <f>IF($D13=0," ",VLOOKUP($D13,'DB E'!$A$5:$H$29,6,0))</f>
        <v>0</v>
      </c>
      <c r="N13" s="42">
        <f>IF($D13=0," ",VLOOKUP($D13,'DB E'!$A$5:$H$29,7,0))</f>
        <v>0</v>
      </c>
      <c r="O13" s="56"/>
      <c r="P13" s="74"/>
      <c r="Q13" s="7"/>
      <c r="R13" s="259"/>
      <c r="S13" s="259"/>
    </row>
    <row r="14" spans="1:23" s="8" customFormat="1" ht="12.75" customHeight="1" x14ac:dyDescent="0.2">
      <c r="A14" s="259"/>
      <c r="B14" s="7"/>
      <c r="C14" s="48"/>
      <c r="D14" s="222"/>
      <c r="E14" s="46"/>
      <c r="F14" s="51" t="str">
        <f>IF(D14=0," ",VLOOKUP(D14,'DB E'!$A$5:$H$29,2,0))</f>
        <v xml:space="preserve"> </v>
      </c>
      <c r="G14" s="56"/>
      <c r="H14" s="499"/>
      <c r="I14" s="56"/>
      <c r="J14" s="54">
        <f>IF(G$2=T$5,0,SUMPRODUCT(L14:N14,L$47:N$47)*E14)</f>
        <v>0</v>
      </c>
      <c r="K14" s="62"/>
      <c r="L14" s="49" t="str">
        <f>IF($D14=0," ",VLOOKUP($D14,'DB E'!$A$5:$H$29,5,0))</f>
        <v xml:space="preserve"> </v>
      </c>
      <c r="M14" s="42" t="str">
        <f>IF($D14=0," ",VLOOKUP($D14,'DB E'!$A$5:$H$29,6,0))</f>
        <v xml:space="preserve"> </v>
      </c>
      <c r="N14" s="42" t="str">
        <f>IF($D14=0," ",VLOOKUP($D14,'DB E'!$A$5:$H$29,7,0))</f>
        <v xml:space="preserve"> </v>
      </c>
      <c r="O14" s="56"/>
      <c r="P14" s="74"/>
      <c r="Q14" s="7"/>
      <c r="R14" s="259"/>
      <c r="S14" s="259"/>
    </row>
    <row r="15" spans="1:23" s="8" customFormat="1" ht="12.75" customHeight="1" x14ac:dyDescent="0.2">
      <c r="A15" s="259"/>
      <c r="B15" s="7"/>
      <c r="C15" s="48"/>
      <c r="D15" s="222"/>
      <c r="E15" s="46"/>
      <c r="F15" s="51" t="str">
        <f>IF(D15=0," ",VLOOKUP(D15,'DB E'!$A$5:$H$29,2,0))</f>
        <v xml:space="preserve"> </v>
      </c>
      <c r="G15" s="56"/>
      <c r="H15" s="499"/>
      <c r="I15" s="56"/>
      <c r="J15" s="54">
        <f>IF(G$2=T$5,0,SUMPRODUCT(L15:N15,L$47:N$47)*E15)</f>
        <v>0</v>
      </c>
      <c r="K15" s="62"/>
      <c r="L15" s="49" t="str">
        <f>IF($D15=0," ",VLOOKUP($D15,'DB E'!$A$5:$H$29,5,0))</f>
        <v xml:space="preserve"> </v>
      </c>
      <c r="M15" s="42" t="str">
        <f>IF($D15=0," ",VLOOKUP($D15,'DB E'!$A$5:$H$29,6,0))</f>
        <v xml:space="preserve"> </v>
      </c>
      <c r="N15" s="42" t="str">
        <f>IF($D15=0," ",VLOOKUP($D15,'DB E'!$A$5:$H$29,7,0))</f>
        <v xml:space="preserve"> </v>
      </c>
      <c r="O15" s="56"/>
      <c r="P15" s="74"/>
      <c r="Q15" s="7"/>
      <c r="R15" s="259"/>
      <c r="S15" s="259"/>
    </row>
    <row r="16" spans="1:23" ht="12.75" customHeight="1" x14ac:dyDescent="0.2">
      <c r="A16" s="259"/>
      <c r="B16" s="7"/>
      <c r="C16" s="48"/>
      <c r="D16" s="223"/>
      <c r="E16" s="47"/>
      <c r="F16" s="52" t="str">
        <f>IF(D16=0," ",VLOOKUP(D16,'DB E'!$A$5:$H$29,2,0))</f>
        <v xml:space="preserve"> </v>
      </c>
      <c r="G16" s="56"/>
      <c r="H16" s="499"/>
      <c r="I16" s="56"/>
      <c r="J16" s="55">
        <f>IF(G$2=T$5,0,SUMPRODUCT(L16:N16,L$47:N$47)*E16)</f>
        <v>0</v>
      </c>
      <c r="K16" s="62"/>
      <c r="L16" s="49" t="str">
        <f>IF($D16=0," ",VLOOKUP($D16,'DB E'!$A$5:$H$29,5,0))</f>
        <v xml:space="preserve"> </v>
      </c>
      <c r="M16" s="42" t="str">
        <f>IF($D16=0," ",VLOOKUP($D16,'DB E'!$A$5:$H$29,6,0))</f>
        <v xml:space="preserve"> </v>
      </c>
      <c r="N16" s="42" t="str">
        <f>IF($D16=0," ",VLOOKUP($D16,'DB E'!$A$5:$H$29,7,0))</f>
        <v xml:space="preserve"> </v>
      </c>
      <c r="O16" s="56"/>
      <c r="P16" s="74"/>
      <c r="Q16" s="7"/>
      <c r="R16" s="259"/>
      <c r="S16" s="259"/>
    </row>
    <row r="17" spans="1:19" ht="12.75" customHeight="1" x14ac:dyDescent="0.2">
      <c r="A17" s="259"/>
      <c r="B17" s="7"/>
      <c r="C17" s="48"/>
      <c r="D17" s="72"/>
      <c r="E17" s="68"/>
      <c r="F17" s="68"/>
      <c r="G17" s="56"/>
      <c r="H17" s="499"/>
      <c r="I17" s="56"/>
      <c r="J17" s="61"/>
      <c r="K17" s="62"/>
      <c r="L17" s="63"/>
      <c r="M17" s="64"/>
      <c r="N17" s="64"/>
      <c r="O17" s="56"/>
      <c r="P17" s="60"/>
      <c r="Q17" s="7"/>
      <c r="R17" s="259"/>
      <c r="S17" s="259"/>
    </row>
    <row r="18" spans="1:19" ht="12.75" customHeight="1" x14ac:dyDescent="0.2">
      <c r="A18" s="259"/>
      <c r="B18" s="7"/>
      <c r="C18" s="48"/>
      <c r="D18" s="72"/>
      <c r="E18" s="68"/>
      <c r="F18" s="68"/>
      <c r="G18" s="56"/>
      <c r="H18" s="499"/>
      <c r="I18" s="56"/>
      <c r="J18" s="61"/>
      <c r="K18" s="62"/>
      <c r="L18" s="63"/>
      <c r="M18" s="64"/>
      <c r="N18" s="64"/>
      <c r="O18" s="56"/>
      <c r="P18" s="60"/>
      <c r="Q18" s="7"/>
      <c r="R18" s="259"/>
      <c r="S18" s="259"/>
    </row>
    <row r="19" spans="1:19" ht="12.75" customHeight="1" x14ac:dyDescent="0.2">
      <c r="A19" s="259"/>
      <c r="B19" s="7"/>
      <c r="C19" s="48"/>
      <c r="D19" s="67" t="s">
        <v>24</v>
      </c>
      <c r="E19" s="65"/>
      <c r="F19" s="66"/>
      <c r="G19" s="56"/>
      <c r="H19" s="499"/>
      <c r="I19" s="56"/>
      <c r="J19" s="61"/>
      <c r="K19" s="62"/>
      <c r="L19" s="63"/>
      <c r="M19" s="64"/>
      <c r="N19" s="64"/>
      <c r="O19" s="56"/>
      <c r="P19" s="60"/>
      <c r="Q19" s="7"/>
      <c r="R19" s="259"/>
      <c r="S19" s="259"/>
    </row>
    <row r="20" spans="1:19" ht="12.75" customHeight="1" x14ac:dyDescent="0.2">
      <c r="A20" s="259"/>
      <c r="B20" s="7"/>
      <c r="C20" s="48"/>
      <c r="D20" s="221" t="s">
        <v>26</v>
      </c>
      <c r="E20" s="224">
        <f>+IF(Nutriëntenbalans!G$3=Nutriëntenbalans!Y$22,Nutriëntenbalans!P47,0)/1000</f>
        <v>0</v>
      </c>
      <c r="F20" s="50" t="str">
        <f>IF(D20=0," ",VLOOKUP(D20,'DB M2'!$A$5:$F$22,2,0))</f>
        <v>kg N</v>
      </c>
      <c r="G20" s="56"/>
      <c r="H20" s="499"/>
      <c r="I20" s="56"/>
      <c r="J20" s="53">
        <f>IF(G$2=T$5,0,SUMPRODUCT(L20:N20,L$47:N$47)*E20)</f>
        <v>0</v>
      </c>
      <c r="K20" s="62"/>
      <c r="L20" s="43">
        <f>IF($D20=0," ",VLOOKUP(D20,'DB M2'!$A$5:$F$22,3,0))</f>
        <v>2862.8888888888887</v>
      </c>
      <c r="M20" s="42">
        <f>IF($D20=0," ",VLOOKUP(D20,'DB M2'!$A$5:$F$22,4,0))</f>
        <v>7.340740740740741</v>
      </c>
      <c r="N20" s="42">
        <f>IF($D20=0," ",VLOOKUP(D20,'DB M2'!$A$5:$F$22,5,0))</f>
        <v>2.0938354461844395</v>
      </c>
      <c r="O20" s="56"/>
      <c r="P20" s="73"/>
      <c r="Q20" s="7"/>
      <c r="R20" s="259"/>
      <c r="S20" s="259"/>
    </row>
    <row r="21" spans="1:19" ht="12.75" customHeight="1" x14ac:dyDescent="0.2">
      <c r="A21" s="259"/>
      <c r="B21" s="7"/>
      <c r="C21" s="48"/>
      <c r="D21" s="222" t="s">
        <v>422</v>
      </c>
      <c r="E21" s="225">
        <f>+IF(Nutriëntenbalans!G$3=Nutriëntenbalans!Y$22,Nutriëntenbalans!P48,0)/1000</f>
        <v>0</v>
      </c>
      <c r="F21" s="51" t="s">
        <v>74</v>
      </c>
      <c r="G21" s="56"/>
      <c r="H21" s="499"/>
      <c r="I21" s="56"/>
      <c r="J21" s="54">
        <f>IF(G$2=T$5,0,SUMPRODUCT(L21:N21,L$47:N$47)*E21)</f>
        <v>0</v>
      </c>
      <c r="K21" s="62"/>
      <c r="L21" s="43">
        <f>IF($D21=0," ",VLOOKUP(D21,'DB M2'!$A$5:$F$22,3,0))</f>
        <v>1112.1129000000001</v>
      </c>
      <c r="M21" s="42">
        <f>IF($D21=0," ",VLOOKUP(D21,'DB M2'!$A$5:$F$22,4,0))</f>
        <v>1.9198999999999999</v>
      </c>
      <c r="N21" s="42">
        <f>IF($D21=0," ",VLOOKUP(D21,'DB M2'!$A$5:$F$22,5,0))</f>
        <v>5.3600000000000002E-2</v>
      </c>
      <c r="O21" s="56"/>
      <c r="P21" s="73"/>
      <c r="Q21" s="7"/>
      <c r="R21" s="259"/>
      <c r="S21" s="259"/>
    </row>
    <row r="22" spans="1:19" ht="12.75" customHeight="1" x14ac:dyDescent="0.2">
      <c r="A22" s="259"/>
      <c r="B22" s="7"/>
      <c r="C22" s="48"/>
      <c r="D22" s="222" t="s">
        <v>421</v>
      </c>
      <c r="E22" s="225">
        <f>+IF(Nutriëntenbalans!G$3=Nutriëntenbalans!Y$22,Nutriëntenbalans!P49,0)/1000</f>
        <v>0</v>
      </c>
      <c r="F22" s="51" t="s">
        <v>76</v>
      </c>
      <c r="G22" s="56"/>
      <c r="H22" s="499"/>
      <c r="I22" s="56"/>
      <c r="J22" s="54">
        <f>IF(G$2=T$5,0,SUMPRODUCT(L22:N22,L$47:N$47)*E22)</f>
        <v>0</v>
      </c>
      <c r="K22" s="62"/>
      <c r="L22" s="43">
        <f>IF($D22=0," ",VLOOKUP(D22,'DB M2'!$A$5:$F$22,3,0))</f>
        <v>588.70870000000002</v>
      </c>
      <c r="M22" s="42">
        <f>IF($D22=0," ",VLOOKUP(D22,'DB M2'!$A$5:$F$22,4,0))</f>
        <v>1.7172000000000001</v>
      </c>
      <c r="N22" s="42">
        <f>IF($D22=0," ",VLOOKUP(D22,'DB M2'!$A$5:$F$22,5,0))</f>
        <v>1.35E-2</v>
      </c>
      <c r="O22" s="56"/>
      <c r="P22" s="74"/>
      <c r="Q22" s="7"/>
      <c r="R22" s="259"/>
      <c r="S22" s="259"/>
    </row>
    <row r="23" spans="1:19" ht="12.75" customHeight="1" x14ac:dyDescent="0.2">
      <c r="A23" s="259"/>
      <c r="B23" s="7"/>
      <c r="C23" s="48"/>
      <c r="D23" s="223" t="s">
        <v>77</v>
      </c>
      <c r="E23" s="295">
        <v>1</v>
      </c>
      <c r="F23" s="52" t="s">
        <v>78</v>
      </c>
      <c r="G23" s="56"/>
      <c r="H23" s="499"/>
      <c r="I23" s="56"/>
      <c r="J23" s="55">
        <f>IF(G$2=T$5,0,SUMPRODUCT(L23:N23,L$47:N$47)*E23)</f>
        <v>0</v>
      </c>
      <c r="K23" s="62"/>
      <c r="L23" s="43">
        <f>IF($D23=0," ",VLOOKUP(D23,'DB M2'!$A$5:$F$22,3,0))</f>
        <v>82.934799999999996</v>
      </c>
      <c r="M23" s="42">
        <f>IF($D23=0," ",VLOOKUP(D23,'DB M2'!$A$5:$F$22,4,0))</f>
        <v>0.23300000000000001</v>
      </c>
      <c r="N23" s="42">
        <f>IF($D23=0," ",VLOOKUP(D23,'DB M2'!$A$5:$F$22,5,0))</f>
        <v>3.0000000000000001E-3</v>
      </c>
      <c r="O23" s="56"/>
      <c r="P23" s="74"/>
      <c r="Q23" s="7"/>
      <c r="R23" s="259"/>
      <c r="S23" s="259"/>
    </row>
    <row r="24" spans="1:19" ht="12.75" customHeight="1" x14ac:dyDescent="0.2">
      <c r="A24" s="259"/>
      <c r="B24" s="7"/>
      <c r="C24" s="48"/>
      <c r="D24" s="72"/>
      <c r="E24" s="68"/>
      <c r="F24" s="68"/>
      <c r="G24" s="56"/>
      <c r="H24" s="499"/>
      <c r="I24" s="56"/>
      <c r="J24" s="61"/>
      <c r="K24" s="62"/>
      <c r="L24" s="63"/>
      <c r="M24" s="64"/>
      <c r="N24" s="64"/>
      <c r="O24" s="56"/>
      <c r="P24" s="60"/>
      <c r="Q24" s="7"/>
      <c r="R24" s="259"/>
      <c r="S24" s="259"/>
    </row>
    <row r="25" spans="1:19" ht="14.25" customHeight="1" x14ac:dyDescent="0.2">
      <c r="A25" s="259"/>
      <c r="B25" s="7"/>
      <c r="C25" s="48"/>
      <c r="D25" s="72"/>
      <c r="E25" s="68"/>
      <c r="F25" s="68"/>
      <c r="G25" s="56"/>
      <c r="H25" s="499"/>
      <c r="I25" s="56"/>
      <c r="J25" s="61"/>
      <c r="K25" s="62"/>
      <c r="L25" s="63"/>
      <c r="M25" s="64"/>
      <c r="N25" s="64"/>
      <c r="O25" s="56"/>
      <c r="P25" s="60"/>
      <c r="Q25" s="7"/>
      <c r="R25" s="259"/>
      <c r="S25" s="259"/>
    </row>
    <row r="26" spans="1:19" ht="13.5" customHeight="1" x14ac:dyDescent="0.2">
      <c r="A26" s="259"/>
      <c r="B26" s="7"/>
      <c r="C26" s="48"/>
      <c r="D26" s="67" t="s">
        <v>25</v>
      </c>
      <c r="E26" s="65"/>
      <c r="F26" s="66"/>
      <c r="G26" s="56"/>
      <c r="H26" s="499"/>
      <c r="I26" s="56"/>
      <c r="J26" s="61"/>
      <c r="K26" s="62"/>
      <c r="L26" s="63"/>
      <c r="M26" s="64"/>
      <c r="N26" s="64"/>
      <c r="O26" s="56"/>
      <c r="P26" s="60"/>
      <c r="Q26" s="7"/>
      <c r="R26" s="259"/>
      <c r="S26" s="259"/>
    </row>
    <row r="27" spans="1:19" ht="13.5" customHeight="1" x14ac:dyDescent="0.2">
      <c r="A27" s="259"/>
      <c r="B27" s="7"/>
      <c r="C27" s="48"/>
      <c r="D27" s="221" t="s">
        <v>26</v>
      </c>
      <c r="E27" s="224">
        <f>+IF(Nutriëntenbalans!G$3=Nutriëntenbalans!Y$21,Nutriëntenbalans!P47,0)/1000</f>
        <v>3.3683795752970966E-2</v>
      </c>
      <c r="F27" s="50" t="str">
        <f>IF(D27=0," ",VLOOKUP(D27,'DB M2'!$A$5:$F$22,2,0))</f>
        <v>kg N</v>
      </c>
      <c r="G27" s="56"/>
      <c r="H27" s="499"/>
      <c r="I27" s="56"/>
      <c r="J27" s="53">
        <f>IF(G$2=T$5,0,SUMPRODUCT(L27:N27,L$47:N$47)*E27)</f>
        <v>0</v>
      </c>
      <c r="K27" s="62"/>
      <c r="L27" s="43">
        <f>IF($D27=0," ",VLOOKUP(D27,'DB M1'!$A$5:$F$22,3,0))</f>
        <v>2862.8888888888887</v>
      </c>
      <c r="M27" s="42">
        <f>IF($D27=0," ",VLOOKUP(D27,'DB M1'!$A$5:$F$22,4,0))</f>
        <v>7.340740740740741</v>
      </c>
      <c r="N27" s="42">
        <f>IF($D27=0," ",VLOOKUP(D27,'DB M1'!$A$5:$F$22,5,0))</f>
        <v>2.0938354461844395</v>
      </c>
      <c r="O27" s="56"/>
      <c r="P27" s="73" t="s">
        <v>27</v>
      </c>
      <c r="Q27" s="7"/>
      <c r="R27" s="259"/>
      <c r="S27" s="259"/>
    </row>
    <row r="28" spans="1:19" ht="13.5" customHeight="1" x14ac:dyDescent="0.2">
      <c r="A28" s="259"/>
      <c r="B28" s="7"/>
      <c r="C28" s="48"/>
      <c r="D28" s="222" t="s">
        <v>422</v>
      </c>
      <c r="E28" s="225">
        <f>+IF(Nutriëntenbalans!G$3=Nutriëntenbalans!Y$21,Nutriëntenbalans!P48,0)/1000</f>
        <v>6.4924990748643609E-3</v>
      </c>
      <c r="F28" s="51" t="s">
        <v>74</v>
      </c>
      <c r="G28" s="56"/>
      <c r="H28" s="499"/>
      <c r="I28" s="56"/>
      <c r="J28" s="54">
        <f>IF(G$2=T$5,0,SUMPRODUCT(L28:N28,L$47:N$47)*E28)</f>
        <v>0</v>
      </c>
      <c r="K28" s="62"/>
      <c r="L28" s="43">
        <f>IF($D28=0," ",VLOOKUP(D28,'DB M1'!$A$5:$F$22,3,0))</f>
        <v>1112.1129000000001</v>
      </c>
      <c r="M28" s="42">
        <f>IF($D28=0," ",VLOOKUP(D28,'DB M1'!$A$5:$F$22,4,0))</f>
        <v>1.9198999999999999</v>
      </c>
      <c r="N28" s="42">
        <f>IF($D28=0," ",VLOOKUP(D28,'DB M1'!$A$5:$F$22,5,0))</f>
        <v>5.3600000000000002E-2</v>
      </c>
      <c r="O28" s="56"/>
      <c r="P28" s="73"/>
      <c r="Q28" s="7"/>
      <c r="R28" s="259"/>
      <c r="S28" s="259"/>
    </row>
    <row r="29" spans="1:19" ht="14.25" customHeight="1" x14ac:dyDescent="0.2">
      <c r="A29" s="259"/>
      <c r="B29" s="7"/>
      <c r="C29" s="48"/>
      <c r="D29" s="222" t="s">
        <v>421</v>
      </c>
      <c r="E29" s="225">
        <f>+IF(Nutriëntenbalans!G$3=Nutriëntenbalans!Y$21,Nutriëntenbalans!P49,0)/1000</f>
        <v>2.4536040972814942E-2</v>
      </c>
      <c r="F29" s="51" t="s">
        <v>76</v>
      </c>
      <c r="G29" s="56"/>
      <c r="H29" s="499"/>
      <c r="I29" s="56"/>
      <c r="J29" s="54">
        <f>IF(G$2=T$5,0,SUMPRODUCT(L29:N29,L$47:N$47)*E28)</f>
        <v>0</v>
      </c>
      <c r="K29" s="62"/>
      <c r="L29" s="43">
        <f>IF($D29=0," ",VLOOKUP(D29,'DB M1'!$A$5:$F$22,3,0))</f>
        <v>588.70870000000002</v>
      </c>
      <c r="M29" s="42">
        <f>IF($D29=0," ",VLOOKUP(D29,'DB M1'!$A$5:$F$22,4,0))</f>
        <v>1.7172000000000001</v>
      </c>
      <c r="N29" s="42">
        <f>IF($D29=0," ",VLOOKUP(D29,'DB M1'!$A$5:$F$22,5,0))</f>
        <v>1.35E-2</v>
      </c>
      <c r="O29" s="56"/>
      <c r="P29" s="74"/>
      <c r="Q29" s="7"/>
      <c r="R29" s="259"/>
      <c r="S29" s="259"/>
    </row>
    <row r="30" spans="1:19" ht="12.75" customHeight="1" x14ac:dyDescent="0.2">
      <c r="A30" s="259"/>
      <c r="B30" s="7"/>
      <c r="C30" s="48"/>
      <c r="D30" s="223" t="s">
        <v>77</v>
      </c>
      <c r="E30" s="295">
        <v>0</v>
      </c>
      <c r="F30" s="52" t="s">
        <v>78</v>
      </c>
      <c r="G30" s="56"/>
      <c r="H30" s="499"/>
      <c r="I30" s="56"/>
      <c r="J30" s="55">
        <f>IF(G$2=T$5,0,SUMPRODUCT(L30:N30,L$47:N$47)*E29)</f>
        <v>0</v>
      </c>
      <c r="K30" s="62"/>
      <c r="L30" s="43">
        <f>IF($D30=0," ",VLOOKUP(D30,'DB M1'!$A$5:$F$22,3,0))</f>
        <v>82.934799999999996</v>
      </c>
      <c r="M30" s="42">
        <f>IF($D30=0," ",VLOOKUP(D30,'DB M1'!$A$5:$F$22,4,0))</f>
        <v>0.23300000000000001</v>
      </c>
      <c r="N30" s="42">
        <f>IF($D30=0," ",VLOOKUP(D30,'DB M1'!$A$5:$F$22,5,0))</f>
        <v>3.0000000000000001E-3</v>
      </c>
      <c r="O30" s="56"/>
      <c r="P30" s="74"/>
      <c r="Q30" s="7"/>
      <c r="R30" s="259"/>
      <c r="S30" s="259"/>
    </row>
    <row r="31" spans="1:19" ht="12.75" customHeight="1" x14ac:dyDescent="0.2">
      <c r="A31" s="259"/>
      <c r="B31" s="7"/>
      <c r="C31" s="48"/>
      <c r="D31" s="72"/>
      <c r="E31" s="68"/>
      <c r="F31" s="68"/>
      <c r="G31" s="56"/>
      <c r="H31" s="499"/>
      <c r="I31" s="56"/>
      <c r="J31" s="61"/>
      <c r="K31" s="62"/>
      <c r="L31" s="63"/>
      <c r="M31" s="64"/>
      <c r="N31" s="64"/>
      <c r="O31" s="56"/>
      <c r="P31" s="60"/>
      <c r="Q31" s="7"/>
      <c r="R31" s="259"/>
      <c r="S31" s="259"/>
    </row>
    <row r="32" spans="1:19" ht="14.25" customHeight="1" x14ac:dyDescent="0.2">
      <c r="A32" s="259"/>
      <c r="B32" s="7"/>
      <c r="C32" s="48"/>
      <c r="D32" s="72"/>
      <c r="E32" s="68"/>
      <c r="F32" s="68"/>
      <c r="G32" s="56"/>
      <c r="H32" s="499"/>
      <c r="I32" s="56"/>
      <c r="J32" s="61"/>
      <c r="K32" s="62"/>
      <c r="L32" s="63"/>
      <c r="M32" s="64"/>
      <c r="N32" s="64"/>
      <c r="O32" s="56"/>
      <c r="P32" s="60"/>
      <c r="Q32" s="7"/>
      <c r="R32" s="259"/>
      <c r="S32" s="259"/>
    </row>
    <row r="33" spans="1:19" ht="13.5" customHeight="1" x14ac:dyDescent="0.2">
      <c r="A33" s="259"/>
      <c r="B33" s="7"/>
      <c r="C33" s="48"/>
      <c r="D33" s="67" t="s">
        <v>29</v>
      </c>
      <c r="E33" s="65"/>
      <c r="F33" s="66"/>
      <c r="G33" s="56"/>
      <c r="H33" s="499"/>
      <c r="I33" s="56"/>
      <c r="J33" s="61"/>
      <c r="K33" s="62"/>
      <c r="L33" s="63"/>
      <c r="M33" s="64"/>
      <c r="N33" s="64"/>
      <c r="O33" s="56"/>
      <c r="P33" s="60"/>
      <c r="Q33" s="7"/>
      <c r="R33" s="259"/>
      <c r="S33" s="259"/>
    </row>
    <row r="34" spans="1:19" ht="13.5" customHeight="1" x14ac:dyDescent="0.2">
      <c r="A34" s="259"/>
      <c r="B34" s="7"/>
      <c r="C34" s="48"/>
      <c r="D34" s="221" t="s">
        <v>30</v>
      </c>
      <c r="E34" s="41">
        <v>1.1000000000000001E-3</v>
      </c>
      <c r="F34" s="50" t="str">
        <f>IF(D34=0," ",VLOOKUP(D34,'DB H'!$A$5:$F$41,2,0))</f>
        <v xml:space="preserve">kg  </v>
      </c>
      <c r="G34" s="56"/>
      <c r="H34" s="499"/>
      <c r="I34" s="56"/>
      <c r="J34" s="53">
        <f>IF(G$2=T$5,0,SUMPRODUCT(L34:N34,L$47:N$47)*E34)</f>
        <v>0</v>
      </c>
      <c r="K34" s="62"/>
      <c r="L34" s="43">
        <f>IF($D34=0," ",VLOOKUP(D34,'DB H'!$A$5:$F$41,3,0))</f>
        <v>12480.146500000001</v>
      </c>
      <c r="M34" s="42">
        <f>IF($D34=0," ",VLOOKUP(D34,'DB H'!$A$5:$F$41,4,0))</f>
        <v>36.128700000000002</v>
      </c>
      <c r="N34" s="42">
        <f>IF($D34=0," ",VLOOKUP(D34,'DB H'!$A$5:$F$41,5,0))</f>
        <v>1.7212000000000001</v>
      </c>
      <c r="O34" s="56"/>
      <c r="P34" s="73"/>
      <c r="Q34" s="7"/>
      <c r="R34" s="259"/>
      <c r="S34" s="259"/>
    </row>
    <row r="35" spans="1:19" ht="13.5" customHeight="1" x14ac:dyDescent="0.2">
      <c r="A35" s="259"/>
      <c r="B35" s="7"/>
      <c r="C35" s="48"/>
      <c r="D35" s="222" t="s">
        <v>30</v>
      </c>
      <c r="E35" s="39">
        <v>1.9E-2</v>
      </c>
      <c r="F35" s="51" t="str">
        <f>IF(D35=0," ",VLOOKUP(D35,'DB H'!$A$5:$F$41,2,0))</f>
        <v xml:space="preserve">kg  </v>
      </c>
      <c r="G35" s="56"/>
      <c r="H35" s="499"/>
      <c r="I35" s="56"/>
      <c r="J35" s="54">
        <f>IF(G$2=T$5,0,SUMPRODUCT(L35:N35,L$47:N$47)*E35)</f>
        <v>0</v>
      </c>
      <c r="K35" s="62"/>
      <c r="L35" s="43">
        <f>IF($D35=0," ",VLOOKUP(D35,'DB H'!$A$5:$F$41,3,0))</f>
        <v>12480.146500000001</v>
      </c>
      <c r="M35" s="42">
        <f>IF($D35=0," ",VLOOKUP(D35,'DB H'!$A$5:$F$41,4,0))</f>
        <v>36.128700000000002</v>
      </c>
      <c r="N35" s="42">
        <f>IF($D35=0," ",VLOOKUP(D35,'DB H'!$A$5:$F$41,5,0))</f>
        <v>1.7212000000000001</v>
      </c>
      <c r="O35" s="56"/>
      <c r="P35" s="74"/>
      <c r="Q35" s="7"/>
      <c r="R35" s="259"/>
      <c r="S35" s="259"/>
    </row>
    <row r="36" spans="1:19" ht="14.25" customHeight="1" x14ac:dyDescent="0.2">
      <c r="A36" s="259"/>
      <c r="B36" s="7"/>
      <c r="C36" s="48"/>
      <c r="D36" s="223" t="s">
        <v>30</v>
      </c>
      <c r="E36" s="40"/>
      <c r="F36" s="52" t="str">
        <f>IF(D36=0," ",VLOOKUP(D36,'DB H'!$A$5:$F$41,2,0))</f>
        <v xml:space="preserve">kg  </v>
      </c>
      <c r="G36" s="56"/>
      <c r="H36" s="499"/>
      <c r="I36" s="56"/>
      <c r="J36" s="55">
        <f>IF(G$2=T$5,0,SUMPRODUCT(L36:N36,L$47:N$47)*E36)</f>
        <v>0</v>
      </c>
      <c r="K36" s="62"/>
      <c r="L36" s="43">
        <f>IF($D36=0," ",VLOOKUP(D36,'DB H'!$A$5:$F$41,3,0))</f>
        <v>12480.146500000001</v>
      </c>
      <c r="M36" s="42">
        <f>IF($D36=0," ",VLOOKUP(D36,'DB H'!$A$5:$F$41,4,0))</f>
        <v>36.128700000000002</v>
      </c>
      <c r="N36" s="42">
        <f>IF($D36=0," ",VLOOKUP(D36,'DB H'!$A$5:$F$41,5,0))</f>
        <v>1.7212000000000001</v>
      </c>
      <c r="O36" s="56"/>
      <c r="P36" s="74"/>
      <c r="Q36" s="7"/>
      <c r="R36" s="259"/>
      <c r="S36" s="259"/>
    </row>
    <row r="37" spans="1:19" ht="12.75" customHeight="1" x14ac:dyDescent="0.2">
      <c r="A37" s="259"/>
      <c r="B37" s="7"/>
      <c r="C37" s="48"/>
      <c r="D37" s="72"/>
      <c r="E37" s="68"/>
      <c r="F37" s="68"/>
      <c r="G37" s="56"/>
      <c r="H37" s="499"/>
      <c r="I37" s="56"/>
      <c r="J37" s="61"/>
      <c r="K37" s="62"/>
      <c r="L37" s="63"/>
      <c r="M37" s="64"/>
      <c r="N37" s="64"/>
      <c r="O37" s="56"/>
      <c r="P37" s="60"/>
      <c r="Q37" s="7"/>
      <c r="R37" s="259"/>
      <c r="S37" s="259"/>
    </row>
    <row r="38" spans="1:19" ht="12.75" customHeight="1" x14ac:dyDescent="0.2">
      <c r="A38" s="259"/>
      <c r="B38" s="7"/>
      <c r="C38" s="48"/>
      <c r="D38" s="72"/>
      <c r="E38" s="68"/>
      <c r="F38" s="68"/>
      <c r="G38" s="56"/>
      <c r="H38" s="499"/>
      <c r="I38" s="56"/>
      <c r="J38" s="61"/>
      <c r="K38" s="62"/>
      <c r="L38" s="63"/>
      <c r="M38" s="64"/>
      <c r="N38" s="64"/>
      <c r="O38" s="56"/>
      <c r="P38" s="60"/>
      <c r="Q38" s="7"/>
      <c r="R38" s="259"/>
      <c r="S38" s="259"/>
    </row>
    <row r="39" spans="1:19" ht="13.5" customHeight="1" x14ac:dyDescent="0.2">
      <c r="A39" s="259"/>
      <c r="B39" s="7"/>
      <c r="C39" s="48"/>
      <c r="D39" s="67" t="s">
        <v>226</v>
      </c>
      <c r="E39" s="56"/>
      <c r="F39" s="66"/>
      <c r="G39" s="56"/>
      <c r="H39" s="499"/>
      <c r="J39" s="61"/>
      <c r="K39" s="62"/>
      <c r="L39" s="63"/>
      <c r="M39" s="64"/>
      <c r="N39" s="64"/>
      <c r="O39" s="56"/>
      <c r="P39" s="60"/>
      <c r="Q39" s="7"/>
      <c r="R39" s="259"/>
      <c r="S39" s="259"/>
    </row>
    <row r="40" spans="1:19" ht="13.5" customHeight="1" x14ac:dyDescent="0.2">
      <c r="A40" s="259"/>
      <c r="B40" s="7"/>
      <c r="C40" s="48"/>
      <c r="D40" s="226" t="s">
        <v>32</v>
      </c>
      <c r="E40" s="56"/>
      <c r="F40" s="56"/>
      <c r="G40" s="56"/>
      <c r="H40" s="499"/>
      <c r="I40" s="56"/>
      <c r="J40" s="53">
        <f>IF(G$2=T$5,0,SUMPRODUCT(L40:N40,L$47:N$47))</f>
        <v>0</v>
      </c>
      <c r="K40" s="62"/>
      <c r="L40" s="42">
        <f>+Nutriëntenbalans!G50*1000</f>
        <v>31.042505747126484</v>
      </c>
      <c r="M40" s="42"/>
      <c r="N40" s="42"/>
      <c r="O40" s="56"/>
      <c r="P40" s="73" t="s">
        <v>33</v>
      </c>
      <c r="Q40" s="7"/>
      <c r="R40" s="259"/>
      <c r="S40" s="259"/>
    </row>
    <row r="41" spans="1:19" ht="13.5" customHeight="1" x14ac:dyDescent="0.2">
      <c r="A41" s="259"/>
      <c r="B41" s="7"/>
      <c r="C41" s="48"/>
      <c r="D41" s="501" t="s">
        <v>225</v>
      </c>
      <c r="E41" s="56"/>
      <c r="F41" s="56"/>
      <c r="G41" s="56"/>
      <c r="H41" s="499"/>
      <c r="I41" s="56"/>
      <c r="J41" s="54">
        <f>IF(G$2=T$5,0,SUMPRODUCT(L41:N41,L$47:N$47))</f>
        <v>0</v>
      </c>
      <c r="K41" s="62"/>
      <c r="L41" s="43"/>
      <c r="M41" s="42"/>
      <c r="N41" s="42">
        <f>+(Nutriëntenbalans!G47*Nutriëntenbalans!I47+Nutriëntenbalans!G48*Nutriëntenbalans!I48)*1000</f>
        <v>0.45435312476134804</v>
      </c>
      <c r="O41" s="56"/>
      <c r="P41" s="73"/>
      <c r="Q41" s="7"/>
      <c r="R41" s="259"/>
      <c r="S41" s="259"/>
    </row>
    <row r="42" spans="1:19" ht="13.5" customHeight="1" x14ac:dyDescent="0.2">
      <c r="A42" s="259"/>
      <c r="B42" s="7"/>
      <c r="C42" s="48"/>
      <c r="D42" s="501"/>
      <c r="E42" s="56"/>
      <c r="F42" s="56"/>
      <c r="G42" s="56"/>
      <c r="H42" s="499"/>
      <c r="I42" s="56"/>
      <c r="J42" s="54">
        <f>IF(G$2=T$5,0,SUMPRODUCT(L42:N42,L$47:N$47))</f>
        <v>0</v>
      </c>
      <c r="K42" s="62"/>
      <c r="L42" s="43"/>
      <c r="M42" s="42"/>
      <c r="N42" s="42"/>
      <c r="O42" s="56"/>
      <c r="P42" s="74"/>
      <c r="Q42" s="7"/>
      <c r="R42" s="259"/>
      <c r="S42" s="259"/>
    </row>
    <row r="43" spans="1:19" ht="13.5" customHeight="1" x14ac:dyDescent="0.2">
      <c r="A43" s="259"/>
      <c r="B43" s="7"/>
      <c r="C43" s="48"/>
      <c r="D43" s="227"/>
      <c r="E43" s="56"/>
      <c r="F43" s="56"/>
      <c r="G43" s="56"/>
      <c r="H43" s="500"/>
      <c r="I43" s="56"/>
      <c r="J43" s="55">
        <f>IF(G$2=T$5,0,SUMPRODUCT(L43:N43,L$47:N$47))</f>
        <v>0</v>
      </c>
      <c r="K43" s="62"/>
      <c r="L43" s="43"/>
      <c r="M43" s="42"/>
      <c r="N43" s="42"/>
      <c r="O43" s="56"/>
      <c r="P43" s="74"/>
      <c r="Q43" s="7"/>
      <c r="R43" s="259"/>
      <c r="S43" s="259"/>
    </row>
    <row r="44" spans="1:19" ht="13.5" customHeight="1" x14ac:dyDescent="0.2">
      <c r="A44" s="259"/>
      <c r="B44" s="7"/>
      <c r="C44" s="48"/>
      <c r="D44" s="68"/>
      <c r="E44" s="68"/>
      <c r="F44" s="68"/>
      <c r="G44" s="56"/>
      <c r="H44" s="56"/>
      <c r="I44" s="56"/>
      <c r="J44" s="62"/>
      <c r="K44" s="62"/>
      <c r="L44" s="69"/>
      <c r="M44" s="69"/>
      <c r="N44" s="69"/>
      <c r="O44" s="56"/>
      <c r="P44" s="60"/>
      <c r="Q44" s="7"/>
      <c r="R44" s="259"/>
      <c r="S44" s="259"/>
    </row>
    <row r="45" spans="1:19" ht="13.5" customHeight="1" x14ac:dyDescent="0.2">
      <c r="A45" s="259"/>
      <c r="B45" s="7"/>
      <c r="C45" s="48"/>
      <c r="D45" s="68"/>
      <c r="E45" s="68"/>
      <c r="F45" s="68"/>
      <c r="G45" s="56"/>
      <c r="H45" s="56"/>
      <c r="I45" s="56"/>
      <c r="J45" s="70"/>
      <c r="K45" s="70"/>
      <c r="L45" s="69"/>
      <c r="M45" s="69"/>
      <c r="N45" s="69"/>
      <c r="O45" s="56"/>
      <c r="P45" s="71"/>
      <c r="Q45" s="7"/>
      <c r="R45" s="259"/>
      <c r="S45" s="259"/>
    </row>
    <row r="46" spans="1:19" ht="13.5" customHeight="1" x14ac:dyDescent="0.2">
      <c r="A46" s="259"/>
      <c r="B46" s="7"/>
      <c r="C46" s="48"/>
      <c r="D46" s="68"/>
      <c r="E46" s="68"/>
      <c r="F46" s="68"/>
      <c r="G46" s="68"/>
      <c r="H46" s="68"/>
      <c r="I46" s="68"/>
      <c r="J46" s="70"/>
      <c r="K46" s="70"/>
      <c r="L46" s="69"/>
      <c r="M46" s="69"/>
      <c r="N46" s="69"/>
      <c r="O46" s="56"/>
      <c r="P46" s="71"/>
      <c r="Q46" s="7"/>
      <c r="R46" s="259"/>
      <c r="S46" s="259"/>
    </row>
    <row r="47" spans="1:19" x14ac:dyDescent="0.2">
      <c r="A47" s="259"/>
      <c r="B47" s="7"/>
      <c r="C47" s="7"/>
      <c r="D47" s="5" t="s">
        <v>411</v>
      </c>
      <c r="E47" s="496"/>
      <c r="F47" s="496"/>
      <c r="G47" s="496"/>
      <c r="H47" s="37"/>
      <c r="I47" s="37"/>
      <c r="J47" s="7"/>
      <c r="K47" s="7"/>
      <c r="L47" s="37">
        <f>VLOOKUP(L9,GWP!$A$4:$B$53,2,0)</f>
        <v>1</v>
      </c>
      <c r="M47" s="37">
        <f>VLOOKUP(M9,GWP!$A$4:$B$53,2,0)</f>
        <v>28</v>
      </c>
      <c r="N47" s="37">
        <f>VLOOKUP(N9,GWP!$A$4:$B$53,2,0)</f>
        <v>298</v>
      </c>
      <c r="O47" s="37"/>
      <c r="P47" s="7"/>
      <c r="Q47" s="7"/>
      <c r="R47" s="259"/>
      <c r="S47" s="259"/>
    </row>
    <row r="48" spans="1:19" x14ac:dyDescent="0.2">
      <c r="A48" s="259"/>
      <c r="B48" s="259"/>
      <c r="C48" s="259"/>
      <c r="D48" s="259"/>
      <c r="E48" s="259"/>
      <c r="F48" s="259"/>
      <c r="G48" s="259"/>
      <c r="H48" s="259"/>
      <c r="I48" s="259"/>
      <c r="J48" s="259"/>
      <c r="K48" s="259"/>
      <c r="L48" s="259"/>
      <c r="M48" s="259"/>
      <c r="N48" s="259"/>
      <c r="O48" s="259"/>
      <c r="P48" s="259"/>
      <c r="Q48" s="259"/>
      <c r="R48" s="259"/>
      <c r="S48" s="259"/>
    </row>
    <row r="49" spans="1:19" x14ac:dyDescent="0.2">
      <c r="A49" s="259"/>
      <c r="B49" s="259"/>
      <c r="C49" s="259"/>
      <c r="D49" s="259"/>
      <c r="E49" s="259"/>
      <c r="F49" s="259"/>
      <c r="G49" s="259"/>
      <c r="H49" s="259"/>
      <c r="I49" s="259"/>
      <c r="J49" s="259"/>
      <c r="K49" s="259"/>
      <c r="L49" s="259"/>
      <c r="M49" s="259"/>
      <c r="N49" s="259"/>
      <c r="O49" s="259"/>
      <c r="P49" s="259"/>
      <c r="Q49" s="259"/>
      <c r="R49" s="259"/>
      <c r="S49" s="259"/>
    </row>
    <row r="50" spans="1:19" x14ac:dyDescent="0.2">
      <c r="A50" s="259"/>
      <c r="B50" s="259"/>
      <c r="C50" s="259"/>
      <c r="D50" s="259"/>
      <c r="E50" s="259"/>
      <c r="F50" s="259"/>
      <c r="G50" s="259"/>
      <c r="H50" s="259"/>
      <c r="I50" s="259"/>
      <c r="J50" s="259"/>
      <c r="K50" s="259"/>
      <c r="L50" s="259"/>
      <c r="M50" s="259"/>
      <c r="N50" s="259"/>
      <c r="O50" s="259"/>
      <c r="P50" s="259"/>
      <c r="Q50" s="259"/>
      <c r="R50" s="259"/>
      <c r="S50" s="259"/>
    </row>
    <row r="51" spans="1:19" x14ac:dyDescent="0.2">
      <c r="A51" s="259"/>
      <c r="B51" s="259"/>
      <c r="C51" s="259"/>
      <c r="D51" s="259"/>
      <c r="E51" s="259"/>
      <c r="F51" s="259"/>
      <c r="G51" s="259"/>
      <c r="H51" s="259"/>
      <c r="I51" s="259"/>
      <c r="J51" s="259"/>
      <c r="K51" s="259"/>
      <c r="L51" s="259"/>
      <c r="M51" s="259"/>
      <c r="N51" s="259"/>
      <c r="O51" s="259"/>
      <c r="P51" s="259"/>
      <c r="Q51" s="259"/>
      <c r="R51" s="259"/>
      <c r="S51" s="259"/>
    </row>
    <row r="52" spans="1:19" x14ac:dyDescent="0.2">
      <c r="A52" s="259"/>
      <c r="B52" s="259"/>
      <c r="C52" s="259"/>
      <c r="D52" s="259"/>
      <c r="E52" s="259"/>
      <c r="F52" s="259"/>
      <c r="G52" s="259"/>
      <c r="H52" s="259"/>
      <c r="I52" s="259"/>
      <c r="J52" s="259"/>
      <c r="K52" s="259"/>
      <c r="L52" s="259"/>
      <c r="M52" s="259"/>
      <c r="N52" s="259"/>
      <c r="O52" s="259"/>
      <c r="P52" s="259"/>
      <c r="Q52" s="259"/>
      <c r="R52" s="259"/>
      <c r="S52" s="259"/>
    </row>
    <row r="53" spans="1:19" x14ac:dyDescent="0.2">
      <c r="A53" s="259"/>
      <c r="B53" s="259"/>
      <c r="C53" s="259"/>
      <c r="D53" s="259"/>
      <c r="E53" s="259"/>
      <c r="F53" s="259"/>
      <c r="G53" s="259"/>
      <c r="H53" s="259"/>
      <c r="I53" s="259"/>
      <c r="J53" s="259"/>
      <c r="K53" s="259"/>
      <c r="L53" s="259"/>
      <c r="M53" s="259"/>
      <c r="N53" s="259"/>
      <c r="O53" s="259"/>
      <c r="P53" s="259"/>
      <c r="Q53" s="259"/>
      <c r="R53" s="259"/>
      <c r="S53" s="259"/>
    </row>
  </sheetData>
  <sheetProtection selectLockedCells="1" selectUnlockedCells="1"/>
  <mergeCells count="9">
    <mergeCell ref="B2:D3"/>
    <mergeCell ref="L7:N8"/>
    <mergeCell ref="E47:G47"/>
    <mergeCell ref="D7:E7"/>
    <mergeCell ref="D8:E8"/>
    <mergeCell ref="H13:H43"/>
    <mergeCell ref="D41:D42"/>
    <mergeCell ref="E2:F3"/>
    <mergeCell ref="G2:G3"/>
  </mergeCells>
  <dataValidations disablePrompts="1" count="1">
    <dataValidation type="list" allowBlank="1" showInputMessage="1" showErrorMessage="1" sqref="G2:G3">
      <formula1>$T$5:$T$6</formula1>
    </dataValidation>
  </dataValidation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 r:id="rId1"/>
  <headerFooter alignWithMargins="0">
    <oddHeader>&amp;C&amp;"Times New Roman,Regular"&amp;12&amp;A</oddHeader>
    <oddFooter>&amp;C&amp;"Times New Roman,Regular"&amp;12Page &amp;P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operator="equal" allowBlank="1">
          <x14:formula1>
            <xm:f>'DB M2'!$A$4:$A$5</xm:f>
          </x14:formula1>
          <xm:sqref>D23 D30</xm:sqref>
        </x14:dataValidation>
        <x14:dataValidation type="list" operator="equal" allowBlank="1">
          <x14:formula1>
            <xm:f>'DB M2'!$A$16:$A$20</xm:f>
          </x14:formula1>
          <xm:sqref>D21 D28</xm:sqref>
        </x14:dataValidation>
        <x14:dataValidation type="list" operator="equal" allowBlank="1">
          <x14:formula1>
            <xm:f>'DB E'!$A$4:$A$16</xm:f>
          </x14:formula1>
          <xm:sqref>D13:D16</xm:sqref>
        </x14:dataValidation>
        <x14:dataValidation type="list" operator="equal" allowBlank="1">
          <x14:formula1>
            <xm:f>'DB H'!$A$4:$A$33</xm:f>
          </x14:formula1>
          <xm:sqref>D34:D36</xm:sqref>
        </x14:dataValidation>
        <x14:dataValidation type="list" operator="equal" allowBlank="1">
          <x14:formula1>
            <xm:f>'DB M2'!$A$7:$A$15</xm:f>
          </x14:formula1>
          <xm:sqref>D20</xm:sqref>
        </x14:dataValidation>
        <x14:dataValidation type="list" operator="equal" allowBlank="1">
          <x14:formula1>
            <xm:f>'DB M2'!$A$21:$A$22</xm:f>
          </x14:formula1>
          <xm:sqref>D22 D29</xm:sqref>
        </x14:dataValidation>
        <x14:dataValidation type="list" operator="equal" allowBlank="1">
          <x14:formula1>
            <xm:f>'DB M1'!$A$7:$A$15</xm:f>
          </x14:formula1>
          <xm:sqref>D27</xm:sqref>
        </x14:dataValidation>
        <x14:dataValidation type="list" operator="equal" allowBlank="1">
          <x14:formula1>
            <xm:f>'DB E'!$A$5:$A$16</xm:f>
          </x14:formula1>
          <x14:formula2>
            <xm:f>0</xm:f>
          </x14:formula2>
          <xm:sqref>D13:D16</xm:sqref>
        </x14:dataValidation>
        <x14:dataValidation type="list" operator="equal" allowBlank="1">
          <x14:formula1>
            <xm:f>'DB M2'!$A$5:$A$22</xm:f>
          </x14:formula1>
          <x14:formula2>
            <xm:f>0</xm:f>
          </x14:formula2>
          <xm:sqref>D20:D23</xm:sqref>
        </x14:dataValidation>
        <x14:dataValidation type="list" operator="equal" allowBlank="1">
          <x14:formula1>
            <xm:f>'DB M1'!$A$5:$A$22</xm:f>
          </x14:formula1>
          <x14:formula2>
            <xm:f>0</xm:f>
          </x14:formula2>
          <xm:sqref>D27:D30</xm:sqref>
        </x14:dataValidation>
        <x14:dataValidation type="list" operator="equal" allowBlank="1">
          <x14:formula1>
            <xm:f>'DB H'!$A$5:$A$33</xm:f>
          </x14:formula1>
          <x14:formula2>
            <xm:f>0</xm:f>
          </x14:formula2>
          <xm:sqref>D34:D36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T43"/>
  <sheetViews>
    <sheetView zoomScale="85" zoomScaleNormal="85" workbookViewId="0">
      <selection activeCell="A10" sqref="A10"/>
    </sheetView>
  </sheetViews>
  <sheetFormatPr defaultColWidth="11.5703125" defaultRowHeight="12.75" x14ac:dyDescent="0.2"/>
  <cols>
    <col min="2" max="3" width="3.85546875" customWidth="1"/>
    <col min="4" max="4" width="31.5703125" bestFit="1" customWidth="1"/>
    <col min="5" max="5" width="12.5703125" bestFit="1" customWidth="1"/>
    <col min="6" max="6" width="12.28515625" bestFit="1" customWidth="1"/>
    <col min="7" max="7" width="6.7109375" customWidth="1"/>
    <col min="8" max="8" width="13.85546875" customWidth="1"/>
    <col min="9" max="9" width="6.42578125" customWidth="1"/>
    <col min="10" max="10" width="17.85546875" customWidth="1"/>
    <col min="11" max="11" width="4.7109375" customWidth="1"/>
    <col min="12" max="15" width="6.7109375" customWidth="1"/>
    <col min="16" max="16" width="41.7109375" customWidth="1"/>
    <col min="17" max="17" width="3.85546875" customWidth="1"/>
  </cols>
  <sheetData>
    <row r="1" spans="1:20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</row>
    <row r="2" spans="1:20" ht="20.100000000000001" customHeight="1" x14ac:dyDescent="0.2">
      <c r="A2" s="259"/>
      <c r="B2" s="441" t="s">
        <v>381</v>
      </c>
      <c r="C2" s="441"/>
      <c r="D2" s="441"/>
      <c r="E2" s="2" t="s">
        <v>10</v>
      </c>
      <c r="G2" s="4"/>
      <c r="I2" s="3">
        <f>+Massabalans!H21</f>
        <v>1.6936671575846833</v>
      </c>
      <c r="J2" s="6" t="s">
        <v>34</v>
      </c>
      <c r="L2" s="56"/>
      <c r="M2" s="259"/>
      <c r="N2" s="259"/>
      <c r="O2" s="259"/>
      <c r="P2" s="259"/>
      <c r="Q2" s="259"/>
      <c r="R2" s="259"/>
      <c r="S2" s="259"/>
    </row>
    <row r="3" spans="1:20" ht="20.100000000000001" customHeight="1" x14ac:dyDescent="0.2">
      <c r="A3" s="259"/>
      <c r="B3" s="441"/>
      <c r="C3" s="441"/>
      <c r="D3" s="441"/>
      <c r="E3" s="2" t="s">
        <v>12</v>
      </c>
      <c r="G3" s="3"/>
      <c r="I3" s="3">
        <f>SUM(J13:J29)/1000</f>
        <v>0.24099321000000007</v>
      </c>
      <c r="J3" s="6" t="s">
        <v>35</v>
      </c>
      <c r="L3" s="56"/>
      <c r="M3" s="259"/>
      <c r="N3" s="259"/>
      <c r="O3" s="259"/>
      <c r="P3" s="259"/>
      <c r="Q3" s="259"/>
      <c r="R3" s="259"/>
      <c r="S3" s="259"/>
    </row>
    <row r="4" spans="1:20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</row>
    <row r="5" spans="1:20" x14ac:dyDescent="0.2">
      <c r="A5" s="259"/>
      <c r="B5" s="1"/>
      <c r="C5" s="1"/>
      <c r="D5" s="7"/>
      <c r="E5" s="7"/>
      <c r="F5" s="38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59"/>
      <c r="S5" s="259"/>
      <c r="T5" s="259"/>
    </row>
    <row r="6" spans="1:20" x14ac:dyDescent="0.2">
      <c r="A6" s="259"/>
      <c r="B6" s="1"/>
      <c r="C6" s="234"/>
      <c r="D6" s="233"/>
      <c r="E6" s="233"/>
      <c r="F6" s="233"/>
      <c r="G6" s="234"/>
      <c r="H6" s="234"/>
      <c r="I6" s="234"/>
      <c r="J6" s="233"/>
      <c r="K6" s="233"/>
      <c r="L6" s="56"/>
      <c r="M6" s="56"/>
      <c r="N6" s="56"/>
      <c r="O6" s="233"/>
      <c r="P6" s="233"/>
      <c r="Q6" s="1"/>
      <c r="R6" s="259"/>
      <c r="S6" s="259"/>
      <c r="T6" s="259"/>
    </row>
    <row r="7" spans="1:20" x14ac:dyDescent="0.2">
      <c r="A7" s="259"/>
      <c r="B7" s="1"/>
      <c r="C7" s="234"/>
      <c r="D7" s="233"/>
      <c r="E7" s="233"/>
      <c r="F7" s="233"/>
      <c r="G7" s="234"/>
      <c r="H7" s="234"/>
      <c r="I7" s="234"/>
      <c r="J7" s="233"/>
      <c r="K7" s="233"/>
      <c r="L7" s="495" t="s">
        <v>14</v>
      </c>
      <c r="M7" s="495"/>
      <c r="N7" s="495"/>
      <c r="O7" s="233"/>
      <c r="P7" s="233"/>
      <c r="Q7" s="1"/>
      <c r="R7" s="259"/>
      <c r="S7" s="259"/>
      <c r="T7" s="259"/>
    </row>
    <row r="8" spans="1:20" x14ac:dyDescent="0.2">
      <c r="A8" s="259"/>
      <c r="B8" s="1"/>
      <c r="C8" s="234"/>
      <c r="D8" s="233"/>
      <c r="E8" s="233"/>
      <c r="F8" s="233"/>
      <c r="G8" s="234"/>
      <c r="H8" s="234"/>
      <c r="I8" s="234"/>
      <c r="J8" s="233"/>
      <c r="K8" s="233"/>
      <c r="L8" s="495"/>
      <c r="M8" s="495"/>
      <c r="N8" s="495"/>
      <c r="O8" s="233"/>
      <c r="P8" s="233"/>
      <c r="Q8" s="1"/>
      <c r="R8" s="259"/>
      <c r="S8" s="259"/>
      <c r="T8" s="259"/>
    </row>
    <row r="9" spans="1:20" x14ac:dyDescent="0.2">
      <c r="A9" s="259"/>
      <c r="B9" s="1"/>
      <c r="C9" s="234"/>
      <c r="D9" s="233"/>
      <c r="E9" s="233"/>
      <c r="F9" s="233"/>
      <c r="G9" s="234"/>
      <c r="H9" s="234"/>
      <c r="I9" s="234"/>
      <c r="J9" s="233"/>
      <c r="K9" s="233"/>
      <c r="L9" s="44" t="s">
        <v>18</v>
      </c>
      <c r="M9" s="44" t="s">
        <v>19</v>
      </c>
      <c r="N9" s="44" t="s">
        <v>20</v>
      </c>
      <c r="O9" s="233"/>
      <c r="P9" s="233"/>
      <c r="Q9" s="1"/>
      <c r="R9" s="259"/>
      <c r="S9" s="259"/>
      <c r="T9" s="259"/>
    </row>
    <row r="10" spans="1:20" x14ac:dyDescent="0.2">
      <c r="A10" s="259"/>
      <c r="B10" s="1"/>
      <c r="C10" s="234"/>
      <c r="D10" s="233"/>
      <c r="E10" s="233"/>
      <c r="F10" s="233"/>
      <c r="G10" s="234"/>
      <c r="H10" s="234"/>
      <c r="I10" s="234"/>
      <c r="J10" s="233"/>
      <c r="K10" s="233"/>
      <c r="L10" s="44"/>
      <c r="M10" s="44"/>
      <c r="N10" s="44"/>
      <c r="O10" s="233"/>
      <c r="P10" s="233"/>
      <c r="Q10" s="1"/>
      <c r="R10" s="259"/>
      <c r="S10" s="259"/>
      <c r="T10" s="259"/>
    </row>
    <row r="11" spans="1:20" x14ac:dyDescent="0.2">
      <c r="A11" s="259"/>
      <c r="B11" s="38"/>
      <c r="C11" s="233"/>
      <c r="D11" s="65" t="s">
        <v>36</v>
      </c>
      <c r="E11" s="65" t="s">
        <v>21</v>
      </c>
      <c r="F11" s="66" t="s">
        <v>16</v>
      </c>
      <c r="G11" s="241"/>
      <c r="H11" s="56"/>
      <c r="I11" s="56"/>
      <c r="J11" s="296" t="s">
        <v>406</v>
      </c>
      <c r="K11" s="57"/>
      <c r="L11" s="56"/>
      <c r="M11" s="56"/>
      <c r="N11" s="56"/>
      <c r="O11" s="57"/>
      <c r="P11" s="36" t="s">
        <v>22</v>
      </c>
      <c r="Q11" s="1"/>
      <c r="R11" s="259"/>
      <c r="S11" s="259"/>
      <c r="T11" s="259"/>
    </row>
    <row r="12" spans="1:20" x14ac:dyDescent="0.2">
      <c r="A12" s="259"/>
      <c r="B12" s="38"/>
      <c r="C12" s="233"/>
      <c r="D12" s="65"/>
      <c r="E12" s="65"/>
      <c r="F12" s="66"/>
      <c r="G12" s="241"/>
      <c r="H12" s="56"/>
      <c r="I12" s="56"/>
      <c r="J12" s="296" t="s">
        <v>423</v>
      </c>
      <c r="K12" s="57"/>
      <c r="L12" s="56"/>
      <c r="M12" s="56"/>
      <c r="N12" s="56"/>
      <c r="O12" s="57"/>
      <c r="P12" s="58"/>
      <c r="Q12" s="1"/>
      <c r="R12" s="259"/>
      <c r="S12" s="259"/>
      <c r="T12" s="259"/>
    </row>
    <row r="13" spans="1:20" ht="12.75" customHeight="1" x14ac:dyDescent="0.2">
      <c r="A13" s="259"/>
      <c r="B13" s="1"/>
      <c r="C13" s="234"/>
      <c r="D13" s="221" t="s">
        <v>37</v>
      </c>
      <c r="E13" s="363">
        <f>7.4*0.45</f>
        <v>3.33</v>
      </c>
      <c r="F13" s="50" t="str">
        <f>IF(D13=0," ",VLOOKUP(D13,'DB E'!$A$5:$H$29,2,0))</f>
        <v>MJ</v>
      </c>
      <c r="G13" s="56"/>
      <c r="H13" s="508" t="s">
        <v>216</v>
      </c>
      <c r="I13" s="56"/>
      <c r="J13" s="53">
        <f>SUMPRODUCT(L13:N13,L$33:N$33)*E13</f>
        <v>240.99321000000006</v>
      </c>
      <c r="K13" s="297"/>
      <c r="L13" s="49">
        <f>IF($D13=0," ",VLOOKUP(D13,'DB E'!$A$5:$H$29,5,0))</f>
        <v>66.45427777777779</v>
      </c>
      <c r="M13" s="42">
        <f>IF($D13=0," ",VLOOKUP(D13,'DB E'!$A$5:$H$29,6,0))</f>
        <v>0.20744444444444443</v>
      </c>
      <c r="N13" s="42">
        <f>IF($D13=0," ",VLOOKUP(D13,'DB E'!$A$5:$H$29,7,0))</f>
        <v>3.6111111111111109E-4</v>
      </c>
      <c r="O13" s="297"/>
      <c r="P13" s="73"/>
      <c r="Q13" s="1"/>
      <c r="R13" s="259"/>
      <c r="S13" s="259"/>
      <c r="T13" s="259"/>
    </row>
    <row r="14" spans="1:20" ht="12.75" customHeight="1" x14ac:dyDescent="0.2">
      <c r="A14" s="259"/>
      <c r="B14" s="1"/>
      <c r="C14" s="234"/>
      <c r="D14" s="222"/>
      <c r="E14" s="364"/>
      <c r="F14" s="51" t="str">
        <f>IF(D14=0," ",VLOOKUP(D14,'DB E'!$A$5:$H$29,2,0))</f>
        <v xml:space="preserve"> </v>
      </c>
      <c r="G14" s="56"/>
      <c r="H14" s="509"/>
      <c r="I14" s="56"/>
      <c r="J14" s="54">
        <f>SUMPRODUCT(L14:N14,L$33:N$33)*E14</f>
        <v>0</v>
      </c>
      <c r="K14" s="298"/>
      <c r="L14" s="49" t="str">
        <f>IF($D14=0," ",VLOOKUP(D14,'DB E'!$A$5:$H$29,5,0))</f>
        <v xml:space="preserve"> </v>
      </c>
      <c r="M14" s="42" t="str">
        <f>IF($D14=0," ",VLOOKUP(D14,'DB E'!$A$5:$H$29,6,0))</f>
        <v xml:space="preserve"> </v>
      </c>
      <c r="N14" s="42" t="str">
        <f>IF($D14=0," ",VLOOKUP(D14,'DB E'!$A$5:$H$29,7,0))</f>
        <v xml:space="preserve"> </v>
      </c>
      <c r="O14" s="298"/>
      <c r="P14" s="73"/>
      <c r="Q14" s="1"/>
      <c r="R14" s="259"/>
      <c r="S14" s="259"/>
      <c r="T14" s="259"/>
    </row>
    <row r="15" spans="1:20" ht="12.75" customHeight="1" x14ac:dyDescent="0.2">
      <c r="A15" s="259"/>
      <c r="B15" s="1"/>
      <c r="C15" s="234"/>
      <c r="D15" s="222"/>
      <c r="E15" s="364"/>
      <c r="F15" s="51" t="str">
        <f>IF(D15=0," ",VLOOKUP(D15,'DB E'!$A$5:$H$29,2,0))</f>
        <v xml:space="preserve"> </v>
      </c>
      <c r="G15" s="56"/>
      <c r="H15" s="509"/>
      <c r="I15" s="56"/>
      <c r="J15" s="54">
        <f>SUMPRODUCT(L15:N15,L$33:N$33)*E15</f>
        <v>0</v>
      </c>
      <c r="K15" s="56"/>
      <c r="L15" s="49" t="str">
        <f>IF($D15=0," ",VLOOKUP(D15,'DB E'!$A$5:$H$29,5,0))</f>
        <v xml:space="preserve"> </v>
      </c>
      <c r="M15" s="42" t="str">
        <f>IF($D15=0," ",VLOOKUP(D15,'DB E'!$A$5:$H$29,6,0))</f>
        <v xml:space="preserve"> </v>
      </c>
      <c r="N15" s="42" t="str">
        <f>IF($D15=0," ",VLOOKUP(D15,'DB E'!$A$5:$H$29,7,0))</f>
        <v xml:space="preserve"> </v>
      </c>
      <c r="O15" s="56"/>
      <c r="P15" s="73"/>
      <c r="Q15" s="1"/>
      <c r="R15" s="259"/>
      <c r="S15" s="259"/>
      <c r="T15" s="259"/>
    </row>
    <row r="16" spans="1:20" x14ac:dyDescent="0.2">
      <c r="A16" s="259"/>
      <c r="B16" s="1"/>
      <c r="C16" s="234"/>
      <c r="D16" s="223"/>
      <c r="E16" s="365"/>
      <c r="F16" s="52" t="str">
        <f>IF(D16=0," ",VLOOKUP(D16,'DB E'!$A$5:$H$29,2,0))</f>
        <v xml:space="preserve"> </v>
      </c>
      <c r="G16" s="56"/>
      <c r="H16" s="509"/>
      <c r="I16" s="56"/>
      <c r="J16" s="55">
        <f>SUMPRODUCT(L16:N16,L$33:N$33)*E16</f>
        <v>0</v>
      </c>
      <c r="K16" s="56"/>
      <c r="L16" s="49" t="str">
        <f>IF($D16=0," ",VLOOKUP(D16,'DB E'!$A$5:$H$29,5,0))</f>
        <v xml:space="preserve"> </v>
      </c>
      <c r="M16" s="42" t="str">
        <f>IF($D16=0," ",VLOOKUP(D16,'DB E'!$A$5:$H$29,6,0))</f>
        <v xml:space="preserve"> </v>
      </c>
      <c r="N16" s="42" t="str">
        <f>IF($D16=0," ",VLOOKUP(D16,'DB E'!$A$5:$H$29,7,0))</f>
        <v xml:space="preserve"> </v>
      </c>
      <c r="O16" s="56"/>
      <c r="P16" s="73"/>
      <c r="Q16" s="1"/>
      <c r="R16" s="259"/>
      <c r="S16" s="259"/>
      <c r="T16" s="259"/>
    </row>
    <row r="17" spans="1:20" x14ac:dyDescent="0.2">
      <c r="A17" s="259"/>
      <c r="B17" s="1"/>
      <c r="C17" s="234"/>
      <c r="D17" s="56"/>
      <c r="E17" s="56"/>
      <c r="F17" s="56"/>
      <c r="G17" s="56"/>
      <c r="H17" s="509"/>
      <c r="I17" s="56"/>
      <c r="J17" s="56"/>
      <c r="K17" s="56"/>
      <c r="L17" s="56"/>
      <c r="M17" s="56"/>
      <c r="N17" s="56"/>
      <c r="O17" s="56"/>
      <c r="P17" s="56"/>
      <c r="Q17" s="1"/>
      <c r="R17" s="259"/>
      <c r="S17" s="259"/>
      <c r="T17" s="259"/>
    </row>
    <row r="18" spans="1:20" x14ac:dyDescent="0.2">
      <c r="A18" s="259"/>
      <c r="B18" s="1"/>
      <c r="C18" s="234"/>
      <c r="D18" s="56"/>
      <c r="E18" s="56"/>
      <c r="F18" s="56"/>
      <c r="G18" s="56"/>
      <c r="H18" s="509"/>
      <c r="I18" s="56"/>
      <c r="J18" s="56"/>
      <c r="K18" s="56"/>
      <c r="L18" s="56"/>
      <c r="M18" s="56"/>
      <c r="N18" s="56"/>
      <c r="O18" s="56"/>
      <c r="P18" s="56"/>
      <c r="Q18" s="1"/>
      <c r="R18" s="259"/>
      <c r="S18" s="259"/>
      <c r="T18" s="259"/>
    </row>
    <row r="19" spans="1:20" x14ac:dyDescent="0.2">
      <c r="A19" s="259"/>
      <c r="B19" s="1"/>
      <c r="C19" s="234"/>
      <c r="D19" s="65" t="s">
        <v>29</v>
      </c>
      <c r="E19" s="65"/>
      <c r="F19" s="66"/>
      <c r="G19" s="56"/>
      <c r="H19" s="509"/>
      <c r="I19" s="56"/>
      <c r="J19" s="56"/>
      <c r="K19" s="56"/>
      <c r="L19" s="56"/>
      <c r="M19" s="56"/>
      <c r="N19" s="56"/>
      <c r="O19" s="56"/>
      <c r="P19" s="56"/>
      <c r="Q19" s="1"/>
      <c r="R19" s="259"/>
      <c r="S19" s="259"/>
      <c r="T19" s="259"/>
    </row>
    <row r="20" spans="1:20" x14ac:dyDescent="0.2">
      <c r="A20" s="259"/>
      <c r="B20" s="1"/>
      <c r="C20" s="234"/>
      <c r="D20" s="221" t="s">
        <v>30</v>
      </c>
      <c r="E20" s="363"/>
      <c r="F20" s="50" t="str">
        <f>IF(D20=0," ",VLOOKUP(D20,'DB H'!$A$5:$F$41,2,0))</f>
        <v xml:space="preserve">kg  </v>
      </c>
      <c r="G20" s="56"/>
      <c r="H20" s="509"/>
      <c r="I20" s="56"/>
      <c r="J20" s="53">
        <f t="shared" ref="J20:J22" si="0">SUMPRODUCT(L20:N20,L$33:N$33)*E20</f>
        <v>0</v>
      </c>
      <c r="K20" s="56"/>
      <c r="L20" s="43">
        <f>VLOOKUP(D20,'DB H'!$A$5:$F$41,3,0)</f>
        <v>12480.146500000001</v>
      </c>
      <c r="M20" s="42">
        <f>VLOOKUP(D20,'DB H'!$A$5:$F$41,4,0)</f>
        <v>36.128700000000002</v>
      </c>
      <c r="N20" s="42">
        <f>VLOOKUP(D20,'DB H'!$A$5:$F$41,5,0)</f>
        <v>1.7212000000000001</v>
      </c>
      <c r="O20" s="56"/>
      <c r="P20" s="73"/>
      <c r="Q20" s="1"/>
      <c r="R20" s="259"/>
      <c r="S20" s="259"/>
      <c r="T20" s="259"/>
    </row>
    <row r="21" spans="1:20" x14ac:dyDescent="0.2">
      <c r="A21" s="259"/>
      <c r="B21" s="1"/>
      <c r="C21" s="234"/>
      <c r="D21" s="222" t="s">
        <v>30</v>
      </c>
      <c r="E21" s="364"/>
      <c r="F21" s="51" t="str">
        <f>IF(D21=0," ",VLOOKUP(D21,'DB H'!$A$5:$F$41,2,0))</f>
        <v xml:space="preserve">kg  </v>
      </c>
      <c r="G21" s="56"/>
      <c r="H21" s="509"/>
      <c r="I21" s="56"/>
      <c r="J21" s="54">
        <f t="shared" si="0"/>
        <v>0</v>
      </c>
      <c r="K21" s="56"/>
      <c r="L21" s="43">
        <f>VLOOKUP(D21,'DB H'!$A$5:$F$41,3,0)</f>
        <v>12480.146500000001</v>
      </c>
      <c r="M21" s="42">
        <f>VLOOKUP(D21,'DB H'!$A$5:$F$41,4,0)</f>
        <v>36.128700000000002</v>
      </c>
      <c r="N21" s="42">
        <f>VLOOKUP(D21,'DB H'!$A$5:$F$41,5,0)</f>
        <v>1.7212000000000001</v>
      </c>
      <c r="O21" s="56"/>
      <c r="P21" s="73"/>
      <c r="Q21" s="1"/>
      <c r="R21" s="259"/>
      <c r="S21" s="259"/>
      <c r="T21" s="259"/>
    </row>
    <row r="22" spans="1:20" x14ac:dyDescent="0.2">
      <c r="A22" s="259"/>
      <c r="B22" s="1"/>
      <c r="C22" s="234"/>
      <c r="D22" s="223" t="s">
        <v>30</v>
      </c>
      <c r="E22" s="365"/>
      <c r="F22" s="52" t="str">
        <f>IF(D22=0," ",VLOOKUP(D22,'DB H'!$A$5:$F$41,2,0))</f>
        <v xml:space="preserve">kg  </v>
      </c>
      <c r="G22" s="56"/>
      <c r="H22" s="509"/>
      <c r="I22" s="56"/>
      <c r="J22" s="55">
        <f t="shared" si="0"/>
        <v>0</v>
      </c>
      <c r="K22" s="56"/>
      <c r="L22" s="43"/>
      <c r="M22" s="42"/>
      <c r="N22" s="42"/>
      <c r="O22" s="56"/>
      <c r="P22" s="73"/>
      <c r="Q22" s="1"/>
      <c r="R22" s="259"/>
      <c r="S22" s="259"/>
      <c r="T22" s="259"/>
    </row>
    <row r="23" spans="1:20" x14ac:dyDescent="0.2">
      <c r="A23" s="259"/>
      <c r="B23" s="1"/>
      <c r="C23" s="234"/>
      <c r="D23" s="56"/>
      <c r="E23" s="56"/>
      <c r="F23" s="56"/>
      <c r="G23" s="56"/>
      <c r="H23" s="509"/>
      <c r="I23" s="56"/>
      <c r="J23" s="56"/>
      <c r="K23" s="56"/>
      <c r="L23" s="56"/>
      <c r="M23" s="56"/>
      <c r="N23" s="56"/>
      <c r="O23" s="56"/>
      <c r="P23" s="56"/>
      <c r="Q23" s="1"/>
      <c r="R23" s="259"/>
      <c r="S23" s="259"/>
      <c r="T23" s="259"/>
    </row>
    <row r="24" spans="1:20" x14ac:dyDescent="0.2">
      <c r="A24" s="259"/>
      <c r="B24" s="1"/>
      <c r="C24" s="234"/>
      <c r="D24" s="56"/>
      <c r="E24" s="56"/>
      <c r="F24" s="56"/>
      <c r="G24" s="56"/>
      <c r="H24" s="509"/>
      <c r="I24" s="56"/>
      <c r="J24" s="56"/>
      <c r="K24" s="56"/>
      <c r="L24" s="56"/>
      <c r="M24" s="56"/>
      <c r="N24" s="56"/>
      <c r="O24" s="56"/>
      <c r="P24" s="56"/>
      <c r="Q24" s="1"/>
      <c r="R24" s="259"/>
      <c r="S24" s="259"/>
      <c r="T24" s="259"/>
    </row>
    <row r="25" spans="1:20" x14ac:dyDescent="0.2">
      <c r="A25" s="259"/>
      <c r="B25" s="1"/>
      <c r="C25" s="234"/>
      <c r="D25" s="65" t="s">
        <v>38</v>
      </c>
      <c r="E25" s="65"/>
      <c r="F25" s="66"/>
      <c r="G25" s="56"/>
      <c r="H25" s="509"/>
      <c r="I25" s="56"/>
      <c r="J25" s="56"/>
      <c r="K25" s="56"/>
      <c r="L25" s="56"/>
      <c r="M25" s="56"/>
      <c r="N25" s="56"/>
      <c r="O25" s="56"/>
      <c r="P25" s="56"/>
      <c r="Q25" s="1"/>
      <c r="R25" s="259"/>
      <c r="S25" s="259"/>
      <c r="T25" s="259"/>
    </row>
    <row r="26" spans="1:20" x14ac:dyDescent="0.2">
      <c r="A26" s="259"/>
      <c r="B26" s="1"/>
      <c r="C26" s="234"/>
      <c r="D26" s="221"/>
      <c r="E26" s="56"/>
      <c r="F26" s="56"/>
      <c r="G26" s="56"/>
      <c r="H26" s="509"/>
      <c r="I26" s="56"/>
      <c r="J26" s="53">
        <f>SUMPRODUCT(L26:N26,L$47:N$47)</f>
        <v>0</v>
      </c>
      <c r="K26" s="298"/>
      <c r="L26" s="49" t="str">
        <f>IF($D26=0," ",VLOOKUP(D26,'DB E'!$A$5:$H$29,5,0))</f>
        <v xml:space="preserve"> </v>
      </c>
      <c r="M26" s="42" t="str">
        <f>IF($D26=0," ",VLOOKUP(D26,'DB E'!$A$5:$H$29,6,0))</f>
        <v xml:space="preserve"> </v>
      </c>
      <c r="N26" s="42" t="str">
        <f>IF($D26=0," ",VLOOKUP(D26,'DB E'!$A$5:$H$29,7,0))</f>
        <v xml:space="preserve"> </v>
      </c>
      <c r="O26" s="298"/>
      <c r="P26" s="73" t="s">
        <v>39</v>
      </c>
      <c r="Q26" s="1"/>
      <c r="R26" s="259"/>
      <c r="S26" s="259"/>
      <c r="T26" s="259"/>
    </row>
    <row r="27" spans="1:20" x14ac:dyDescent="0.2">
      <c r="A27" s="259"/>
      <c r="B27" s="1"/>
      <c r="C27" s="234"/>
      <c r="D27" s="222"/>
      <c r="E27" s="56"/>
      <c r="F27" s="56"/>
      <c r="G27" s="56"/>
      <c r="H27" s="509"/>
      <c r="I27" s="56"/>
      <c r="J27" s="54">
        <f t="shared" ref="J27:J29" si="1">SUMPRODUCT(L27:N27,L$47:N$47)</f>
        <v>0</v>
      </c>
      <c r="K27" s="56"/>
      <c r="L27" s="49" t="str">
        <f>IF($D27=0," ",VLOOKUP(D27,'DB E'!$A$5:$H$29,5,0))</f>
        <v xml:space="preserve"> </v>
      </c>
      <c r="M27" s="42" t="str">
        <f>IF($D27=0," ",VLOOKUP(D27,'DB E'!$A$5:$H$29,6,0))</f>
        <v xml:space="preserve"> </v>
      </c>
      <c r="N27" s="42" t="str">
        <f>IF($D27=0," ",VLOOKUP(D27,'DB E'!$A$5:$H$29,7,0))</f>
        <v xml:space="preserve"> </v>
      </c>
      <c r="O27" s="56"/>
      <c r="P27" s="73"/>
      <c r="Q27" s="1"/>
      <c r="R27" s="259"/>
      <c r="S27" s="259"/>
      <c r="T27" s="259"/>
    </row>
    <row r="28" spans="1:20" x14ac:dyDescent="0.2">
      <c r="A28" s="259"/>
      <c r="B28" s="1"/>
      <c r="C28" s="234"/>
      <c r="D28" s="222"/>
      <c r="E28" s="56"/>
      <c r="F28" s="56"/>
      <c r="G28" s="56"/>
      <c r="H28" s="509"/>
      <c r="I28" s="56"/>
      <c r="J28" s="54">
        <f t="shared" si="1"/>
        <v>0</v>
      </c>
      <c r="K28" s="56"/>
      <c r="L28" s="49" t="str">
        <f>IF($D28=0," ",VLOOKUP(D28,'DB E'!$A$5:$H$29,5,0))</f>
        <v xml:space="preserve"> </v>
      </c>
      <c r="M28" s="42" t="str">
        <f>IF($D28=0," ",VLOOKUP(D28,'DB E'!$A$5:$H$29,6,0))</f>
        <v xml:space="preserve"> </v>
      </c>
      <c r="N28" s="42" t="str">
        <f>IF($D28=0," ",VLOOKUP(D28,'DB E'!$A$5:$H$29,7,0))</f>
        <v xml:space="preserve"> </v>
      </c>
      <c r="O28" s="56"/>
      <c r="P28" s="73"/>
      <c r="Q28" s="1"/>
      <c r="R28" s="259"/>
      <c r="S28" s="259"/>
      <c r="T28" s="259"/>
    </row>
    <row r="29" spans="1:20" x14ac:dyDescent="0.2">
      <c r="A29" s="259"/>
      <c r="B29" s="1"/>
      <c r="C29" s="234"/>
      <c r="D29" s="223"/>
      <c r="E29" s="56"/>
      <c r="F29" s="56"/>
      <c r="G29" s="56"/>
      <c r="H29" s="510"/>
      <c r="I29" s="56"/>
      <c r="J29" s="55">
        <f t="shared" si="1"/>
        <v>0</v>
      </c>
      <c r="K29" s="56"/>
      <c r="L29" s="49" t="str">
        <f>IF($D29=0," ",VLOOKUP(D29,'DB E'!$A$5:$H$29,5,0))</f>
        <v xml:space="preserve"> </v>
      </c>
      <c r="M29" s="42" t="str">
        <f>IF($D29=0," ",VLOOKUP(D29,'DB E'!$A$5:$H$29,6,0))</f>
        <v xml:space="preserve"> </v>
      </c>
      <c r="N29" s="42" t="str">
        <f>IF($D29=0," ",VLOOKUP(D29,'DB E'!$A$5:$H$29,7,0))</f>
        <v xml:space="preserve"> </v>
      </c>
      <c r="O29" s="56"/>
      <c r="P29" s="73"/>
      <c r="Q29" s="1"/>
      <c r="R29" s="259"/>
      <c r="S29" s="259"/>
      <c r="T29" s="259"/>
    </row>
    <row r="30" spans="1:20" x14ac:dyDescent="0.2">
      <c r="A30" s="259"/>
      <c r="B30" s="1"/>
      <c r="C30" s="234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1"/>
      <c r="R30" s="259"/>
      <c r="S30" s="259"/>
      <c r="T30" s="259"/>
    </row>
    <row r="31" spans="1:20" x14ac:dyDescent="0.2">
      <c r="A31" s="259"/>
      <c r="B31" s="1"/>
      <c r="C31" s="234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"/>
      <c r="R31" s="259"/>
      <c r="S31" s="259"/>
      <c r="T31" s="259"/>
    </row>
    <row r="32" spans="1:20" x14ac:dyDescent="0.2">
      <c r="A32" s="259"/>
      <c r="B32" s="1"/>
      <c r="C32" s="234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1"/>
      <c r="R32" s="259"/>
      <c r="S32" s="259"/>
      <c r="T32" s="259"/>
    </row>
    <row r="33" spans="1:20" x14ac:dyDescent="0.2">
      <c r="A33" s="259"/>
      <c r="B33" s="1"/>
      <c r="C33" s="1"/>
      <c r="D33" s="5" t="s">
        <v>411</v>
      </c>
      <c r="E33" s="5"/>
      <c r="F33" s="1"/>
      <c r="G33" s="1"/>
      <c r="H33" s="1"/>
      <c r="I33" s="1"/>
      <c r="J33" s="1"/>
      <c r="K33" s="1"/>
      <c r="L33" s="37">
        <f>VLOOKUP(L9,GWP!$A$4:$B$53,2,0)</f>
        <v>1</v>
      </c>
      <c r="M33" s="37">
        <f>VLOOKUP(M9,GWP!$A$4:$B$53,2,0)</f>
        <v>28</v>
      </c>
      <c r="N33" s="37">
        <f>VLOOKUP(N9,GWP!$A$4:$B$53,2,0)</f>
        <v>298</v>
      </c>
      <c r="O33" s="1"/>
      <c r="P33" s="1"/>
      <c r="Q33" s="1"/>
      <c r="R33" s="259"/>
      <c r="S33" s="259"/>
      <c r="T33" s="259"/>
    </row>
    <row r="34" spans="1:20" x14ac:dyDescent="0.2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</row>
    <row r="35" spans="1:20" x14ac:dyDescent="0.2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</row>
    <row r="36" spans="1:20" x14ac:dyDescent="0.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</row>
    <row r="37" spans="1:20" x14ac:dyDescent="0.2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  <c r="T37" s="259"/>
    </row>
    <row r="38" spans="1:20" x14ac:dyDescent="0.2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  <c r="T38" s="259"/>
    </row>
    <row r="39" spans="1:20" x14ac:dyDescent="0.2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  <c r="T39" s="259"/>
    </row>
    <row r="40" spans="1:20" x14ac:dyDescent="0.2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  <c r="T40" s="259"/>
    </row>
    <row r="41" spans="1:20" x14ac:dyDescent="0.2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  <c r="T41" s="259"/>
    </row>
    <row r="42" spans="1:20" x14ac:dyDescent="0.2">
      <c r="A42" s="259"/>
      <c r="B42" s="259"/>
      <c r="C42" s="259"/>
      <c r="D42" s="259"/>
      <c r="E42" s="259"/>
      <c r="F42" s="259"/>
      <c r="G42" s="259"/>
      <c r="H42" s="259"/>
      <c r="I42" s="259"/>
      <c r="J42" s="259"/>
      <c r="K42" s="259"/>
      <c r="L42" s="259"/>
      <c r="M42" s="259"/>
      <c r="N42" s="259"/>
      <c r="O42" s="259"/>
      <c r="P42" s="259"/>
      <c r="Q42" s="259"/>
      <c r="R42" s="259"/>
      <c r="S42" s="259"/>
      <c r="T42" s="259"/>
    </row>
    <row r="43" spans="1:20" x14ac:dyDescent="0.2">
      <c r="A43" s="259"/>
      <c r="B43" s="259"/>
      <c r="C43" s="259"/>
      <c r="D43" s="259"/>
      <c r="E43" s="259"/>
      <c r="F43" s="259"/>
      <c r="G43" s="259"/>
      <c r="H43" s="259"/>
      <c r="I43" s="259"/>
      <c r="J43" s="259"/>
      <c r="K43" s="259"/>
      <c r="L43" s="259"/>
      <c r="M43" s="259"/>
      <c r="N43" s="259"/>
      <c r="O43" s="259"/>
      <c r="P43" s="259"/>
      <c r="Q43" s="259"/>
      <c r="R43" s="259"/>
      <c r="S43" s="259"/>
      <c r="T43" s="259"/>
    </row>
  </sheetData>
  <sheetProtection selectLockedCells="1" selectUnlockedCells="1"/>
  <mergeCells count="3">
    <mergeCell ref="H13:H29"/>
    <mergeCell ref="L7:N8"/>
    <mergeCell ref="B2:D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>
          <x14:formula1>
            <xm:f>'DB H'!$A$4:$A$33</xm:f>
          </x14:formula1>
          <xm:sqref>D20:D22</xm:sqref>
        </x14:dataValidation>
        <x14:dataValidation type="list" operator="equal" allowBlank="1">
          <x14:formula1>
            <xm:f>'DB E'!$A$4:$A$16</xm:f>
          </x14:formula1>
          <xm:sqref>D13:D16</xm:sqref>
        </x14:dataValidation>
        <x14:dataValidation type="list" operator="equal" allowBlank="1">
          <x14:formula1>
            <xm:f>'DB E'!$A$5:$A$16</xm:f>
          </x14:formula1>
          <x14:formula2>
            <xm:f>0</xm:f>
          </x14:formula2>
          <xm:sqref>D13:D16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53"/>
  </sheetPr>
  <dimension ref="A1:S41"/>
  <sheetViews>
    <sheetView zoomScale="85" zoomScaleNormal="85" workbookViewId="0">
      <selection activeCell="N2" sqref="N2"/>
    </sheetView>
  </sheetViews>
  <sheetFormatPr defaultColWidth="11.5703125" defaultRowHeight="12.75" x14ac:dyDescent="0.2"/>
  <cols>
    <col min="2" max="3" width="4.42578125" customWidth="1"/>
    <col min="4" max="4" width="42.140625" customWidth="1"/>
    <col min="5" max="6" width="13.85546875" customWidth="1"/>
    <col min="7" max="7" width="6.7109375" customWidth="1"/>
    <col min="8" max="8" width="13.85546875" customWidth="1"/>
    <col min="9" max="9" width="6.7109375" customWidth="1"/>
    <col min="10" max="10" width="16.42578125" customWidth="1"/>
    <col min="11" max="15" width="6.7109375" customWidth="1"/>
    <col min="16" max="16" width="34.140625" customWidth="1"/>
    <col min="17" max="17" width="4.42578125" customWidth="1"/>
  </cols>
  <sheetData>
    <row r="1" spans="1:19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</row>
    <row r="2" spans="1:19" ht="20.100000000000001" customHeight="1" x14ac:dyDescent="0.2">
      <c r="A2" s="259"/>
      <c r="B2" s="441" t="s">
        <v>382</v>
      </c>
      <c r="C2" s="441"/>
      <c r="D2" s="441"/>
      <c r="E2" s="2" t="s">
        <v>10</v>
      </c>
      <c r="G2" s="4"/>
      <c r="I2" s="3">
        <v>1</v>
      </c>
      <c r="J2" s="6" t="s">
        <v>40</v>
      </c>
      <c r="L2" s="56"/>
      <c r="M2" s="259"/>
      <c r="N2" s="259"/>
      <c r="O2" s="259"/>
      <c r="P2" s="259"/>
      <c r="Q2" s="259"/>
      <c r="R2" s="259"/>
      <c r="S2" s="259"/>
    </row>
    <row r="3" spans="1:19" ht="20.100000000000001" customHeight="1" x14ac:dyDescent="0.2">
      <c r="A3" s="259"/>
      <c r="B3" s="441"/>
      <c r="C3" s="441"/>
      <c r="D3" s="441"/>
      <c r="E3" s="2" t="s">
        <v>12</v>
      </c>
      <c r="G3" s="3"/>
      <c r="I3" s="3">
        <f>SUM(J13:J29)/1000</f>
        <v>0.24099321000000007</v>
      </c>
      <c r="J3" s="6" t="s">
        <v>41</v>
      </c>
      <c r="L3" s="56"/>
      <c r="M3" s="259"/>
      <c r="N3" s="259"/>
      <c r="O3" s="259"/>
      <c r="P3" s="259"/>
      <c r="Q3" s="259"/>
      <c r="R3" s="259"/>
      <c r="S3" s="259"/>
    </row>
    <row r="4" spans="1:19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</row>
    <row r="5" spans="1:19" x14ac:dyDescent="0.2">
      <c r="A5" s="259"/>
      <c r="B5" s="1"/>
      <c r="C5" s="1"/>
      <c r="D5" s="7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259"/>
      <c r="S5" s="259"/>
    </row>
    <row r="6" spans="1:19" x14ac:dyDescent="0.2">
      <c r="A6" s="259"/>
      <c r="B6" s="1"/>
      <c r="C6" s="234"/>
      <c r="D6" s="233"/>
      <c r="E6" s="233"/>
      <c r="F6" s="233"/>
      <c r="G6" s="234"/>
      <c r="H6" s="234"/>
      <c r="I6" s="234"/>
      <c r="J6" s="233"/>
      <c r="K6" s="233"/>
      <c r="L6" s="56"/>
      <c r="M6" s="56"/>
      <c r="N6" s="56"/>
      <c r="O6" s="233"/>
      <c r="P6" s="233"/>
      <c r="Q6" s="1"/>
      <c r="R6" s="259"/>
      <c r="S6" s="259"/>
    </row>
    <row r="7" spans="1:19" x14ac:dyDescent="0.2">
      <c r="A7" s="259"/>
      <c r="B7" s="1"/>
      <c r="C7" s="234"/>
      <c r="D7" s="233"/>
      <c r="E7" s="233"/>
      <c r="F7" s="233"/>
      <c r="G7" s="234"/>
      <c r="H7" s="234"/>
      <c r="I7" s="234"/>
      <c r="J7" s="233"/>
      <c r="K7" s="233"/>
      <c r="L7" s="495" t="s">
        <v>14</v>
      </c>
      <c r="M7" s="495"/>
      <c r="N7" s="495"/>
      <c r="O7" s="233"/>
      <c r="P7" s="233"/>
      <c r="Q7" s="1"/>
      <c r="R7" s="259"/>
      <c r="S7" s="259"/>
    </row>
    <row r="8" spans="1:19" x14ac:dyDescent="0.2">
      <c r="A8" s="259"/>
      <c r="B8" s="1"/>
      <c r="C8" s="234"/>
      <c r="D8" s="233"/>
      <c r="E8" s="233"/>
      <c r="F8" s="233"/>
      <c r="G8" s="234"/>
      <c r="H8" s="234"/>
      <c r="I8" s="234"/>
      <c r="J8" s="233"/>
      <c r="K8" s="233"/>
      <c r="L8" s="495"/>
      <c r="M8" s="495"/>
      <c r="N8" s="495"/>
      <c r="O8" s="233"/>
      <c r="P8" s="233"/>
      <c r="Q8" s="1"/>
      <c r="R8" s="259"/>
      <c r="S8" s="259"/>
    </row>
    <row r="9" spans="1:19" x14ac:dyDescent="0.2">
      <c r="A9" s="259"/>
      <c r="B9" s="38"/>
      <c r="C9" s="234"/>
      <c r="D9" s="233"/>
      <c r="E9" s="233"/>
      <c r="F9" s="233"/>
      <c r="G9" s="234"/>
      <c r="H9" s="234"/>
      <c r="I9" s="234"/>
      <c r="J9" s="233"/>
      <c r="K9" s="233"/>
      <c r="L9" s="44" t="s">
        <v>18</v>
      </c>
      <c r="M9" s="44" t="s">
        <v>19</v>
      </c>
      <c r="N9" s="44" t="s">
        <v>20</v>
      </c>
      <c r="O9" s="233"/>
      <c r="P9" s="233"/>
      <c r="Q9" s="1"/>
      <c r="R9" s="259"/>
      <c r="S9" s="259"/>
    </row>
    <row r="10" spans="1:19" x14ac:dyDescent="0.2">
      <c r="A10" s="259"/>
      <c r="B10" s="38"/>
      <c r="C10" s="234"/>
      <c r="D10" s="233"/>
      <c r="E10" s="233"/>
      <c r="F10" s="233"/>
      <c r="G10" s="234"/>
      <c r="H10" s="234"/>
      <c r="I10" s="234"/>
      <c r="J10" s="233"/>
      <c r="K10" s="233"/>
      <c r="L10" s="44"/>
      <c r="M10" s="44"/>
      <c r="N10" s="44"/>
      <c r="O10" s="233"/>
      <c r="P10" s="233"/>
      <c r="Q10" s="1"/>
      <c r="R10" s="259"/>
      <c r="S10" s="259"/>
    </row>
    <row r="11" spans="1:19" x14ac:dyDescent="0.2">
      <c r="A11" s="259"/>
      <c r="B11" s="38"/>
      <c r="C11" s="233"/>
      <c r="D11" s="65" t="s">
        <v>36</v>
      </c>
      <c r="E11" s="65" t="s">
        <v>21</v>
      </c>
      <c r="F11" s="66" t="s">
        <v>16</v>
      </c>
      <c r="G11" s="241"/>
      <c r="H11" s="56"/>
      <c r="I11" s="56"/>
      <c r="J11" s="296" t="s">
        <v>406</v>
      </c>
      <c r="K11" s="57"/>
      <c r="L11" s="56"/>
      <c r="M11" s="56"/>
      <c r="N11" s="56"/>
      <c r="O11" s="233"/>
      <c r="P11" s="58" t="s">
        <v>22</v>
      </c>
      <c r="Q11" s="1"/>
      <c r="R11" s="259"/>
      <c r="S11" s="259"/>
    </row>
    <row r="12" spans="1:19" x14ac:dyDescent="0.2">
      <c r="A12" s="259"/>
      <c r="B12" s="38"/>
      <c r="C12" s="233"/>
      <c r="D12" s="65"/>
      <c r="E12" s="65"/>
      <c r="F12" s="66"/>
      <c r="G12" s="241"/>
      <c r="H12" s="56"/>
      <c r="I12" s="56"/>
      <c r="J12" s="296" t="s">
        <v>423</v>
      </c>
      <c r="K12" s="57"/>
      <c r="L12" s="56"/>
      <c r="M12" s="56"/>
      <c r="N12" s="56"/>
      <c r="O12" s="233"/>
      <c r="P12" s="58"/>
      <c r="Q12" s="1"/>
      <c r="R12" s="259"/>
      <c r="S12" s="259"/>
    </row>
    <row r="13" spans="1:19" ht="12.75" customHeight="1" x14ac:dyDescent="0.2">
      <c r="A13" s="259"/>
      <c r="B13" s="1"/>
      <c r="C13" s="234"/>
      <c r="D13" s="221" t="s">
        <v>37</v>
      </c>
      <c r="E13" s="363">
        <f>7.4*0.45</f>
        <v>3.33</v>
      </c>
      <c r="F13" s="50" t="str">
        <f>IF(D13=0," ",VLOOKUP(D13,'DB E'!$A$5:$H$29,2,0))</f>
        <v>MJ</v>
      </c>
      <c r="G13" s="56"/>
      <c r="H13" s="508" t="s">
        <v>224</v>
      </c>
      <c r="I13" s="56"/>
      <c r="J13" s="53">
        <f>SUMPRODUCT(L13:N13,L$33:N$33)*E13</f>
        <v>240.99321000000006</v>
      </c>
      <c r="K13" s="299"/>
      <c r="L13" s="49">
        <f>IF($D13=0," ",VLOOKUP(D13,'DB E'!$A$5:$H$29,5,0))</f>
        <v>66.45427777777779</v>
      </c>
      <c r="M13" s="42">
        <f>IF($D13=0," ",VLOOKUP(D13,'DB E'!$A$5:$H$29,6,0))</f>
        <v>0.20744444444444443</v>
      </c>
      <c r="N13" s="42">
        <f>IF($D13=0," ",VLOOKUP(D13,'DB E'!$A$5:$H$29,7,0))</f>
        <v>3.6111111111111109E-4</v>
      </c>
      <c r="O13" s="233"/>
      <c r="P13" s="73"/>
      <c r="Q13" s="1"/>
      <c r="R13" s="259"/>
      <c r="S13" s="259"/>
    </row>
    <row r="14" spans="1:19" ht="12.75" customHeight="1" x14ac:dyDescent="0.2">
      <c r="A14" s="259"/>
      <c r="B14" s="1"/>
      <c r="C14" s="234"/>
      <c r="D14" s="222" t="s">
        <v>37</v>
      </c>
      <c r="E14" s="364"/>
      <c r="F14" s="51" t="str">
        <f>IF(D14=0," ",VLOOKUP(D14,'DB E'!$A$5:$H$29,2,0))</f>
        <v>MJ</v>
      </c>
      <c r="G14" s="56"/>
      <c r="H14" s="509"/>
      <c r="I14" s="56"/>
      <c r="J14" s="54">
        <f>SUMPRODUCT(L14:N14,L$33:N$33)*E14</f>
        <v>0</v>
      </c>
      <c r="K14" s="298"/>
      <c r="L14" s="49">
        <f>IF($D14=0," ",VLOOKUP(D14,'DB E'!$A$5:$H$29,5,0))</f>
        <v>66.45427777777779</v>
      </c>
      <c r="M14" s="42">
        <f>IF($D14=0," ",VLOOKUP(D14,'DB E'!$A$5:$H$29,6,0))</f>
        <v>0.20744444444444443</v>
      </c>
      <c r="N14" s="42">
        <f>IF($D14=0," ",VLOOKUP(D14,'DB E'!$A$5:$H$29,7,0))</f>
        <v>3.6111111111111109E-4</v>
      </c>
      <c r="O14" s="233"/>
      <c r="P14" s="73"/>
      <c r="Q14" s="1"/>
      <c r="R14" s="259"/>
      <c r="S14" s="259"/>
    </row>
    <row r="15" spans="1:19" ht="12.75" customHeight="1" x14ac:dyDescent="0.2">
      <c r="A15" s="259"/>
      <c r="B15" s="1"/>
      <c r="C15" s="234"/>
      <c r="D15" s="222" t="s">
        <v>37</v>
      </c>
      <c r="E15" s="364"/>
      <c r="F15" s="51" t="str">
        <f>IF(D15=0," ",VLOOKUP(D15,'DB E'!$A$5:$H$29,2,0))</f>
        <v>MJ</v>
      </c>
      <c r="G15" s="56"/>
      <c r="H15" s="509"/>
      <c r="I15" s="56"/>
      <c r="J15" s="54">
        <f>SUMPRODUCT(L15:N15,L$33:N$33)*E15</f>
        <v>0</v>
      </c>
      <c r="K15" s="56"/>
      <c r="L15" s="49">
        <f>IF($D15=0," ",VLOOKUP(D15,'DB E'!$A$5:$H$29,5,0))</f>
        <v>66.45427777777779</v>
      </c>
      <c r="M15" s="42">
        <f>IF($D15=0," ",VLOOKUP(D15,'DB E'!$A$5:$H$29,6,0))</f>
        <v>0.20744444444444443</v>
      </c>
      <c r="N15" s="42">
        <f>IF($D15=0," ",VLOOKUP(D15,'DB E'!$A$5:$H$29,7,0))</f>
        <v>3.6111111111111109E-4</v>
      </c>
      <c r="O15" s="233"/>
      <c r="P15" s="73"/>
      <c r="Q15" s="1"/>
      <c r="R15" s="259"/>
      <c r="S15" s="259"/>
    </row>
    <row r="16" spans="1:19" ht="12.75" customHeight="1" x14ac:dyDescent="0.2">
      <c r="A16" s="259"/>
      <c r="B16" s="1"/>
      <c r="C16" s="234"/>
      <c r="D16" s="223" t="s">
        <v>37</v>
      </c>
      <c r="E16" s="365"/>
      <c r="F16" s="52" t="str">
        <f>IF(D16=0," ",VLOOKUP(D16,'DB E'!$A$5:$H$29,2,0))</f>
        <v>MJ</v>
      </c>
      <c r="G16" s="56"/>
      <c r="H16" s="509"/>
      <c r="I16" s="56"/>
      <c r="J16" s="55">
        <f>SUMPRODUCT(L16:N16,L$33:N$33)*E16</f>
        <v>0</v>
      </c>
      <c r="K16" s="56"/>
      <c r="L16" s="49">
        <f>IF($D16=0," ",VLOOKUP(D16,'DB E'!$A$5:$H$29,5,0))</f>
        <v>66.45427777777779</v>
      </c>
      <c r="M16" s="42">
        <f>IF($D16=0," ",VLOOKUP(D16,'DB E'!$A$5:$H$29,6,0))</f>
        <v>0.20744444444444443</v>
      </c>
      <c r="N16" s="42">
        <f>IF($D16=0," ",VLOOKUP(D16,'DB E'!$A$5:$H$29,7,0))</f>
        <v>3.6111111111111109E-4</v>
      </c>
      <c r="O16" s="233"/>
      <c r="P16" s="73"/>
      <c r="Q16" s="1"/>
      <c r="R16" s="259"/>
      <c r="S16" s="259"/>
    </row>
    <row r="17" spans="1:19" ht="12.75" customHeight="1" x14ac:dyDescent="0.2">
      <c r="A17" s="259"/>
      <c r="B17" s="1"/>
      <c r="C17" s="234"/>
      <c r="D17" s="56"/>
      <c r="E17" s="56"/>
      <c r="F17" s="56"/>
      <c r="G17" s="56"/>
      <c r="H17" s="509"/>
      <c r="I17" s="56"/>
      <c r="J17" s="56"/>
      <c r="K17" s="298"/>
      <c r="L17" s="56"/>
      <c r="M17" s="56"/>
      <c r="N17" s="56"/>
      <c r="O17" s="233"/>
      <c r="P17" s="300"/>
      <c r="Q17" s="1"/>
      <c r="R17" s="259"/>
      <c r="S17" s="259"/>
    </row>
    <row r="18" spans="1:19" ht="12.75" customHeight="1" x14ac:dyDescent="0.2">
      <c r="A18" s="259"/>
      <c r="B18" s="1"/>
      <c r="C18" s="234"/>
      <c r="D18" s="56"/>
      <c r="E18" s="56"/>
      <c r="F18" s="56"/>
      <c r="G18" s="56"/>
      <c r="H18" s="509"/>
      <c r="I18" s="56"/>
      <c r="J18" s="56"/>
      <c r="K18" s="56"/>
      <c r="L18" s="56"/>
      <c r="M18" s="56"/>
      <c r="N18" s="56"/>
      <c r="O18" s="233"/>
      <c r="P18" s="56"/>
      <c r="Q18" s="1"/>
      <c r="R18" s="259"/>
      <c r="S18" s="259"/>
    </row>
    <row r="19" spans="1:19" ht="12.75" customHeight="1" x14ac:dyDescent="0.2">
      <c r="A19" s="259"/>
      <c r="B19" s="1"/>
      <c r="C19" s="234"/>
      <c r="D19" s="65" t="s">
        <v>29</v>
      </c>
      <c r="E19" s="65"/>
      <c r="F19" s="66"/>
      <c r="G19" s="56"/>
      <c r="H19" s="509"/>
      <c r="I19" s="56"/>
      <c r="J19" s="56"/>
      <c r="K19" s="56"/>
      <c r="L19" s="56"/>
      <c r="M19" s="56"/>
      <c r="N19" s="56"/>
      <c r="O19" s="233"/>
      <c r="P19" s="56"/>
      <c r="Q19" s="1"/>
      <c r="R19" s="259"/>
      <c r="S19" s="259"/>
    </row>
    <row r="20" spans="1:19" ht="12.75" customHeight="1" x14ac:dyDescent="0.2">
      <c r="A20" s="259"/>
      <c r="B20" s="1"/>
      <c r="C20" s="234"/>
      <c r="D20" s="221" t="s">
        <v>380</v>
      </c>
      <c r="E20" s="363"/>
      <c r="F20" s="50" t="str">
        <f>IF(D20=0," ",VLOOKUP(D20,'DB H'!$A$5:$F$41,2,0))</f>
        <v xml:space="preserve">kg  </v>
      </c>
      <c r="G20" s="56"/>
      <c r="H20" s="509"/>
      <c r="I20" s="56"/>
      <c r="J20" s="53">
        <f>SUMPRODUCT(L20:N20,L$33:N$33)*E20</f>
        <v>0</v>
      </c>
      <c r="K20" s="56"/>
      <c r="L20" s="43">
        <f>VLOOKUP(D20,'DB H'!$A$5:$F$41,3,0)</f>
        <v>246.59010000000001</v>
      </c>
      <c r="M20" s="42">
        <f>VLOOKUP(D20,'DB H'!$A$5:$F$41,4,0)</f>
        <v>0.82520000000000004</v>
      </c>
      <c r="N20" s="42">
        <f>VLOOKUP(D20,'DB H'!$A$5:$F$41,5,0)</f>
        <v>5.4999999999999997E-3</v>
      </c>
      <c r="O20" s="233"/>
      <c r="P20" s="73"/>
      <c r="Q20" s="1"/>
      <c r="R20" s="259"/>
      <c r="S20" s="259"/>
    </row>
    <row r="21" spans="1:19" ht="12.75" customHeight="1" x14ac:dyDescent="0.2">
      <c r="A21" s="259"/>
      <c r="B21" s="1"/>
      <c r="C21" s="234"/>
      <c r="D21" s="222" t="s">
        <v>30</v>
      </c>
      <c r="E21" s="364"/>
      <c r="F21" s="51" t="str">
        <f>IF(D21=0," ",VLOOKUP(D21,'DB H'!$A$5:$F$41,2,0))</f>
        <v xml:space="preserve">kg  </v>
      </c>
      <c r="G21" s="56"/>
      <c r="H21" s="509"/>
      <c r="I21" s="56"/>
      <c r="J21" s="54">
        <f>SUMPRODUCT(L21:N21,L$33:N$33)*E21</f>
        <v>0</v>
      </c>
      <c r="K21" s="56"/>
      <c r="L21" s="43">
        <f>VLOOKUP(D21,'DB H'!$A$5:$F$41,3,0)</f>
        <v>12480.146500000001</v>
      </c>
      <c r="M21" s="42">
        <f>VLOOKUP(D21,'DB H'!$A$5:$F$41,4,0)</f>
        <v>36.128700000000002</v>
      </c>
      <c r="N21" s="42">
        <f>VLOOKUP(D21,'DB H'!$A$5:$F$41,5,0)</f>
        <v>1.7212000000000001</v>
      </c>
      <c r="O21" s="233"/>
      <c r="P21" s="73"/>
      <c r="Q21" s="1"/>
      <c r="R21" s="259"/>
      <c r="S21" s="259"/>
    </row>
    <row r="22" spans="1:19" ht="12.75" customHeight="1" x14ac:dyDescent="0.2">
      <c r="A22" s="259"/>
      <c r="B22" s="1"/>
      <c r="C22" s="234"/>
      <c r="D22" s="223" t="s">
        <v>30</v>
      </c>
      <c r="E22" s="365"/>
      <c r="F22" s="52" t="str">
        <f>IF(D22=0," ",VLOOKUP(D22,'DB H'!$A$5:$F$41,2,0))</f>
        <v xml:space="preserve">kg  </v>
      </c>
      <c r="G22" s="56"/>
      <c r="H22" s="509"/>
      <c r="I22" s="56"/>
      <c r="J22" s="55">
        <f>SUMPRODUCT(L22:N22,L$33:N$33)*E22</f>
        <v>0</v>
      </c>
      <c r="K22" s="56"/>
      <c r="L22" s="43"/>
      <c r="M22" s="42"/>
      <c r="N22" s="42"/>
      <c r="O22" s="233"/>
      <c r="P22" s="73"/>
      <c r="Q22" s="1"/>
      <c r="R22" s="259"/>
      <c r="S22" s="259"/>
    </row>
    <row r="23" spans="1:19" ht="12.75" customHeight="1" x14ac:dyDescent="0.2">
      <c r="A23" s="259"/>
      <c r="B23" s="1"/>
      <c r="C23" s="234"/>
      <c r="D23" s="56"/>
      <c r="E23" s="56"/>
      <c r="F23" s="56"/>
      <c r="G23" s="56"/>
      <c r="H23" s="509"/>
      <c r="I23" s="56"/>
      <c r="J23" s="56"/>
      <c r="K23" s="56"/>
      <c r="L23" s="56"/>
      <c r="M23" s="56"/>
      <c r="N23" s="56"/>
      <c r="O23" s="233"/>
      <c r="P23" s="56"/>
      <c r="Q23" s="1"/>
      <c r="R23" s="259"/>
      <c r="S23" s="259"/>
    </row>
    <row r="24" spans="1:19" ht="12.75" customHeight="1" x14ac:dyDescent="0.2">
      <c r="A24" s="259"/>
      <c r="B24" s="1"/>
      <c r="C24" s="234"/>
      <c r="D24" s="56"/>
      <c r="E24" s="56"/>
      <c r="F24" s="56"/>
      <c r="G24" s="56"/>
      <c r="H24" s="509"/>
      <c r="I24" s="56"/>
      <c r="J24" s="56"/>
      <c r="K24" s="56"/>
      <c r="L24" s="56"/>
      <c r="M24" s="56"/>
      <c r="N24" s="56"/>
      <c r="O24" s="233"/>
      <c r="P24" s="56"/>
      <c r="Q24" s="1"/>
      <c r="R24" s="259"/>
      <c r="S24" s="259"/>
    </row>
    <row r="25" spans="1:19" ht="12.75" customHeight="1" x14ac:dyDescent="0.2">
      <c r="A25" s="259"/>
      <c r="B25" s="1"/>
      <c r="C25" s="234"/>
      <c r="D25" s="65" t="s">
        <v>38</v>
      </c>
      <c r="E25" s="65"/>
      <c r="F25" s="66"/>
      <c r="G25" s="56"/>
      <c r="H25" s="509"/>
      <c r="I25" s="56"/>
      <c r="J25" s="56"/>
      <c r="K25" s="56"/>
      <c r="L25" s="56"/>
      <c r="M25" s="56"/>
      <c r="N25" s="56"/>
      <c r="O25" s="233"/>
      <c r="P25" s="56"/>
      <c r="Q25" s="1"/>
      <c r="R25" s="259"/>
      <c r="S25" s="259"/>
    </row>
    <row r="26" spans="1:19" ht="12.75" customHeight="1" x14ac:dyDescent="0.2">
      <c r="A26" s="259"/>
      <c r="B26" s="1"/>
      <c r="C26" s="234"/>
      <c r="D26" s="221"/>
      <c r="E26" s="56"/>
      <c r="F26" s="56"/>
      <c r="G26" s="56"/>
      <c r="H26" s="509"/>
      <c r="I26" s="56"/>
      <c r="J26" s="53">
        <f>SUMPRODUCT(L26:N26,L$47:N$47)</f>
        <v>0</v>
      </c>
      <c r="K26" s="56"/>
      <c r="L26" s="49" t="str">
        <f>IF($D26=0," ",VLOOKUP(D26,'DB E'!$A$5:$H$29,5,0))</f>
        <v xml:space="preserve"> </v>
      </c>
      <c r="M26" s="42" t="str">
        <f>IF($D26=0," ",VLOOKUP(D26,'DB E'!$A$5:$H$29,6,0))</f>
        <v xml:space="preserve"> </v>
      </c>
      <c r="N26" s="42" t="str">
        <f>IF($D26=0," ",VLOOKUP(D26,'DB E'!$A$5:$H$29,7,0))</f>
        <v xml:space="preserve"> </v>
      </c>
      <c r="O26" s="233"/>
      <c r="P26" s="73"/>
      <c r="Q26" s="1"/>
      <c r="R26" s="259"/>
      <c r="S26" s="259"/>
    </row>
    <row r="27" spans="1:19" ht="12.75" customHeight="1" x14ac:dyDescent="0.2">
      <c r="A27" s="259"/>
      <c r="B27" s="1"/>
      <c r="C27" s="234"/>
      <c r="D27" s="222"/>
      <c r="E27" s="56"/>
      <c r="F27" s="56"/>
      <c r="G27" s="56"/>
      <c r="H27" s="509"/>
      <c r="I27" s="56"/>
      <c r="J27" s="54">
        <f t="shared" ref="J27:J29" si="0">SUMPRODUCT(L27:N27,L$47:N$47)</f>
        <v>0</v>
      </c>
      <c r="K27" s="56"/>
      <c r="L27" s="49" t="str">
        <f>IF($D27=0," ",VLOOKUP(D27,'DB E'!$A$5:$H$29,5,0))</f>
        <v xml:space="preserve"> </v>
      </c>
      <c r="M27" s="42" t="str">
        <f>IF($D27=0," ",VLOOKUP(D27,'DB E'!$A$5:$H$29,6,0))</f>
        <v xml:space="preserve"> </v>
      </c>
      <c r="N27" s="42" t="str">
        <f>IF($D27=0," ",VLOOKUP(D27,'DB E'!$A$5:$H$29,7,0))</f>
        <v xml:space="preserve"> </v>
      </c>
      <c r="O27" s="233"/>
      <c r="P27" s="73"/>
      <c r="Q27" s="1"/>
      <c r="R27" s="259"/>
      <c r="S27" s="259"/>
    </row>
    <row r="28" spans="1:19" ht="12.75" customHeight="1" x14ac:dyDescent="0.2">
      <c r="A28" s="259"/>
      <c r="B28" s="1"/>
      <c r="C28" s="234"/>
      <c r="D28" s="222"/>
      <c r="E28" s="56"/>
      <c r="F28" s="56"/>
      <c r="G28" s="56"/>
      <c r="H28" s="509"/>
      <c r="I28" s="56"/>
      <c r="J28" s="54">
        <f t="shared" si="0"/>
        <v>0</v>
      </c>
      <c r="K28" s="298"/>
      <c r="L28" s="49" t="str">
        <f>IF($D28=0," ",VLOOKUP(D28,'DB E'!$A$5:$H$29,5,0))</f>
        <v xml:space="preserve"> </v>
      </c>
      <c r="M28" s="42" t="str">
        <f>IF($D28=0," ",VLOOKUP(D28,'DB E'!$A$5:$H$29,6,0))</f>
        <v xml:space="preserve"> </v>
      </c>
      <c r="N28" s="42" t="str">
        <f>IF($D28=0," ",VLOOKUP(D28,'DB E'!$A$5:$H$29,7,0))</f>
        <v xml:space="preserve"> </v>
      </c>
      <c r="O28" s="233"/>
      <c r="P28" s="73"/>
      <c r="Q28" s="1"/>
      <c r="R28" s="259"/>
      <c r="S28" s="259"/>
    </row>
    <row r="29" spans="1:19" ht="12.75" customHeight="1" x14ac:dyDescent="0.2">
      <c r="A29" s="259"/>
      <c r="B29" s="1"/>
      <c r="C29" s="234"/>
      <c r="D29" s="223"/>
      <c r="E29" s="56"/>
      <c r="F29" s="56"/>
      <c r="G29" s="56"/>
      <c r="H29" s="510"/>
      <c r="I29" s="56"/>
      <c r="J29" s="55">
        <f t="shared" si="0"/>
        <v>0</v>
      </c>
      <c r="K29" s="56"/>
      <c r="L29" s="49" t="str">
        <f>IF($D29=0," ",VLOOKUP(D29,'DB E'!$A$5:$H$29,5,0))</f>
        <v xml:space="preserve"> </v>
      </c>
      <c r="M29" s="42" t="str">
        <f>IF($D29=0," ",VLOOKUP(D29,'DB E'!$A$5:$H$29,6,0))</f>
        <v xml:space="preserve"> </v>
      </c>
      <c r="N29" s="42" t="str">
        <f>IF($D29=0," ",VLOOKUP(D29,'DB E'!$A$5:$H$29,7,0))</f>
        <v xml:space="preserve"> </v>
      </c>
      <c r="O29" s="233"/>
      <c r="P29" s="73"/>
      <c r="Q29" s="1"/>
      <c r="R29" s="259"/>
      <c r="S29" s="259"/>
    </row>
    <row r="30" spans="1:19" ht="12.75" customHeight="1" x14ac:dyDescent="0.2">
      <c r="A30" s="259"/>
      <c r="B30" s="1"/>
      <c r="C30" s="234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233"/>
      <c r="P30" s="56"/>
      <c r="Q30" s="1"/>
      <c r="R30" s="259"/>
      <c r="S30" s="259"/>
    </row>
    <row r="31" spans="1:19" x14ac:dyDescent="0.2">
      <c r="A31" s="259"/>
      <c r="B31" s="1"/>
      <c r="C31" s="234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1"/>
      <c r="R31" s="259"/>
      <c r="S31" s="259"/>
    </row>
    <row r="32" spans="1:19" x14ac:dyDescent="0.2">
      <c r="A32" s="259"/>
      <c r="B32" s="1"/>
      <c r="C32" s="234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1"/>
      <c r="R32" s="259"/>
      <c r="S32" s="259"/>
    </row>
    <row r="33" spans="1:19" x14ac:dyDescent="0.2">
      <c r="A33" s="259"/>
      <c r="B33" s="1"/>
      <c r="C33" s="1"/>
      <c r="D33" s="5" t="s">
        <v>411</v>
      </c>
      <c r="E33" s="5"/>
      <c r="F33" s="1"/>
      <c r="G33" s="1"/>
      <c r="H33" s="1"/>
      <c r="I33" s="1"/>
      <c r="J33" s="1"/>
      <c r="K33" s="1"/>
      <c r="L33" s="37">
        <f>VLOOKUP(L9,GWP!$A$4:$B$53,2,0)</f>
        <v>1</v>
      </c>
      <c r="M33" s="37">
        <f>VLOOKUP(M9,GWP!$A$4:$B$53,2,0)</f>
        <v>28</v>
      </c>
      <c r="N33" s="37">
        <f>VLOOKUP(N9,GWP!$A$4:$B$53,2,0)</f>
        <v>298</v>
      </c>
      <c r="O33" s="1"/>
      <c r="P33" s="1"/>
      <c r="Q33" s="1"/>
      <c r="R33" s="259"/>
      <c r="S33" s="259"/>
    </row>
    <row r="34" spans="1:19" x14ac:dyDescent="0.2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</row>
    <row r="35" spans="1:19" x14ac:dyDescent="0.2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</row>
    <row r="36" spans="1:19" x14ac:dyDescent="0.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</row>
    <row r="37" spans="1:19" x14ac:dyDescent="0.2">
      <c r="A37" s="259"/>
      <c r="B37" s="259"/>
      <c r="C37" s="259"/>
      <c r="D37" s="259"/>
      <c r="E37" s="259"/>
      <c r="F37" s="259"/>
      <c r="G37" s="259"/>
      <c r="H37" s="259"/>
      <c r="I37" s="259"/>
      <c r="J37" s="259"/>
      <c r="K37" s="259"/>
      <c r="L37" s="259"/>
      <c r="M37" s="259"/>
      <c r="N37" s="259"/>
      <c r="O37" s="259"/>
      <c r="P37" s="259"/>
      <c r="Q37" s="259"/>
      <c r="R37" s="259"/>
      <c r="S37" s="259"/>
    </row>
    <row r="38" spans="1:19" x14ac:dyDescent="0.2">
      <c r="A38" s="259"/>
      <c r="B38" s="259"/>
      <c r="C38" s="259"/>
      <c r="D38" s="259"/>
      <c r="E38" s="259"/>
      <c r="F38" s="259"/>
      <c r="G38" s="259"/>
      <c r="H38" s="259"/>
      <c r="I38" s="259"/>
      <c r="J38" s="259"/>
      <c r="K38" s="259"/>
      <c r="L38" s="259"/>
      <c r="M38" s="259"/>
      <c r="N38" s="259"/>
      <c r="O38" s="259"/>
      <c r="P38" s="259"/>
      <c r="Q38" s="259"/>
      <c r="R38" s="259"/>
      <c r="S38" s="259"/>
    </row>
    <row r="39" spans="1:19" x14ac:dyDescent="0.2">
      <c r="A39" s="259"/>
      <c r="B39" s="259"/>
      <c r="C39" s="259"/>
      <c r="D39" s="259"/>
      <c r="E39" s="259"/>
      <c r="F39" s="259"/>
      <c r="G39" s="259"/>
      <c r="H39" s="259"/>
      <c r="I39" s="259"/>
      <c r="J39" s="259"/>
      <c r="K39" s="259"/>
      <c r="L39" s="259"/>
      <c r="M39" s="259"/>
      <c r="N39" s="259"/>
      <c r="O39" s="259"/>
      <c r="P39" s="259"/>
      <c r="Q39" s="259"/>
      <c r="R39" s="259"/>
      <c r="S39" s="259"/>
    </row>
    <row r="40" spans="1:19" x14ac:dyDescent="0.2">
      <c r="A40" s="259"/>
      <c r="B40" s="259"/>
      <c r="C40" s="259"/>
      <c r="D40" s="259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  <c r="Q40" s="259"/>
      <c r="R40" s="259"/>
      <c r="S40" s="259"/>
    </row>
    <row r="41" spans="1:19" x14ac:dyDescent="0.2">
      <c r="A41" s="259"/>
      <c r="B41" s="259"/>
      <c r="C41" s="259"/>
      <c r="D41" s="259"/>
      <c r="E41" s="259"/>
      <c r="F41" s="259"/>
      <c r="G41" s="259"/>
      <c r="H41" s="259"/>
      <c r="I41" s="259"/>
      <c r="J41" s="259"/>
      <c r="K41" s="259"/>
      <c r="L41" s="259"/>
      <c r="M41" s="259"/>
      <c r="N41" s="259"/>
      <c r="O41" s="259"/>
      <c r="P41" s="259"/>
      <c r="Q41" s="259"/>
      <c r="R41" s="259"/>
      <c r="S41" s="259"/>
    </row>
  </sheetData>
  <sheetProtection selectLockedCells="1" selectUnlockedCells="1"/>
  <mergeCells count="3">
    <mergeCell ref="L7:N8"/>
    <mergeCell ref="H13:H29"/>
    <mergeCell ref="B2:D3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operator="equal" allowBlank="1">
          <x14:formula1>
            <xm:f>'[2]DB H'!#REF!</xm:f>
          </x14:formula1>
          <x14:formula2>
            <xm:f>0</xm:f>
          </x14:formula2>
          <xm:sqref>D21:D22</xm:sqref>
        </x14:dataValidation>
        <x14:dataValidation type="list" operator="equal" allowBlank="1">
          <x14:formula1>
            <xm:f>'DB H'!$A$5:$A$33</xm:f>
          </x14:formula1>
          <xm:sqref>D20</xm:sqref>
        </x14:dataValidation>
        <x14:dataValidation type="list" operator="equal" allowBlank="1">
          <x14:formula1>
            <xm:f>'DB E'!$A$5:$A$16</xm:f>
          </x14:formula1>
          <xm:sqref>D13</xm:sqref>
        </x14:dataValidation>
        <x14:dataValidation type="list" operator="equal" allowBlank="1">
          <x14:formula1>
            <xm:f>'[2]DB E'!#REF!</xm:f>
          </x14:formula1>
          <x14:formula2>
            <xm:f>0</xm:f>
          </x14:formula2>
          <xm:sqref>D14:D16</xm:sqref>
        </x14:dataValidation>
        <x14:dataValidation type="list" operator="equal" allowBlank="1">
          <x14:formula1>
            <xm:f>'DB E'!$A$5:$A$16</xm:f>
          </x14:formula1>
          <x14:formula2>
            <xm:f>0</xm:f>
          </x14:formula2>
          <xm:sqref>D13:D16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3"/>
  </sheetPr>
  <dimension ref="A1:Y36"/>
  <sheetViews>
    <sheetView zoomScale="80" zoomScaleNormal="80" workbookViewId="0">
      <selection activeCell="G21" sqref="G21"/>
    </sheetView>
  </sheetViews>
  <sheetFormatPr defaultColWidth="11.5703125" defaultRowHeight="12.75" x14ac:dyDescent="0.2"/>
  <cols>
    <col min="2" max="3" width="4.5703125" customWidth="1"/>
    <col min="4" max="4" width="73.140625" bestFit="1" customWidth="1"/>
    <col min="5" max="5" width="9.28515625" bestFit="1" customWidth="1"/>
    <col min="6" max="6" width="2.28515625" bestFit="1" customWidth="1"/>
    <col min="7" max="7" width="8.42578125" customWidth="1"/>
    <col min="8" max="8" width="6.7109375" customWidth="1"/>
    <col min="9" max="9" width="14.7109375" customWidth="1"/>
    <col min="10" max="10" width="6.5703125" customWidth="1"/>
    <col min="11" max="11" width="16.140625" bestFit="1" customWidth="1"/>
    <col min="12" max="12" width="4.7109375" customWidth="1"/>
    <col min="13" max="16" width="6.7109375" customWidth="1"/>
    <col min="17" max="17" width="46" customWidth="1"/>
    <col min="18" max="18" width="3.85546875" customWidth="1"/>
  </cols>
  <sheetData>
    <row r="1" spans="1:25" x14ac:dyDescent="0.2">
      <c r="A1" s="259"/>
      <c r="B1" s="259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  <c r="O1" s="259"/>
      <c r="P1" s="259"/>
      <c r="Q1" s="259"/>
      <c r="R1" s="259"/>
      <c r="S1" s="259"/>
      <c r="T1" s="259"/>
      <c r="U1" s="259"/>
      <c r="V1" s="259"/>
      <c r="W1" s="259"/>
      <c r="X1" s="259"/>
      <c r="Y1" s="259"/>
    </row>
    <row r="2" spans="1:25" ht="20.100000000000001" customHeight="1" x14ac:dyDescent="0.2">
      <c r="A2" s="259"/>
      <c r="B2" s="441" t="s">
        <v>221</v>
      </c>
      <c r="C2" s="441"/>
      <c r="D2" s="441"/>
      <c r="E2" s="259"/>
      <c r="F2" s="259"/>
      <c r="G2" s="260"/>
      <c r="H2" s="259"/>
      <c r="I2" s="259"/>
      <c r="J2" s="259"/>
      <c r="K2" s="261"/>
      <c r="L2" s="259"/>
      <c r="M2" s="259"/>
      <c r="N2" s="259"/>
      <c r="O2" s="259"/>
      <c r="P2" s="259"/>
      <c r="Q2" s="259"/>
      <c r="R2" s="259"/>
      <c r="S2" s="259"/>
      <c r="T2" s="259"/>
      <c r="U2" s="259"/>
      <c r="V2" s="259"/>
      <c r="W2" s="259"/>
      <c r="X2" s="259"/>
      <c r="Y2" s="259"/>
    </row>
    <row r="3" spans="1:25" ht="20.100000000000001" customHeight="1" x14ac:dyDescent="0.2">
      <c r="A3" s="259"/>
      <c r="B3" s="441"/>
      <c r="C3" s="441"/>
      <c r="D3" s="441"/>
      <c r="E3" s="259"/>
      <c r="F3" s="259"/>
      <c r="G3" s="2" t="s">
        <v>12</v>
      </c>
      <c r="K3" s="4">
        <f>SUM(K13:K20)/1000</f>
        <v>8.6988387152291749E-2</v>
      </c>
      <c r="L3" s="6" t="s">
        <v>403</v>
      </c>
      <c r="Q3" s="259"/>
      <c r="R3" s="259"/>
      <c r="S3" s="259"/>
      <c r="T3" s="259"/>
      <c r="U3" s="259"/>
      <c r="V3" s="259"/>
      <c r="W3" s="259"/>
      <c r="X3" s="259"/>
      <c r="Y3" s="259"/>
    </row>
    <row r="4" spans="1:25" x14ac:dyDescent="0.2">
      <c r="A4" s="259"/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</row>
    <row r="5" spans="1:25" x14ac:dyDescent="0.2">
      <c r="A5" s="259"/>
      <c r="B5" s="1"/>
      <c r="C5" s="1"/>
      <c r="D5" s="7"/>
      <c r="E5" s="7"/>
      <c r="F5" s="7"/>
      <c r="G5" s="7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259"/>
      <c r="T5" s="259"/>
      <c r="U5" s="259"/>
      <c r="V5" s="259"/>
      <c r="W5" s="259"/>
      <c r="X5" s="259"/>
      <c r="Y5" s="259"/>
    </row>
    <row r="6" spans="1:25" x14ac:dyDescent="0.2">
      <c r="A6" s="259"/>
      <c r="B6" s="1"/>
      <c r="C6" s="234"/>
      <c r="D6" s="233"/>
      <c r="E6" s="233"/>
      <c r="F6" s="233"/>
      <c r="G6" s="233"/>
      <c r="H6" s="234"/>
      <c r="I6" s="234"/>
      <c r="J6" s="234"/>
      <c r="K6" s="233"/>
      <c r="L6" s="233"/>
      <c r="M6" s="56"/>
      <c r="N6" s="56"/>
      <c r="O6" s="56"/>
      <c r="P6" s="233"/>
      <c r="Q6" s="233"/>
      <c r="R6" s="1"/>
      <c r="S6" s="259"/>
      <c r="T6" s="259"/>
      <c r="U6" s="259"/>
      <c r="V6" s="259"/>
      <c r="W6" s="259"/>
      <c r="X6" s="259"/>
      <c r="Y6" s="259"/>
    </row>
    <row r="7" spans="1:25" x14ac:dyDescent="0.2">
      <c r="A7" s="259"/>
      <c r="B7" s="1"/>
      <c r="C7" s="234"/>
      <c r="D7" s="233"/>
      <c r="E7" s="233"/>
      <c r="F7" s="233"/>
      <c r="G7" s="233"/>
      <c r="H7" s="234"/>
      <c r="I7" s="234"/>
      <c r="J7" s="234"/>
      <c r="K7" s="233"/>
      <c r="L7" s="233"/>
      <c r="M7" s="495" t="s">
        <v>14</v>
      </c>
      <c r="N7" s="495"/>
      <c r="O7" s="495"/>
      <c r="P7" s="233"/>
      <c r="Q7" s="59" t="s">
        <v>22</v>
      </c>
      <c r="R7" s="1"/>
      <c r="S7" s="259"/>
      <c r="T7" s="259"/>
      <c r="U7" s="259"/>
      <c r="V7" s="259"/>
      <c r="W7" s="259"/>
      <c r="X7" s="259"/>
      <c r="Y7" s="259"/>
    </row>
    <row r="8" spans="1:25" x14ac:dyDescent="0.2">
      <c r="A8" s="259"/>
      <c r="B8" s="1"/>
      <c r="C8" s="234"/>
      <c r="D8" s="233"/>
      <c r="E8" s="233"/>
      <c r="F8" s="233"/>
      <c r="G8" s="233"/>
      <c r="H8" s="234"/>
      <c r="I8" s="234"/>
      <c r="J8" s="234"/>
      <c r="K8" s="233"/>
      <c r="L8" s="233"/>
      <c r="M8" s="495"/>
      <c r="N8" s="495"/>
      <c r="O8" s="495"/>
      <c r="P8" s="233"/>
      <c r="Q8" s="233"/>
      <c r="R8" s="1"/>
      <c r="S8" s="259"/>
      <c r="T8" s="259"/>
      <c r="U8" s="259"/>
      <c r="V8" s="259"/>
      <c r="W8" s="259"/>
      <c r="X8" s="259"/>
      <c r="Y8" s="259"/>
    </row>
    <row r="9" spans="1:25" x14ac:dyDescent="0.2">
      <c r="A9" s="259"/>
      <c r="B9" s="1"/>
      <c r="C9" s="234"/>
      <c r="D9" s="233"/>
      <c r="E9" s="233"/>
      <c r="F9" s="233"/>
      <c r="G9" s="233"/>
      <c r="H9" s="234"/>
      <c r="I9" s="234"/>
      <c r="J9" s="234"/>
      <c r="K9" s="233"/>
      <c r="L9" s="233"/>
      <c r="M9" s="44" t="s">
        <v>18</v>
      </c>
      <c r="N9" s="44" t="s">
        <v>19</v>
      </c>
      <c r="O9" s="44" t="s">
        <v>20</v>
      </c>
      <c r="P9" s="233"/>
      <c r="Q9" s="233"/>
      <c r="R9" s="1"/>
      <c r="S9" s="259"/>
      <c r="T9" s="259"/>
      <c r="U9" s="259"/>
      <c r="V9" s="259"/>
      <c r="W9" s="259"/>
      <c r="X9" s="259"/>
      <c r="Y9" s="259"/>
    </row>
    <row r="10" spans="1:25" x14ac:dyDescent="0.2">
      <c r="A10" s="259"/>
      <c r="B10" s="1"/>
      <c r="C10" s="234"/>
      <c r="D10" s="56"/>
      <c r="E10" s="56"/>
      <c r="F10" s="56"/>
      <c r="G10" s="56"/>
      <c r="H10" s="234"/>
      <c r="I10" s="234"/>
      <c r="J10" s="234"/>
      <c r="K10" s="233"/>
      <c r="L10" s="234"/>
      <c r="M10" s="44"/>
      <c r="N10" s="44"/>
      <c r="O10" s="44"/>
      <c r="P10" s="233"/>
      <c r="Q10" s="233"/>
      <c r="R10" s="1"/>
      <c r="S10" s="259"/>
      <c r="T10" s="259"/>
      <c r="U10" s="259"/>
      <c r="V10" s="259"/>
      <c r="W10" s="259"/>
      <c r="X10" s="259"/>
      <c r="Y10" s="259"/>
    </row>
    <row r="11" spans="1:25" x14ac:dyDescent="0.2">
      <c r="A11" s="259"/>
      <c r="B11" s="38"/>
      <c r="C11" s="233"/>
      <c r="D11" s="65" t="str">
        <f>+Massabalans!H12</f>
        <v>Transport over weg</v>
      </c>
      <c r="E11" s="65" t="s">
        <v>404</v>
      </c>
      <c r="F11" s="262"/>
      <c r="G11" s="65" t="s">
        <v>405</v>
      </c>
      <c r="H11" s="234"/>
      <c r="I11" s="511" t="s">
        <v>221</v>
      </c>
      <c r="J11" s="234"/>
      <c r="K11" s="263" t="s">
        <v>406</v>
      </c>
      <c r="L11" s="234"/>
      <c r="M11" s="233"/>
      <c r="N11" s="233"/>
      <c r="O11" s="233"/>
      <c r="P11" s="233"/>
      <c r="Q11" s="56"/>
      <c r="R11" s="1"/>
      <c r="S11" s="259"/>
      <c r="T11" s="259"/>
      <c r="U11" s="259"/>
      <c r="V11" s="259"/>
      <c r="W11" s="259"/>
      <c r="X11" s="259"/>
      <c r="Y11" s="259"/>
    </row>
    <row r="12" spans="1:25" x14ac:dyDescent="0.2">
      <c r="A12" s="259"/>
      <c r="B12" s="38"/>
      <c r="C12" s="233"/>
      <c r="D12" s="264"/>
      <c r="E12" s="265" t="s">
        <v>407</v>
      </c>
      <c r="F12" s="65"/>
      <c r="G12" s="266" t="s">
        <v>408</v>
      </c>
      <c r="H12" s="234"/>
      <c r="I12" s="512"/>
      <c r="J12" s="234"/>
      <c r="K12" s="263" t="s">
        <v>409</v>
      </c>
      <c r="L12" s="234"/>
      <c r="M12" s="233"/>
      <c r="N12" s="233"/>
      <c r="O12" s="233"/>
      <c r="P12" s="233"/>
      <c r="Q12" s="56"/>
      <c r="R12" s="1"/>
      <c r="S12" s="259"/>
      <c r="T12" s="259"/>
      <c r="U12" s="259"/>
      <c r="V12" s="259"/>
      <c r="W12" s="259"/>
      <c r="X12" s="259"/>
      <c r="Y12" s="259"/>
    </row>
    <row r="13" spans="1:25" ht="12.75" customHeight="1" x14ac:dyDescent="0.2">
      <c r="A13" s="259"/>
      <c r="B13" s="1"/>
      <c r="C13" s="234"/>
      <c r="D13" s="267" t="s">
        <v>126</v>
      </c>
      <c r="E13" s="268">
        <f>+Massabalans!H10</f>
        <v>5.4577377135651233</v>
      </c>
      <c r="F13" s="267" t="s">
        <v>410</v>
      </c>
      <c r="G13" s="269">
        <v>50</v>
      </c>
      <c r="H13" s="234"/>
      <c r="I13" s="512"/>
      <c r="J13" s="234"/>
      <c r="K13" s="345">
        <f>SUMPRODUCT(M13:O13,M$24:O$24)*G13*E13/1000</f>
        <v>21.747096788072941</v>
      </c>
      <c r="L13" s="234"/>
      <c r="M13" s="49">
        <f>IF(D13="","",VLOOKUP(D13,'DB T'!$A$5:$F$17,3,0))</f>
        <v>79.129875005384605</v>
      </c>
      <c r="N13" s="42">
        <f>IF(D13="","",VLOOKUP(D13,'DB T'!$A$5:$F$17,4,0))</f>
        <v>3.5120769230769233E-3</v>
      </c>
      <c r="O13" s="42">
        <f>IF(D13="","",VLOOKUP(D13,'DB T'!$A$5:$F$17,5,0))</f>
        <v>1.5587307692307693E-3</v>
      </c>
      <c r="P13" s="233"/>
      <c r="Q13" s="73"/>
      <c r="R13" s="1"/>
      <c r="S13" s="259"/>
      <c r="T13" s="259"/>
      <c r="U13" s="259"/>
      <c r="V13" s="259"/>
      <c r="W13" s="259"/>
      <c r="X13" s="259"/>
      <c r="Y13" s="259"/>
    </row>
    <row r="14" spans="1:25" ht="12.75" customHeight="1" x14ac:dyDescent="0.2">
      <c r="A14" s="259"/>
      <c r="B14" s="1"/>
      <c r="C14" s="233"/>
      <c r="D14" s="233"/>
      <c r="E14" s="233"/>
      <c r="F14" s="233"/>
      <c r="G14" s="270"/>
      <c r="H14" s="234"/>
      <c r="I14" s="512"/>
      <c r="J14" s="234"/>
      <c r="K14" s="233"/>
      <c r="L14" s="233"/>
      <c r="M14" s="233"/>
      <c r="N14" s="233"/>
      <c r="O14" s="233"/>
      <c r="P14" s="233"/>
      <c r="Q14" s="233"/>
      <c r="R14" s="1"/>
      <c r="S14" s="259"/>
      <c r="T14" s="259"/>
      <c r="U14" s="259"/>
      <c r="V14" s="259"/>
      <c r="W14" s="259"/>
      <c r="X14" s="259"/>
      <c r="Y14" s="259"/>
    </row>
    <row r="15" spans="1:25" ht="12.75" customHeight="1" x14ac:dyDescent="0.2">
      <c r="A15" s="259"/>
      <c r="B15" s="1"/>
      <c r="C15" s="233"/>
      <c r="D15" s="233"/>
      <c r="E15" s="233"/>
      <c r="F15" s="233"/>
      <c r="G15" s="270"/>
      <c r="H15" s="234"/>
      <c r="I15" s="512"/>
      <c r="J15" s="234"/>
      <c r="K15" s="233"/>
      <c r="L15" s="233"/>
      <c r="M15" s="233"/>
      <c r="N15" s="233"/>
      <c r="O15" s="233"/>
      <c r="P15" s="233"/>
      <c r="Q15" s="233"/>
      <c r="R15" s="1"/>
      <c r="S15" s="259"/>
      <c r="T15" s="259"/>
      <c r="U15" s="259"/>
      <c r="V15" s="259"/>
      <c r="W15" s="259"/>
      <c r="X15" s="259"/>
      <c r="Y15" s="259"/>
    </row>
    <row r="16" spans="1:25" ht="12.75" customHeight="1" x14ac:dyDescent="0.2">
      <c r="A16" s="259"/>
      <c r="B16" s="1"/>
      <c r="C16" s="233"/>
      <c r="D16" s="65" t="str">
        <f>+Overzicht!R29</f>
        <v>Transport met binnenvaart</v>
      </c>
      <c r="E16" s="65" t="s">
        <v>404</v>
      </c>
      <c r="F16" s="262"/>
      <c r="G16" s="65" t="s">
        <v>405</v>
      </c>
      <c r="H16" s="234"/>
      <c r="I16" s="512"/>
      <c r="J16" s="234"/>
      <c r="K16" s="233"/>
      <c r="L16" s="233"/>
      <c r="M16" s="233"/>
      <c r="N16" s="233"/>
      <c r="O16" s="233"/>
      <c r="P16" s="233"/>
      <c r="Q16" s="233"/>
      <c r="R16" s="1"/>
      <c r="S16" s="259"/>
      <c r="T16" s="259"/>
      <c r="U16" s="259"/>
      <c r="V16" s="259"/>
      <c r="W16" s="259"/>
      <c r="X16" s="259"/>
      <c r="Y16" s="259"/>
    </row>
    <row r="17" spans="1:25" ht="12.75" customHeight="1" x14ac:dyDescent="0.2">
      <c r="A17" s="259"/>
      <c r="B17" s="1"/>
      <c r="C17" s="234"/>
      <c r="D17" s="264"/>
      <c r="E17" s="265" t="s">
        <v>407</v>
      </c>
      <c r="F17" s="65"/>
      <c r="G17" s="266" t="s">
        <v>408</v>
      </c>
      <c r="H17" s="234"/>
      <c r="I17" s="512"/>
      <c r="J17" s="234"/>
      <c r="K17" s="233"/>
      <c r="L17" s="233"/>
      <c r="M17" s="233"/>
      <c r="N17" s="233"/>
      <c r="O17" s="233"/>
      <c r="P17" s="233"/>
      <c r="Q17" s="233"/>
      <c r="R17" s="1"/>
      <c r="S17" s="259"/>
      <c r="T17" s="259"/>
      <c r="U17" s="259"/>
      <c r="V17" s="259"/>
      <c r="W17" s="259"/>
      <c r="X17" s="259"/>
      <c r="Y17" s="259"/>
    </row>
    <row r="18" spans="1:25" ht="12.75" customHeight="1" x14ac:dyDescent="0.2">
      <c r="A18" s="259"/>
      <c r="B18" s="1"/>
      <c r="C18" s="234"/>
      <c r="D18" s="267" t="s">
        <v>126</v>
      </c>
      <c r="E18" s="268">
        <f>+Massabalans!H10</f>
        <v>5.4577377135651233</v>
      </c>
      <c r="F18" s="267" t="s">
        <v>410</v>
      </c>
      <c r="G18" s="269">
        <v>150</v>
      </c>
      <c r="H18" s="234"/>
      <c r="I18" s="512"/>
      <c r="J18" s="234"/>
      <c r="K18" s="345">
        <f>SUMPRODUCT(M18:O18,M$24:O$24)*G18*E18/1000</f>
        <v>65.241290364218813</v>
      </c>
      <c r="L18" s="234"/>
      <c r="M18" s="49">
        <f>IF(D18="","",VLOOKUP(D18,'DB T'!$A$5:$F$17,3,0))</f>
        <v>79.129875005384605</v>
      </c>
      <c r="N18" s="42">
        <f>IF(D18="","",VLOOKUP(D18,'DB T'!$A$5:$F$17,4,0))</f>
        <v>3.5120769230769233E-3</v>
      </c>
      <c r="O18" s="42">
        <f>IF(D18="","",VLOOKUP(D18,'DB T'!$A$5:$F$17,5,0))</f>
        <v>1.5587307692307693E-3</v>
      </c>
      <c r="P18" s="233"/>
      <c r="Q18" s="73"/>
      <c r="R18" s="1"/>
      <c r="S18" s="259"/>
      <c r="T18" s="259"/>
      <c r="U18" s="259"/>
      <c r="V18" s="259"/>
      <c r="W18" s="259"/>
      <c r="X18" s="259"/>
      <c r="Y18" s="259"/>
    </row>
    <row r="19" spans="1:25" ht="12.75" customHeight="1" x14ac:dyDescent="0.2">
      <c r="A19" s="259"/>
      <c r="B19" s="1"/>
      <c r="C19" s="233"/>
      <c r="D19" s="233"/>
      <c r="E19" s="233"/>
      <c r="F19" s="233"/>
      <c r="G19" s="270"/>
      <c r="H19" s="234"/>
      <c r="I19" s="512"/>
      <c r="J19" s="234"/>
      <c r="K19" s="233"/>
      <c r="L19" s="233"/>
      <c r="M19" s="233"/>
      <c r="N19" s="233"/>
      <c r="O19" s="233"/>
      <c r="P19" s="233"/>
      <c r="Q19" s="233"/>
      <c r="R19" s="1"/>
      <c r="S19" s="259"/>
      <c r="T19" s="259"/>
      <c r="U19" s="259"/>
      <c r="V19" s="259"/>
      <c r="W19" s="259"/>
      <c r="X19" s="259"/>
      <c r="Y19" s="259"/>
    </row>
    <row r="20" spans="1:25" ht="12.75" customHeight="1" x14ac:dyDescent="0.2">
      <c r="A20" s="259"/>
      <c r="B20" s="1"/>
      <c r="C20" s="233"/>
      <c r="D20" s="233"/>
      <c r="E20" s="233"/>
      <c r="F20" s="233"/>
      <c r="G20" s="270"/>
      <c r="H20" s="234"/>
      <c r="I20" s="513"/>
      <c r="J20" s="234"/>
      <c r="K20" s="233"/>
      <c r="L20" s="233"/>
      <c r="M20" s="233"/>
      <c r="N20" s="233"/>
      <c r="O20" s="233"/>
      <c r="P20" s="233"/>
      <c r="Q20" s="233"/>
      <c r="R20" s="1"/>
      <c r="S20" s="259"/>
      <c r="T20" s="259"/>
      <c r="U20" s="259"/>
      <c r="V20" s="259"/>
      <c r="W20" s="259"/>
      <c r="X20" s="259"/>
      <c r="Y20" s="259"/>
    </row>
    <row r="21" spans="1:25" ht="12.75" customHeight="1" x14ac:dyDescent="0.2">
      <c r="A21" s="259"/>
      <c r="B21" s="1"/>
      <c r="C21" s="233"/>
      <c r="D21" s="233" t="s">
        <v>438</v>
      </c>
      <c r="E21" s="233"/>
      <c r="F21" s="233"/>
      <c r="G21" s="233" t="s">
        <v>439</v>
      </c>
      <c r="H21" s="234"/>
      <c r="I21" s="233"/>
      <c r="J21" s="234"/>
      <c r="K21" s="233"/>
      <c r="L21" s="234"/>
      <c r="M21" s="233"/>
      <c r="N21" s="233"/>
      <c r="O21" s="233"/>
      <c r="P21" s="233"/>
      <c r="Q21" s="233"/>
      <c r="R21" s="1"/>
      <c r="S21" s="259"/>
      <c r="T21" s="259"/>
      <c r="U21" s="259"/>
      <c r="V21" s="259"/>
      <c r="W21" s="259"/>
      <c r="X21" s="259"/>
      <c r="Y21" s="259"/>
    </row>
    <row r="22" spans="1:25" ht="12.75" customHeight="1" x14ac:dyDescent="0.2">
      <c r="A22" s="259"/>
      <c r="B22" s="1"/>
      <c r="C22" s="233"/>
      <c r="D22" s="233"/>
      <c r="E22" s="233"/>
      <c r="F22" s="233"/>
      <c r="G22" s="233"/>
      <c r="H22" s="233"/>
      <c r="I22" s="233"/>
      <c r="J22" s="233"/>
      <c r="K22" s="233"/>
      <c r="L22" s="234"/>
      <c r="M22" s="233"/>
      <c r="N22" s="233"/>
      <c r="O22" s="233"/>
      <c r="P22" s="233"/>
      <c r="Q22" s="233"/>
      <c r="R22" s="1"/>
      <c r="S22" s="259"/>
      <c r="T22" s="259"/>
      <c r="U22" s="259"/>
      <c r="V22" s="259"/>
      <c r="W22" s="259"/>
      <c r="X22" s="259"/>
      <c r="Y22" s="259"/>
    </row>
    <row r="23" spans="1:25" x14ac:dyDescent="0.2">
      <c r="A23" s="259"/>
      <c r="B23" s="1"/>
      <c r="C23" s="233"/>
      <c r="D23" s="233"/>
      <c r="E23" s="233"/>
      <c r="F23" s="233"/>
      <c r="G23" s="233"/>
      <c r="H23" s="233"/>
      <c r="I23" s="233"/>
      <c r="J23" s="233"/>
      <c r="K23" s="233"/>
      <c r="L23" s="233"/>
      <c r="M23" s="233"/>
      <c r="N23" s="233"/>
      <c r="O23" s="233"/>
      <c r="P23" s="233"/>
      <c r="Q23" s="233"/>
      <c r="R23" s="1"/>
      <c r="S23" s="259"/>
      <c r="T23" s="259"/>
      <c r="U23" s="259"/>
      <c r="V23" s="259"/>
      <c r="W23" s="259"/>
      <c r="X23" s="259"/>
      <c r="Y23" s="259"/>
    </row>
    <row r="24" spans="1:25" x14ac:dyDescent="0.2">
      <c r="A24" s="259"/>
      <c r="B24" s="1"/>
      <c r="C24" s="1"/>
      <c r="D24" s="5" t="s">
        <v>411</v>
      </c>
      <c r="E24" s="5"/>
      <c r="F24" s="5"/>
      <c r="G24" s="5"/>
      <c r="H24" s="1"/>
      <c r="I24" s="1"/>
      <c r="J24" s="1"/>
      <c r="K24" s="1"/>
      <c r="L24" s="1"/>
      <c r="M24" s="301">
        <f>VLOOKUP(M9,[3]GWP!$A$4:$B$53,2,0)</f>
        <v>1</v>
      </c>
      <c r="N24" s="301">
        <f>VLOOKUP(N9,[3]GWP!$A$4:$B$53,2,0)</f>
        <v>28</v>
      </c>
      <c r="O24" s="301">
        <f>VLOOKUP(O9,[3]GWP!$A$4:$B$53,2,0)</f>
        <v>298</v>
      </c>
      <c r="P24" s="1"/>
      <c r="Q24" s="1"/>
      <c r="R24" s="1"/>
      <c r="S24" s="259"/>
      <c r="T24" s="259"/>
      <c r="U24" s="259"/>
      <c r="V24" s="259"/>
      <c r="W24" s="259"/>
      <c r="X24" s="259"/>
      <c r="Y24" s="259"/>
    </row>
    <row r="25" spans="1:25" x14ac:dyDescent="0.2">
      <c r="A25" s="259"/>
      <c r="B25" s="259"/>
      <c r="C25" s="259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59"/>
      <c r="O25" s="259"/>
      <c r="P25" s="259"/>
      <c r="Q25" s="259"/>
      <c r="R25" s="259"/>
      <c r="S25" s="259"/>
      <c r="T25" s="259"/>
      <c r="U25" s="259"/>
      <c r="V25" s="259"/>
      <c r="W25" s="259"/>
      <c r="X25" s="259"/>
      <c r="Y25" s="259"/>
    </row>
    <row r="26" spans="1:25" x14ac:dyDescent="0.2">
      <c r="A26" s="259"/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59"/>
      <c r="X26" s="259"/>
      <c r="Y26" s="259"/>
    </row>
    <row r="27" spans="1:25" x14ac:dyDescent="0.2">
      <c r="A27" s="259"/>
      <c r="B27" s="259"/>
      <c r="C27" s="259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59"/>
      <c r="O27" s="259"/>
      <c r="P27" s="259"/>
      <c r="Q27" s="259"/>
      <c r="R27" s="259"/>
      <c r="S27" s="259"/>
      <c r="T27" s="259"/>
      <c r="U27" s="259"/>
      <c r="V27" s="259"/>
      <c r="W27" s="259"/>
      <c r="X27" s="259"/>
      <c r="Y27" s="259"/>
    </row>
    <row r="28" spans="1:25" x14ac:dyDescent="0.2">
      <c r="A28" s="259"/>
      <c r="B28" s="259"/>
      <c r="C28" s="259"/>
      <c r="D28" s="259"/>
      <c r="E28" s="259"/>
      <c r="F28" s="259"/>
      <c r="G28" s="259"/>
      <c r="H28" s="259"/>
      <c r="I28" s="259"/>
      <c r="J28" s="259"/>
      <c r="K28" s="259"/>
      <c r="L28" s="259"/>
      <c r="M28" s="259"/>
      <c r="N28" s="259"/>
      <c r="O28" s="259"/>
      <c r="P28" s="259"/>
      <c r="Q28" s="259"/>
      <c r="R28" s="259"/>
      <c r="S28" s="259"/>
      <c r="T28" s="259"/>
      <c r="U28" s="259"/>
      <c r="V28" s="259"/>
      <c r="W28" s="259"/>
      <c r="X28" s="259"/>
      <c r="Y28" s="259"/>
    </row>
    <row r="29" spans="1:25" x14ac:dyDescent="0.2">
      <c r="A29" s="259"/>
      <c r="B29" s="259"/>
      <c r="C29" s="259"/>
      <c r="D29" s="259"/>
      <c r="E29" s="259"/>
      <c r="F29" s="259"/>
      <c r="G29" s="259"/>
      <c r="H29" s="259"/>
      <c r="I29" s="259"/>
      <c r="J29" s="259"/>
      <c r="K29" s="259"/>
      <c r="L29" s="259"/>
      <c r="M29" s="259"/>
      <c r="N29" s="259"/>
      <c r="O29" s="259"/>
      <c r="P29" s="259"/>
      <c r="Q29" s="259"/>
      <c r="R29" s="259"/>
      <c r="S29" s="259"/>
      <c r="T29" s="259"/>
      <c r="U29" s="259"/>
      <c r="V29" s="259"/>
      <c r="W29" s="259"/>
      <c r="X29" s="259"/>
      <c r="Y29" s="259"/>
    </row>
    <row r="30" spans="1:25" x14ac:dyDescent="0.2">
      <c r="A30" s="259"/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N30" s="259"/>
      <c r="O30" s="259"/>
      <c r="P30" s="259"/>
      <c r="Q30" s="259"/>
      <c r="R30" s="259"/>
      <c r="S30" s="259"/>
      <c r="T30" s="259"/>
      <c r="U30" s="259"/>
      <c r="V30" s="259"/>
      <c r="W30" s="259"/>
      <c r="X30" s="259"/>
      <c r="Y30" s="259"/>
    </row>
    <row r="31" spans="1:25" x14ac:dyDescent="0.2">
      <c r="A31" s="259"/>
      <c r="B31" s="259"/>
      <c r="C31" s="259"/>
      <c r="D31" s="259"/>
      <c r="E31" s="259"/>
      <c r="F31" s="259"/>
      <c r="G31" s="259"/>
      <c r="H31" s="259"/>
      <c r="I31" s="259"/>
      <c r="J31" s="259"/>
      <c r="K31" s="259"/>
      <c r="L31" s="259"/>
      <c r="M31" s="259"/>
      <c r="N31" s="259"/>
      <c r="O31" s="259"/>
      <c r="P31" s="259"/>
      <c r="Q31" s="259"/>
      <c r="R31" s="259"/>
      <c r="S31" s="259"/>
      <c r="T31" s="259"/>
      <c r="U31" s="259"/>
      <c r="V31" s="259"/>
      <c r="W31" s="259"/>
      <c r="X31" s="259"/>
      <c r="Y31" s="259"/>
    </row>
    <row r="32" spans="1:25" x14ac:dyDescent="0.2">
      <c r="A32" s="259"/>
      <c r="B32" s="259"/>
      <c r="C32" s="259"/>
      <c r="D32" s="259"/>
      <c r="E32" s="259"/>
      <c r="F32" s="259"/>
      <c r="G32" s="259"/>
      <c r="H32" s="259"/>
      <c r="I32" s="259"/>
      <c r="J32" s="259"/>
      <c r="K32" s="259"/>
      <c r="L32" s="259"/>
      <c r="M32" s="259"/>
      <c r="N32" s="259"/>
      <c r="O32" s="259"/>
      <c r="P32" s="259"/>
      <c r="Q32" s="259"/>
      <c r="R32" s="259"/>
      <c r="S32" s="259"/>
      <c r="T32" s="259"/>
      <c r="U32" s="259"/>
      <c r="V32" s="259"/>
      <c r="W32" s="259"/>
      <c r="X32" s="259"/>
      <c r="Y32" s="259"/>
    </row>
    <row r="33" spans="1:25" x14ac:dyDescent="0.2">
      <c r="A33" s="259"/>
      <c r="B33" s="259"/>
      <c r="C33" s="259"/>
      <c r="D33" s="259"/>
      <c r="E33" s="259"/>
      <c r="F33" s="259"/>
      <c r="G33" s="259"/>
      <c r="H33" s="259"/>
      <c r="I33" s="259"/>
      <c r="J33" s="259"/>
      <c r="K33" s="259"/>
      <c r="L33" s="259"/>
      <c r="M33" s="259"/>
      <c r="N33" s="259"/>
      <c r="O33" s="259"/>
      <c r="P33" s="259"/>
      <c r="Q33" s="259"/>
      <c r="R33" s="259"/>
      <c r="S33" s="259"/>
      <c r="T33" s="259"/>
      <c r="U33" s="259"/>
      <c r="V33" s="259"/>
      <c r="W33" s="259"/>
      <c r="X33" s="259"/>
      <c r="Y33" s="259"/>
    </row>
    <row r="34" spans="1:25" x14ac:dyDescent="0.2">
      <c r="A34" s="259"/>
      <c r="B34" s="259"/>
      <c r="C34" s="259"/>
      <c r="D34" s="259"/>
      <c r="E34" s="259"/>
      <c r="F34" s="259"/>
      <c r="G34" s="259"/>
      <c r="H34" s="259"/>
      <c r="I34" s="259"/>
      <c r="J34" s="259"/>
      <c r="K34" s="259"/>
      <c r="L34" s="259"/>
      <c r="M34" s="259"/>
      <c r="N34" s="259"/>
      <c r="O34" s="259"/>
      <c r="P34" s="259"/>
      <c r="Q34" s="259"/>
      <c r="R34" s="259"/>
      <c r="S34" s="259"/>
      <c r="T34" s="259"/>
      <c r="U34" s="259"/>
      <c r="V34" s="259"/>
      <c r="W34" s="259"/>
      <c r="X34" s="259"/>
      <c r="Y34" s="259"/>
    </row>
    <row r="35" spans="1:25" x14ac:dyDescent="0.2">
      <c r="A35" s="259"/>
      <c r="B35" s="259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  <c r="O35" s="259"/>
      <c r="P35" s="259"/>
      <c r="Q35" s="259"/>
      <c r="R35" s="259"/>
      <c r="S35" s="259"/>
      <c r="T35" s="259"/>
      <c r="U35" s="259"/>
      <c r="V35" s="259"/>
      <c r="W35" s="259"/>
      <c r="X35" s="259"/>
      <c r="Y35" s="259"/>
    </row>
    <row r="36" spans="1:25" x14ac:dyDescent="0.2">
      <c r="A36" s="259"/>
      <c r="B36" s="259"/>
      <c r="C36" s="259"/>
      <c r="D36" s="259"/>
      <c r="E36" s="259"/>
      <c r="F36" s="259"/>
      <c r="G36" s="259"/>
      <c r="H36" s="259"/>
      <c r="I36" s="259"/>
      <c r="J36" s="259"/>
      <c r="K36" s="259"/>
      <c r="L36" s="259"/>
      <c r="M36" s="259"/>
      <c r="N36" s="259"/>
      <c r="O36" s="259"/>
      <c r="P36" s="259"/>
      <c r="Q36" s="259"/>
      <c r="R36" s="259"/>
      <c r="S36" s="259"/>
      <c r="T36" s="259"/>
      <c r="U36" s="259"/>
      <c r="V36" s="259"/>
      <c r="W36" s="259"/>
      <c r="X36" s="259"/>
      <c r="Y36" s="259"/>
    </row>
  </sheetData>
  <sheetProtection selectLockedCells="1" selectUnlockedCells="1"/>
  <mergeCells count="3">
    <mergeCell ref="B2:D3"/>
    <mergeCell ref="M7:O8"/>
    <mergeCell ref="I11:I20"/>
  </mergeCells>
  <pageMargins left="0.78749999999999998" right="0.78749999999999998" top="1.0527777777777778" bottom="1.0527777777777778" header="0.78749999999999998" footer="0.78749999999999998"/>
  <pageSetup paperSize="9" firstPageNumber="0" orientation="portrait" horizontalDpi="300" verticalDpi="300"/>
  <headerFooter alignWithMargins="0">
    <oddHeader>&amp;C&amp;"Times New Roman,Regular"&amp;12&amp;A</oddHeader>
    <oddFooter>&amp;C&amp;"Times New Roman,Regular"&amp;12Page &amp;P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equal" allowBlank="1">
          <x14:formula1>
            <xm:f>'[3]DB T'!#REF!</xm:f>
          </x14:formula1>
          <xm:sqref>F13 F18</xm:sqref>
        </x14:dataValidation>
        <x14:dataValidation type="list" operator="equal" allowBlank="1">
          <x14:formula1>
            <xm:f>'DB T'!$A$4:$A$17</xm:f>
          </x14:formula1>
          <xm:sqref>D18</xm:sqref>
        </x14:dataValidation>
        <x14:dataValidation type="list" operator="equal" allowBlank="1">
          <x14:formula1>
            <xm:f>'DB T'!$A$4:$A$38</xm:f>
          </x14:formula1>
          <xm:sqref>D13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ojectDocument" ma:contentTypeID="0x01010032D923E531974EABBC32AD71A762C58D00D2425473D9DE461DB1C714AC4872504A00E9995C5CAA8F2646A18688333ABFED5B" ma:contentTypeVersion="3" ma:contentTypeDescription="Een nieuw document maken." ma:contentTypeScope="" ma:versionID="058c8f81256bd1be14981edb8b79bf5f">
  <xsd:schema xmlns:xsd="http://www.w3.org/2001/XMLSchema" xmlns:xs="http://www.w3.org/2001/XMLSchema" xmlns:p="http://schemas.microsoft.com/office/2006/metadata/properties" xmlns:ns2="850f1e76-e290-4779-b859-23d729297c51" targetNamespace="http://schemas.microsoft.com/office/2006/metadata/properties" ma:root="true" ma:fieldsID="1b66af9e3d40ee9f124e707e43739130" ns2:_="">
    <xsd:import namespace="850f1e76-e290-4779-b859-23d729297c51"/>
    <xsd:element name="properties">
      <xsd:complexType>
        <xsd:sequence>
          <xsd:element name="documentManagement">
            <xsd:complexType>
              <xsd:all>
                <xsd:element ref="ns2:SureECM_ProjectName" minOccurs="0"/>
                <xsd:element ref="ns2:SureECM_ProjectNumber" minOccurs="0"/>
                <xsd:element ref="ns2:SureECM_ClientName" minOccurs="0"/>
                <xsd:element ref="ns2:SureECM_ProjectLeader" minOccurs="0"/>
                <xsd:element ref="ns2:SureECM_ProjectFaseTaxHTField0" minOccurs="0"/>
                <xsd:element ref="ns2:acf0689dc3b949abb655ab78c2e0f99c" minOccurs="0"/>
                <xsd:element ref="ns2:TaxCatchAll" minOccurs="0"/>
                <xsd:element ref="ns2:TaxCatchAllLabel" minOccurs="0"/>
                <xsd:element ref="ns2:lca88ee71ce7428c86da6846b19763e3" minOccurs="0"/>
                <xsd:element ref="ns2:TaxKeywordTaxHTFiel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0f1e76-e290-4779-b859-23d729297c51" elementFormDefault="qualified">
    <xsd:import namespace="http://schemas.microsoft.com/office/2006/documentManagement/types"/>
    <xsd:import namespace="http://schemas.microsoft.com/office/infopath/2007/PartnerControls"/>
    <xsd:element name="SureECM_ProjectName" ma:index="8" nillable="true" ma:displayName="Projectnaam" ma:internalName="SureECM_ProjectName">
      <xsd:simpleType>
        <xsd:restriction base="dms:Text"/>
      </xsd:simpleType>
    </xsd:element>
    <xsd:element name="SureECM_ProjectNumber" ma:index="9" nillable="true" ma:displayName="Projectnummer" ma:internalName="SureECM_ProjectNumber">
      <xsd:simpleType>
        <xsd:restriction base="dms:Text">
          <xsd:maxLength value="255"/>
        </xsd:restriction>
      </xsd:simpleType>
    </xsd:element>
    <xsd:element name="SureECM_ClientName" ma:index="10" nillable="true" ma:displayName="Opdrachtgever" ma:SharePointGroup="0" ma:internalName="SureECM_ClientNam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Leader" ma:index="11" nillable="true" ma:displayName="Projectleider" ma:internalName="SureECM_ProjectLead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ureECM_ProjectFaseTaxHTField0" ma:index="12" nillable="true" ma:taxonomy="true" ma:internalName="SureECM_ProjectFaseTaxHTField0" ma:taxonomyFieldName="SureECM_ProjectFase" ma:displayName="Projectfase" ma:readOnly="false" ma:default="1;#1|344ddbc6-b8ca-4407-8593-4a569d0d2a68" ma:fieldId="{aaf7d00f-ef44-4e4f-9bfe-6e1c6b2262e1}" ma:sspId="b15848ff-ca16-4813-bad8-a92d09325781" ma:termSetId="daef2c36-05f6-4ec3-a3df-8d68228409e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acf0689dc3b949abb655ab78c2e0f99c" ma:index="14" nillable="true" ma:taxonomy="true" ma:internalName="acf0689dc3b949abb655ab78c2e0f99c" ma:taxonomyFieldName="Sector" ma:displayName="Sector" ma:default="" ma:fieldId="{acf0689d-c3b9-49ab-b655-ab78c2e0f99c}" ma:sspId="b15848ff-ca16-4813-bad8-a92d09325781" ma:termSetId="5e03380a-e66b-435b-ab66-f20a0a2d71a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5" nillable="true" ma:displayName="Taxonomy Catch All Column" ma:description="" ma:hidden="true" ma:list="{1e57b386-4126-48bc-a3f5-290e3ee48192}" ma:internalName="TaxCatchAll" ma:showField="CatchAllData" ma:web="754bc673-84d8-4405-99dd-4d974a6ca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6" nillable="true" ma:displayName="Taxonomy Catch All Column1" ma:description="" ma:hidden="true" ma:list="{1e57b386-4126-48bc-a3f5-290e3ee48192}" ma:internalName="TaxCatchAllLabel" ma:readOnly="true" ma:showField="CatchAllDataLabel" ma:web="754bc673-84d8-4405-99dd-4d974a6ca40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a88ee71ce7428c86da6846b19763e3" ma:index="18" nillable="true" ma:taxonomy="true" ma:internalName="lca88ee71ce7428c86da6846b19763e3" ma:taxonomyFieldName="Thema" ma:displayName="Thema" ma:default="" ma:fieldId="{5ca88ee7-1ce7-428c-86da-6846b19763e3}" ma:taxonomyMulti="true" ma:sspId="b15848ff-ca16-4813-bad8-a92d09325781" ma:termSetId="5ebe3af2-8dfb-4688-8412-0cb710041c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KeywordTaxHTField" ma:index="20" nillable="true" ma:taxonomy="true" ma:internalName="TaxKeywordTaxHTField" ma:taxonomyFieldName="TaxKeyword" ma:displayName="Ondernemingstrefwoorden" ma:fieldId="{23f27201-bee3-471e-b2e7-b64fd8b7ca38}" ma:taxonomyMulti="true" ma:sspId="39e35c83-584b-4c74-802e-2bf240529e84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0f1e76-e290-4779-b859-23d729297c51">
      <Value>5</Value>
      <Value>4</Value>
      <Value>1</Value>
    </TaxCatchAll>
    <SureECM_ProjectNumber xmlns="850f1e76-e290-4779-b859-23d729297c51">3.H16</SureECM_ProjectNumber>
    <SureECM_ClientName xmlns="850f1e76-e290-4779-b859-23d729297c51">
      <UserInfo>
        <DisplayName/>
        <AccountId xsi:nil="true"/>
        <AccountType/>
      </UserInfo>
    </SureECM_ClientName>
    <lca88ee71ce7428c86da6846b19763e3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Biomassa</TermName>
          <TermId xmlns="http://schemas.microsoft.com/office/infopath/2007/PartnerControls">be993b1d-76c3-4ff6-a71a-badc599f9ad3</TermId>
        </TermInfo>
      </Terms>
    </lca88ee71ce7428c86da6846b19763e3>
    <SureECM_ProjectName xmlns="850f1e76-e290-4779-b859-23d729297c51">Vervanging van fossiele grondstoffen door biobased grondstoffen</SureECM_ProjectName>
    <TaxKeywordTaxHTField xmlns="850f1e76-e290-4779-b859-23d729297c51">
      <Terms xmlns="http://schemas.microsoft.com/office/infopath/2007/PartnerControls"/>
    </TaxKeywordTaxHTField>
    <acf0689dc3b949abb655ab78c2e0f99c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Energie</TermName>
          <TermId xmlns="http://schemas.microsoft.com/office/infopath/2007/PartnerControls">efcf7378-11f7-46b5-9f6b-a9b724849c23</TermId>
        </TermInfo>
      </Terms>
    </acf0689dc3b949abb655ab78c2e0f99c>
    <SureECM_ProjectFaseTaxHTField0 xmlns="850f1e76-e290-4779-b859-23d729297c51">
      <Terms xmlns="http://schemas.microsoft.com/office/infopath/2007/PartnerControls">
        <TermInfo xmlns="http://schemas.microsoft.com/office/infopath/2007/PartnerControls">
          <TermName xmlns="http://schemas.microsoft.com/office/infopath/2007/PartnerControls">1</TermName>
          <TermId xmlns="http://schemas.microsoft.com/office/infopath/2007/PartnerControls">344ddbc6-b8ca-4407-8593-4a569d0d2a68</TermId>
        </TermInfo>
      </Terms>
    </SureECM_ProjectFaseTaxHTField0>
    <SureECM_ProjectLeader xmlns="850f1e76-e290-4779-b859-23d729297c51">
      <UserInfo>
        <DisplayName>Harry Croezen (CE Delft)</DisplayName>
        <AccountId>18</AccountId>
        <AccountType/>
      </UserInfo>
    </SureECM_ProjectLeader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5.xml><?xml version="1.0" encoding="utf-8"?>
<?mso-contentType ?>
<SharedContentType xmlns="Microsoft.SharePoint.Taxonomy.ContentTypeSync" SourceId="b15848ff-ca16-4813-bad8-a92d09325781" ContentTypeId="0x01010032D923E531974EABBC32AD71A762C58D00D2425473D9DE461DB1C714AC4872504A" PreviousValue="false"/>
</file>

<file path=customXml/itemProps1.xml><?xml version="1.0" encoding="utf-8"?>
<ds:datastoreItem xmlns:ds="http://schemas.openxmlformats.org/officeDocument/2006/customXml" ds:itemID="{7F2191C3-C0B2-4371-9AE1-C981EB8B7E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0f1e76-e290-4779-b859-23d729297c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F6438EC-CDFA-437A-A1B4-26362535B4B9}">
  <ds:schemaRefs>
    <ds:schemaRef ds:uri="http://schemas.microsoft.com/office/2006/documentManagement/types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850f1e76-e290-4779-b859-23d729297c5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77B927F-FF66-476A-98EB-98038DD334F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44D0505-BB85-4D09-8DB6-FBE2A401BEFD}">
  <ds:schemaRefs>
    <ds:schemaRef ds:uri="http://schemas.microsoft.com/office/2006/metadata/longProperties"/>
  </ds:schemaRefs>
</ds:datastoreItem>
</file>

<file path=customXml/itemProps5.xml><?xml version="1.0" encoding="utf-8"?>
<ds:datastoreItem xmlns:ds="http://schemas.openxmlformats.org/officeDocument/2006/customXml" ds:itemID="{139E24A5-37C3-43E2-87D8-309CA6C4F8A4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16</vt:i4>
      </vt:variant>
      <vt:variant>
        <vt:lpstr>Benoemde bereiken</vt:lpstr>
      </vt:variant>
      <vt:variant>
        <vt:i4>1</vt:i4>
      </vt:variant>
    </vt:vector>
  </HeadingPairs>
  <TitlesOfParts>
    <vt:vector size="17" baseType="lpstr">
      <vt:lpstr>Voorblad</vt:lpstr>
      <vt:lpstr>Overzicht</vt:lpstr>
      <vt:lpstr>Resultaten</vt:lpstr>
      <vt:lpstr>Massabalans</vt:lpstr>
      <vt:lpstr>Nutriëntenbalans</vt:lpstr>
      <vt:lpstr>Landbouw</vt:lpstr>
      <vt:lpstr>Bewerking 1</vt:lpstr>
      <vt:lpstr>Productie</vt:lpstr>
      <vt:lpstr>Transport</vt:lpstr>
      <vt:lpstr>Allocatie en resultaat</vt:lpstr>
      <vt:lpstr>DB E</vt:lpstr>
      <vt:lpstr>DB M1</vt:lpstr>
      <vt:lpstr>DB M2</vt:lpstr>
      <vt:lpstr>DB H</vt:lpstr>
      <vt:lpstr>DB T</vt:lpstr>
      <vt:lpstr>GWP</vt:lpstr>
      <vt:lpstr>Nutriëntenbalans!Criteria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Ingrid van den Tempel-Horváth</cp:lastModifiedBy>
  <dcterms:created xsi:type="dcterms:W3CDTF">2015-11-06T10:33:37Z</dcterms:created>
  <dcterms:modified xsi:type="dcterms:W3CDTF">2016-07-21T07:30:59Z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SureECM_ProjectLeader">
    <vt:lpwstr>Harry Croezen (CE Delft)</vt:lpwstr>
  </property>
  <property fmtid="{D5CDD505-2E9C-101B-9397-08002B2CF9AE}" pid="3" name="Sector">
    <vt:lpwstr>4;#Energie|efcf7378-11f7-46b5-9f6b-a9b724849c23</vt:lpwstr>
  </property>
  <property fmtid="{D5CDD505-2E9C-101B-9397-08002B2CF9AE}" pid="4" name="TaxKeyword">
    <vt:lpwstr/>
  </property>
  <property fmtid="{D5CDD505-2E9C-101B-9397-08002B2CF9AE}" pid="5" name="SureECM_ProjectFase">
    <vt:lpwstr>1;#1|344ddbc6-b8ca-4407-8593-4a569d0d2a68</vt:lpwstr>
  </property>
  <property fmtid="{D5CDD505-2E9C-101B-9397-08002B2CF9AE}" pid="6" name="Klant">
    <vt:lpwstr>RVO - Dick Heemskerk</vt:lpwstr>
  </property>
  <property fmtid="{D5CDD505-2E9C-101B-9397-08002B2CF9AE}" pid="7" name="Thema">
    <vt:lpwstr>5;#Biomassa|be993b1d-76c3-4ff6-a71a-badc599f9ad3</vt:lpwstr>
  </property>
  <property fmtid="{D5CDD505-2E9C-101B-9397-08002B2CF9AE}" pid="8" name="ContentTypeId">
    <vt:lpwstr>0x01010032D923E531974EABBC32AD71A762C58D00D2425473D9DE461DB1C714AC4872504A00E9995C5CAA8F2646A18688333ABFED5B</vt:lpwstr>
  </property>
</Properties>
</file>