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T:\RVO\kai\Expertteams\Klantteam Content 2\Redactie Duurzaam\SDE\2020\MSK rekenmodellen\"/>
    </mc:Choice>
  </mc:AlternateContent>
  <xr:revisionPtr revIDLastSave="0" documentId="8_{349EB956-B6E1-457A-8F6A-735184FBBD7F}" xr6:coauthVersionLast="44" xr6:coauthVersionMax="44" xr10:uidLastSave="{00000000-0000-0000-0000-000000000000}"/>
  <bookViews>
    <workbookView xWindow="780" yWindow="780" windowWidth="14400" windowHeight="6060" tabRatio="787" xr2:uid="{00000000-000D-0000-FFFF-FFFF00000000}"/>
  </bookViews>
  <sheets>
    <sheet name="Invoerblad" sheetId="1" r:id="rId1"/>
    <sheet name="VAMIL voordeel" sheetId="12" state="hidden" r:id="rId2"/>
    <sheet name="Invoerblad  bij lease" sheetId="10" state="hidden" r:id="rId3"/>
    <sheet name="exploitatieoverzicht Biomassa" sheetId="14" state="hidden" r:id="rId4"/>
    <sheet name="Overzicht MSK toets" sheetId="3" r:id="rId5"/>
    <sheet name="hulp" sheetId="17" state="hidden" r:id="rId6"/>
    <sheet name="Exploitatiecontrole" sheetId="18" state="hidden" r:id="rId7"/>
    <sheet name="Hulpberekeningen 1" sheetId="6" state="hidden" r:id="rId8"/>
    <sheet name="Hulpberekeningen 2" sheetId="7" state="hidden" r:id="rId9"/>
    <sheet name="Samenvatting en uitgangspunten" sheetId="15" r:id="rId10"/>
    <sheet name="Toelichting" sheetId="4" r:id="rId11"/>
    <sheet name="Rendement geinv. vermogen" sheetId="13" state="hidden" r:id="rId12"/>
  </sheets>
  <externalReferences>
    <externalReference r:id="rId13"/>
  </externalReferences>
  <definedNames>
    <definedName name="_xlnm.Print_Area" localSheetId="0">Invoerblad!$A$1:$Z$114</definedName>
    <definedName name="inv_bl_A">Invoerblad!$A$3:$W$75</definedName>
    <definedName name="inv_bl_C" localSheetId="9">[1]Invoerblad!#REF!</definedName>
    <definedName name="inv_bl_C">Invoerblad!#REF!</definedName>
    <definedName name="invbl_B1">Invoerblad!$A$95:$W$99</definedName>
    <definedName name="invbl_b2">Invoerblad!$A$102:$W$114</definedName>
    <definedName name="lijst_categorien" localSheetId="9">#REF!</definedName>
    <definedName name="lijst_categorien">#REF!</definedName>
    <definedName name="msktoets">'Overzicht MSK toets'!$A$1:$M$92</definedName>
    <definedName name="sde_ronde">'Hulpberekeningen 1'!$N$53:$N$54</definedName>
    <definedName name="Z_4284377C_91E6_4152_887E_8DA87560FDD6_.wvu.Cols" localSheetId="0" hidden="1">Invoerblad!$F:$F,Invoerblad!$I:$J</definedName>
    <definedName name="Z_4284377C_91E6_4152_887E_8DA87560FDD6_.wvu.Rows" localSheetId="0" hidden="1">Invoerblad!#REF!,Invoerblad!#REF!,Invoerblad!#REF!</definedName>
    <definedName name="Z_4284377C_91E6_4152_887E_8DA87560FDD6_.wvu.Rows" localSheetId="2" hidden="1">'Invoerblad  bij lease'!$9:$10</definedName>
    <definedName name="Z_4284377C_91E6_4152_887E_8DA87560FDD6_.wvu.Rows" localSheetId="4" hidden="1">'Overzicht MSK toets'!$74:$74,'Overzicht MSK toets'!$77:$77</definedName>
    <definedName name="Z_546B9E27_05F9_47A7_B161_BCC56D613799_.wvu.Cols" localSheetId="0" hidden="1">Invoerblad!$F:$F,Invoerblad!$I:$J</definedName>
    <definedName name="Z_546B9E27_05F9_47A7_B161_BCC56D613799_.wvu.Rows" localSheetId="0" hidden="1">Invoerblad!#REF!,Invoerblad!#REF!,Invoerblad!#REF!</definedName>
    <definedName name="Z_546B9E27_05F9_47A7_B161_BCC56D613799_.wvu.Rows" localSheetId="2" hidden="1">'Invoerblad  bij lease'!$9:$10</definedName>
    <definedName name="Z_546B9E27_05F9_47A7_B161_BCC56D613799_.wvu.Rows" localSheetId="4" hidden="1">'Overzicht MSK toets'!$74:$74,'Overzicht MSK toets'!$77:$77</definedName>
    <definedName name="Z_5D986420_B83B_47C8_8160_784F77FFC196_.wvu.Cols" localSheetId="0" hidden="1">Invoerblad!$I:$J</definedName>
    <definedName name="Z_5D986420_B83B_47C8_8160_784F77FFC196_.wvu.Rows" localSheetId="0" hidden="1">Invoerblad!#REF!,Invoerblad!#REF!,Invoerblad!#REF!</definedName>
    <definedName name="Z_5D986420_B83B_47C8_8160_784F77FFC196_.wvu.Rows" localSheetId="2" hidden="1">'Invoerblad  bij lease'!$9:$10</definedName>
    <definedName name="Z_5D986420_B83B_47C8_8160_784F77FFC196_.wvu.Rows" localSheetId="4" hidden="1">'Overzicht MSK toets'!$74:$74,'Overzicht MSK toets'!$77:$77</definedName>
    <definedName name="Z_C9029B8D_126A_43F1_8BE9_BB8A7DE12FBF_.wvu.Cols" localSheetId="0" hidden="1">Invoerblad!$F:$F,Invoerblad!$I:$J</definedName>
    <definedName name="Z_C9029B8D_126A_43F1_8BE9_BB8A7DE12FBF_.wvu.Rows" localSheetId="0" hidden="1">Invoerblad!#REF!,Invoerblad!#REF!,Invoerblad!#REF!</definedName>
    <definedName name="Z_C9029B8D_126A_43F1_8BE9_BB8A7DE12FBF_.wvu.Rows" localSheetId="2" hidden="1">'Invoerblad  bij lease'!$9:$10</definedName>
    <definedName name="Z_C9029B8D_126A_43F1_8BE9_BB8A7DE12FBF_.wvu.Rows" localSheetId="4" hidden="1">'Overzicht MSK toets'!$74:$74,'Overzicht MSK toets'!$77:$77</definedName>
    <definedName name="Z_D98A0717_74D0_4F54_BB8F_A337A1A9E4DF_.wvu.Cols" localSheetId="0" hidden="1">Invoerblad!$F:$F,Invoerblad!$I:$J</definedName>
    <definedName name="Z_D98A0717_74D0_4F54_BB8F_A337A1A9E4DF_.wvu.Rows" localSheetId="0" hidden="1">Invoerblad!#REF!,Invoerblad!#REF!,Invoerblad!#REF!</definedName>
    <definedName name="Z_D98A0717_74D0_4F54_BB8F_A337A1A9E4DF_.wvu.Rows" localSheetId="2" hidden="1">'Invoerblad  bij lease'!$9:$10</definedName>
    <definedName name="Z_D98A0717_74D0_4F54_BB8F_A337A1A9E4DF_.wvu.Rows" localSheetId="4" hidden="1">'Overzicht MSK toets'!$74:$74,'Overzicht MSK toets'!$77:$77</definedName>
  </definedNames>
  <calcPr calcId="191029"/>
  <customWorkbookViews>
    <customWorkbookView name="Kasper Schoonen - Persoonlijke weergave" guid="{D98A0717-74D0-4F54-BB8F-A337A1A9E4DF}" mergeInterval="0" personalView="1" maximized="1" windowWidth="1113" windowHeight="658" tabRatio="787" activeSheetId="1"/>
    <customWorkbookView name="nwi - Persoonlijke weergave" guid="{5D986420-B83B-47C8-8160-784F77FFC196}" mergeInterval="0" personalView="1" maximized="1" windowWidth="1276" windowHeight="782" tabRatio="787" activeSheetId="3"/>
    <customWorkbookView name="mht - Persoonlijke weergave" guid="{C9029B8D-126A-43F1-8BE9-BB8A7DE12FBF}" mergeInterval="0" personalView="1" maximized="1" windowWidth="1268" windowHeight="854" tabRatio="787" activeSheetId="4"/>
    <customWorkbookView name="hbu - Persoonlijke weergave" guid="{4284377C-91E6-4152-887E-8DA87560FDD6}" mergeInterval="0" personalView="1" maximized="1" windowWidth="1276" windowHeight="836" tabRatio="787" activeSheetId="10"/>
    <customWorkbookView name="sang0001 - Persoonlijke weergave" guid="{546B9E27-05F9-47A7-B161-BCC56D613799}" mergeInterval="0" personalView="1" maximized="1" windowWidth="1276" windowHeight="864" tabRatio="78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5" l="1"/>
  <c r="D12" i="15"/>
  <c r="D11" i="15"/>
  <c r="C18" i="3"/>
  <c r="C17" i="3"/>
  <c r="C16" i="3"/>
  <c r="D37" i="18" l="1"/>
  <c r="E37" i="18"/>
  <c r="F37" i="18"/>
  <c r="G37" i="18"/>
  <c r="H37" i="18"/>
  <c r="I37" i="18"/>
  <c r="J37" i="18"/>
  <c r="K37" i="18"/>
  <c r="L37" i="18"/>
  <c r="M37" i="18"/>
  <c r="C37" i="18"/>
  <c r="D24" i="18" l="1"/>
  <c r="E24" i="18"/>
  <c r="F24" i="18"/>
  <c r="G24" i="18"/>
  <c r="H24" i="18"/>
  <c r="I24" i="18"/>
  <c r="J24" i="18"/>
  <c r="K24" i="18"/>
  <c r="L24" i="18"/>
  <c r="M24" i="18"/>
  <c r="N24" i="18"/>
  <c r="O24" i="18"/>
  <c r="C24" i="18"/>
  <c r="D23" i="18"/>
  <c r="E23" i="18"/>
  <c r="F23" i="18"/>
  <c r="G23" i="18"/>
  <c r="H23" i="18"/>
  <c r="I23" i="18"/>
  <c r="J23" i="18"/>
  <c r="K23" i="18"/>
  <c r="L23" i="18"/>
  <c r="M23" i="18"/>
  <c r="N23" i="18"/>
  <c r="O23" i="18"/>
  <c r="D13" i="18"/>
  <c r="E13" i="18"/>
  <c r="F13" i="18"/>
  <c r="G13" i="18"/>
  <c r="H13" i="18"/>
  <c r="I13" i="18"/>
  <c r="J13" i="18"/>
  <c r="K13" i="18"/>
  <c r="L13" i="18"/>
  <c r="M13" i="18"/>
  <c r="N13" i="18"/>
  <c r="O13" i="18"/>
  <c r="C13" i="18"/>
  <c r="D12" i="18"/>
  <c r="E12" i="18"/>
  <c r="F12" i="18"/>
  <c r="G12" i="18"/>
  <c r="H12" i="18"/>
  <c r="I12" i="18"/>
  <c r="J12" i="18"/>
  <c r="K12" i="18"/>
  <c r="L12" i="18"/>
  <c r="M12" i="18"/>
  <c r="N12" i="18"/>
  <c r="O12" i="18"/>
  <c r="C12" i="18"/>
  <c r="D9" i="18"/>
  <c r="E9" i="18"/>
  <c r="F9" i="18"/>
  <c r="G9" i="18"/>
  <c r="H9" i="18"/>
  <c r="I9" i="18"/>
  <c r="J9" i="18"/>
  <c r="K9" i="18"/>
  <c r="L9" i="18"/>
  <c r="M9" i="18"/>
  <c r="N9" i="18"/>
  <c r="O9" i="18"/>
  <c r="C9" i="18"/>
  <c r="Q33" i="18"/>
  <c r="P33" i="18"/>
  <c r="N15" i="18"/>
  <c r="L15" i="18"/>
  <c r="J15" i="18"/>
  <c r="H15" i="18"/>
  <c r="F15" i="18"/>
  <c r="D15" i="18"/>
  <c r="S15" i="17"/>
  <c r="E4" i="17"/>
  <c r="C15" i="18" l="1"/>
  <c r="O15" i="18"/>
  <c r="M15" i="18"/>
  <c r="K15" i="18"/>
  <c r="I15" i="18"/>
  <c r="G15" i="18"/>
  <c r="E15" i="18"/>
  <c r="F4" i="17"/>
  <c r="S16" i="17"/>
  <c r="E15" i="17"/>
  <c r="G15" i="17"/>
  <c r="I15" i="17"/>
  <c r="K15" i="17"/>
  <c r="M15" i="17"/>
  <c r="O15" i="17"/>
  <c r="Q15" i="17"/>
  <c r="D15" i="17"/>
  <c r="D18" i="17" s="1"/>
  <c r="F15" i="17"/>
  <c r="F16" i="17" s="1"/>
  <c r="H15" i="17"/>
  <c r="J15" i="17"/>
  <c r="J16" i="17" s="1"/>
  <c r="L15" i="17"/>
  <c r="N15" i="17"/>
  <c r="N16" i="17" s="1"/>
  <c r="P15" i="17"/>
  <c r="R15" i="17"/>
  <c r="R16" i="17" s="1"/>
  <c r="S18" i="17" s="1"/>
  <c r="O18" i="17" l="1"/>
  <c r="O16" i="17"/>
  <c r="G18" i="17"/>
  <c r="G16" i="17"/>
  <c r="H18" i="17" s="1"/>
  <c r="G4" i="17"/>
  <c r="P18" i="17"/>
  <c r="K18" i="17"/>
  <c r="K16" i="17"/>
  <c r="L18" i="17" s="1"/>
  <c r="Q16" i="17"/>
  <c r="R18" i="17" s="1"/>
  <c r="M16" i="17"/>
  <c r="N18" i="17" s="1"/>
  <c r="I16" i="17"/>
  <c r="J18" i="17" s="1"/>
  <c r="E16" i="17"/>
  <c r="F18" i="17" s="1"/>
  <c r="P16" i="17"/>
  <c r="Q18" i="17" s="1"/>
  <c r="L16" i="17"/>
  <c r="M18" i="17" s="1"/>
  <c r="H16" i="17"/>
  <c r="I18" i="17" s="1"/>
  <c r="D16" i="17"/>
  <c r="E18" i="17" l="1"/>
  <c r="H4" i="17"/>
  <c r="I4" i="17" l="1"/>
  <c r="J4" i="17" l="1"/>
  <c r="K4" i="17" l="1"/>
  <c r="L4" i="17" l="1"/>
  <c r="M4" i="17" l="1"/>
  <c r="N4" i="17" l="1"/>
  <c r="O4" i="17" l="1"/>
  <c r="P4" i="17" l="1"/>
  <c r="Q4" i="17" l="1"/>
  <c r="R4" i="17" l="1"/>
  <c r="S4" i="17" l="1"/>
  <c r="H104" i="1" l="1"/>
  <c r="V26" i="6" l="1"/>
  <c r="W26" i="6"/>
  <c r="I27" i="6"/>
  <c r="J27" i="6"/>
  <c r="R34" i="6" s="1"/>
  <c r="K27" i="6"/>
  <c r="L27" i="6"/>
  <c r="M27" i="6"/>
  <c r="N27" i="6"/>
  <c r="N34" i="6" s="1"/>
  <c r="O27" i="6"/>
  <c r="P27" i="6"/>
  <c r="Q27" i="6"/>
  <c r="R27" i="6"/>
  <c r="J34" i="6" s="1"/>
  <c r="S27" i="6"/>
  <c r="T27" i="6"/>
  <c r="U27" i="6"/>
  <c r="V27" i="6"/>
  <c r="W27" i="6"/>
  <c r="H27" i="6"/>
  <c r="G34" i="6"/>
  <c r="H34" i="6"/>
  <c r="I34" i="6"/>
  <c r="K34" i="6"/>
  <c r="L34" i="6"/>
  <c r="M34" i="6"/>
  <c r="O34" i="6"/>
  <c r="P34" i="6"/>
  <c r="Q34" i="6"/>
  <c r="S34" i="6"/>
  <c r="T34" i="6"/>
  <c r="X84" i="1" l="1"/>
  <c r="Y84" i="1"/>
  <c r="L81" i="1" l="1"/>
  <c r="M81" i="1" l="1"/>
  <c r="N81" i="1" s="1"/>
  <c r="O81" i="1" s="1"/>
  <c r="P81" i="1" s="1"/>
  <c r="Q81" i="1" s="1"/>
  <c r="R81" i="1" s="1"/>
  <c r="S81" i="1" s="1"/>
  <c r="T81" i="1" s="1"/>
  <c r="U81" i="1" s="1"/>
  <c r="V81" i="1" s="1"/>
  <c r="W81" i="1" s="1"/>
  <c r="X81" i="1" s="1"/>
  <c r="K93" i="1"/>
  <c r="K92" i="1"/>
  <c r="X85" i="1" l="1"/>
  <c r="Y81" i="1"/>
  <c r="Y85" i="1" s="1"/>
  <c r="H81" i="1"/>
  <c r="L93" i="1"/>
  <c r="L92" i="1"/>
  <c r="E77" i="15" l="1"/>
  <c r="E76" i="15"/>
  <c r="E74" i="15"/>
  <c r="E71" i="15"/>
  <c r="E70" i="15"/>
  <c r="E69" i="15"/>
  <c r="H122" i="1" l="1"/>
  <c r="H121" i="1"/>
  <c r="H100" i="1"/>
  <c r="E98" i="15" l="1"/>
  <c r="E97" i="15"/>
  <c r="E93" i="15" l="1"/>
  <c r="E92" i="15"/>
  <c r="E91" i="15"/>
  <c r="E89" i="15"/>
  <c r="E87" i="15"/>
  <c r="E83" i="15"/>
  <c r="E67" i="15"/>
  <c r="E66" i="15"/>
  <c r="E65" i="15"/>
  <c r="E60" i="15"/>
  <c r="E59" i="15"/>
  <c r="E58" i="15"/>
  <c r="E15" i="15"/>
  <c r="E14" i="15"/>
  <c r="E13" i="15"/>
  <c r="E12" i="15"/>
  <c r="E11" i="15"/>
  <c r="F4" i="15"/>
  <c r="E2" i="7" l="1"/>
  <c r="E3" i="7"/>
  <c r="D3" i="7" s="1"/>
  <c r="E8" i="7"/>
  <c r="E9" i="7" s="1"/>
  <c r="D8" i="7"/>
  <c r="D10" i="7" s="1"/>
  <c r="D11" i="7" s="1"/>
  <c r="E31" i="7" s="1"/>
  <c r="V89" i="1"/>
  <c r="V90" i="1"/>
  <c r="U89" i="1"/>
  <c r="U90" i="1"/>
  <c r="E4" i="7"/>
  <c r="E5" i="7" s="1"/>
  <c r="E12" i="7" s="1"/>
  <c r="W89" i="1"/>
  <c r="W103" i="1" s="1"/>
  <c r="W90" i="1"/>
  <c r="E38" i="7"/>
  <c r="E39" i="7" s="1"/>
  <c r="E1" i="7"/>
  <c r="T89" i="1"/>
  <c r="T90" i="1" s="1"/>
  <c r="Q28" i="6" s="1"/>
  <c r="K35" i="6" s="1"/>
  <c r="S89" i="1"/>
  <c r="S103" i="1" s="1"/>
  <c r="S90" i="1"/>
  <c r="R89" i="1"/>
  <c r="R90" i="1" s="1"/>
  <c r="O28" i="6" s="1"/>
  <c r="M35" i="6" s="1"/>
  <c r="Q89" i="1"/>
  <c r="Q90" i="1"/>
  <c r="P89" i="1"/>
  <c r="P90" i="1" s="1"/>
  <c r="M28" i="6" s="1"/>
  <c r="O35" i="6" s="1"/>
  <c r="O89" i="1"/>
  <c r="O103" i="1" s="1"/>
  <c r="O90" i="1"/>
  <c r="N89" i="1"/>
  <c r="N90" i="1" s="1"/>
  <c r="K28" i="6" s="1"/>
  <c r="Q35" i="6" s="1"/>
  <c r="M89" i="1"/>
  <c r="M90" i="1"/>
  <c r="L89" i="1"/>
  <c r="L90" i="1" s="1"/>
  <c r="I28" i="6" s="1"/>
  <c r="S35" i="6" s="1"/>
  <c r="K89" i="1"/>
  <c r="K90" i="1"/>
  <c r="X89" i="1"/>
  <c r="X103" i="1" s="1"/>
  <c r="M103" i="1"/>
  <c r="N103" i="1"/>
  <c r="Q103" i="1"/>
  <c r="R103" i="1"/>
  <c r="U103" i="1"/>
  <c r="V103" i="1"/>
  <c r="E7" i="3"/>
  <c r="D16" i="3"/>
  <c r="D17" i="3"/>
  <c r="D18" i="3"/>
  <c r="D19" i="3"/>
  <c r="D20" i="3"/>
  <c r="K54" i="1"/>
  <c r="C8" i="12"/>
  <c r="D8" i="12"/>
  <c r="E8" i="12"/>
  <c r="F8" i="12"/>
  <c r="G8" i="12"/>
  <c r="H8" i="12"/>
  <c r="I8" i="12"/>
  <c r="J8" i="12"/>
  <c r="K8" i="12"/>
  <c r="L8" i="12"/>
  <c r="M8" i="12"/>
  <c r="N8" i="12"/>
  <c r="O8" i="12"/>
  <c r="B25" i="13"/>
  <c r="C25" i="13" s="1"/>
  <c r="B3" i="13"/>
  <c r="H28" i="6"/>
  <c r="T35" i="6" s="1"/>
  <c r="T28" i="6"/>
  <c r="H35" i="6" s="1"/>
  <c r="Y89" i="1"/>
  <c r="Y90" i="1"/>
  <c r="V28" i="6" s="1"/>
  <c r="E74" i="1"/>
  <c r="Y103" i="1"/>
  <c r="E51" i="1"/>
  <c r="E72" i="15" s="1"/>
  <c r="K51" i="1"/>
  <c r="C23" i="18" s="1"/>
  <c r="E44" i="1"/>
  <c r="B33" i="18" s="1"/>
  <c r="E68" i="1"/>
  <c r="K108" i="1"/>
  <c r="L108" i="1"/>
  <c r="M108" i="1"/>
  <c r="N108" i="1"/>
  <c r="O108" i="1"/>
  <c r="P108" i="1"/>
  <c r="Q108" i="1"/>
  <c r="R108" i="1"/>
  <c r="S108" i="1"/>
  <c r="T108" i="1"/>
  <c r="U108" i="1"/>
  <c r="V108" i="1"/>
  <c r="W108" i="1"/>
  <c r="X108" i="1"/>
  <c r="Y108" i="1"/>
  <c r="U19" i="6"/>
  <c r="V19" i="6"/>
  <c r="W19" i="6"/>
  <c r="V18" i="6"/>
  <c r="J28" i="6"/>
  <c r="R35" i="6" s="1"/>
  <c r="W85" i="1"/>
  <c r="V85" i="1"/>
  <c r="U85" i="1"/>
  <c r="T85" i="1"/>
  <c r="S85" i="1"/>
  <c r="R85" i="1"/>
  <c r="Q85" i="1"/>
  <c r="P85" i="1"/>
  <c r="O85" i="1"/>
  <c r="N85" i="1"/>
  <c r="M85" i="1"/>
  <c r="L85" i="1"/>
  <c r="K85" i="1"/>
  <c r="H85" i="1" s="1"/>
  <c r="W84" i="1"/>
  <c r="V84" i="1"/>
  <c r="U84" i="1"/>
  <c r="T84" i="1"/>
  <c r="S84" i="1"/>
  <c r="R84" i="1"/>
  <c r="Q84" i="1"/>
  <c r="P84" i="1"/>
  <c r="O84" i="1"/>
  <c r="N84" i="1"/>
  <c r="M84" i="1"/>
  <c r="L84" i="1"/>
  <c r="K84" i="1"/>
  <c r="T72" i="7"/>
  <c r="U72" i="7"/>
  <c r="V72" i="7" s="1"/>
  <c r="C72" i="7" s="1"/>
  <c r="X72" i="7" s="1"/>
  <c r="Y72" i="7" s="1"/>
  <c r="E84" i="7"/>
  <c r="F84" i="7"/>
  <c r="G84" i="7"/>
  <c r="H84" i="7"/>
  <c r="I84" i="7"/>
  <c r="J84" i="7"/>
  <c r="K84" i="7"/>
  <c r="L84" i="7"/>
  <c r="M84" i="7"/>
  <c r="N84" i="7"/>
  <c r="O84" i="7"/>
  <c r="P84" i="7"/>
  <c r="D84" i="7"/>
  <c r="U46" i="7"/>
  <c r="E63" i="7"/>
  <c r="F63" i="7"/>
  <c r="G63" i="7"/>
  <c r="H63" i="7"/>
  <c r="I63" i="7"/>
  <c r="J63" i="7"/>
  <c r="T73" i="7"/>
  <c r="U73" i="7" s="1"/>
  <c r="V73" i="7" s="1"/>
  <c r="C73" i="7" s="1"/>
  <c r="X73" i="7" s="1"/>
  <c r="Y73" i="7" s="1"/>
  <c r="X74" i="7"/>
  <c r="Y74" i="7"/>
  <c r="X71" i="7"/>
  <c r="Y71" i="7" s="1"/>
  <c r="T71" i="7"/>
  <c r="U71" i="7"/>
  <c r="V71" i="7"/>
  <c r="T74" i="7"/>
  <c r="U74" i="7"/>
  <c r="V74" i="7"/>
  <c r="T75" i="7"/>
  <c r="U75" i="7" s="1"/>
  <c r="V75" i="7" s="1"/>
  <c r="T76" i="7"/>
  <c r="U76" i="7"/>
  <c r="V76" i="7" s="1"/>
  <c r="X70" i="7"/>
  <c r="Y70" i="7"/>
  <c r="T70" i="7"/>
  <c r="U70" i="7" s="1"/>
  <c r="V70" i="7" s="1"/>
  <c r="X69" i="7"/>
  <c r="Y69" i="7"/>
  <c r="T69" i="7"/>
  <c r="U69" i="7"/>
  <c r="V69" i="7"/>
  <c r="T67" i="7"/>
  <c r="U67" i="7" s="1"/>
  <c r="V67" i="7" s="1"/>
  <c r="T68" i="7"/>
  <c r="U68" i="7"/>
  <c r="V68" i="7"/>
  <c r="T66" i="7"/>
  <c r="U66" i="7"/>
  <c r="V66" i="7"/>
  <c r="C66" i="7"/>
  <c r="X66" i="7" s="1"/>
  <c r="X68" i="7"/>
  <c r="Y68" i="7"/>
  <c r="X67" i="7"/>
  <c r="Y67" i="7" s="1"/>
  <c r="C64" i="7"/>
  <c r="T65" i="7"/>
  <c r="U65" i="7" s="1"/>
  <c r="V65" i="7" s="1"/>
  <c r="T64" i="7"/>
  <c r="U64" i="7"/>
  <c r="V64" i="7" s="1"/>
  <c r="C65" i="7"/>
  <c r="K63" i="7"/>
  <c r="L63" i="7"/>
  <c r="F38" i="7"/>
  <c r="W28" i="6"/>
  <c r="S28" i="6"/>
  <c r="I35" i="6" s="1"/>
  <c r="N9" i="7"/>
  <c r="O9" i="7"/>
  <c r="F17" i="7"/>
  <c r="C9" i="14"/>
  <c r="D9" i="14"/>
  <c r="E9" i="14"/>
  <c r="F9" i="14"/>
  <c r="G9" i="14"/>
  <c r="H9" i="14"/>
  <c r="I9" i="14"/>
  <c r="J9" i="14"/>
  <c r="K9" i="14"/>
  <c r="L9" i="14"/>
  <c r="M9" i="14"/>
  <c r="N9" i="14"/>
  <c r="O9" i="14"/>
  <c r="C11" i="14"/>
  <c r="D11" i="14"/>
  <c r="E11" i="14"/>
  <c r="F11" i="14"/>
  <c r="G11" i="14"/>
  <c r="H11" i="14"/>
  <c r="I11" i="14"/>
  <c r="J11" i="14"/>
  <c r="K11" i="14"/>
  <c r="L11" i="14"/>
  <c r="M11" i="14"/>
  <c r="N11" i="14"/>
  <c r="O11" i="14"/>
  <c r="C18" i="14"/>
  <c r="D18" i="14"/>
  <c r="E18" i="14"/>
  <c r="E23" i="14" s="1"/>
  <c r="F18" i="14"/>
  <c r="G18" i="14"/>
  <c r="H18" i="14"/>
  <c r="I18" i="14"/>
  <c r="I23" i="14" s="1"/>
  <c r="J18" i="14"/>
  <c r="K18" i="14"/>
  <c r="L18" i="14"/>
  <c r="M18" i="14"/>
  <c r="M23" i="14" s="1"/>
  <c r="M27" i="14" s="1"/>
  <c r="N18" i="14"/>
  <c r="O18" i="14"/>
  <c r="C23" i="14"/>
  <c r="D23" i="14"/>
  <c r="F23" i="14"/>
  <c r="G23" i="14"/>
  <c r="H23" i="14"/>
  <c r="J23" i="14"/>
  <c r="K23" i="14"/>
  <c r="L23" i="14"/>
  <c r="N23" i="14"/>
  <c r="O23" i="14"/>
  <c r="E65" i="1"/>
  <c r="D25" i="14" s="1"/>
  <c r="J25" i="14"/>
  <c r="M25" i="14"/>
  <c r="N25" i="14"/>
  <c r="N27" i="14" s="1"/>
  <c r="O25" i="14"/>
  <c r="O27" i="14" s="1"/>
  <c r="C31" i="14"/>
  <c r="D31" i="14"/>
  <c r="E31" i="14"/>
  <c r="F31" i="14"/>
  <c r="G31" i="14"/>
  <c r="H31" i="14"/>
  <c r="I31" i="14"/>
  <c r="J31" i="14"/>
  <c r="K31" i="14"/>
  <c r="L31" i="14"/>
  <c r="M31" i="14"/>
  <c r="N31" i="14"/>
  <c r="O31" i="14"/>
  <c r="D32" i="14"/>
  <c r="E32" i="14"/>
  <c r="F32" i="14"/>
  <c r="G32" i="14"/>
  <c r="H32" i="14"/>
  <c r="I32" i="14"/>
  <c r="J32" i="14"/>
  <c r="K32" i="14"/>
  <c r="L32" i="14"/>
  <c r="M32" i="14"/>
  <c r="N32" i="14"/>
  <c r="O32" i="14"/>
  <c r="B39" i="14"/>
  <c r="B4" i="12"/>
  <c r="F1" i="10"/>
  <c r="C9" i="10"/>
  <c r="C18" i="10" s="1"/>
  <c r="C20" i="10" s="1"/>
  <c r="C19" i="10"/>
  <c r="L28" i="6"/>
  <c r="P35" i="6" s="1"/>
  <c r="N28" i="6"/>
  <c r="N35" i="6" s="1"/>
  <c r="P28" i="6"/>
  <c r="L35" i="6" s="1"/>
  <c r="R28" i="6"/>
  <c r="J35" i="6" s="1"/>
  <c r="E59" i="1"/>
  <c r="U18" i="6"/>
  <c r="W18" i="6"/>
  <c r="C26" i="13" l="1"/>
  <c r="D25" i="13"/>
  <c r="B7" i="13"/>
  <c r="E90" i="15"/>
  <c r="H25" i="14"/>
  <c r="H90" i="1"/>
  <c r="F25" i="14"/>
  <c r="H108" i="1"/>
  <c r="X90" i="1"/>
  <c r="U28" i="6" s="1"/>
  <c r="G35" i="6" s="1"/>
  <c r="T103" i="1"/>
  <c r="P103" i="1"/>
  <c r="L103" i="1"/>
  <c r="H89" i="1"/>
  <c r="K57" i="1"/>
  <c r="E78" i="15"/>
  <c r="L25" i="14"/>
  <c r="H84" i="1"/>
  <c r="B5" i="13"/>
  <c r="E84" i="15"/>
  <c r="K103" i="1"/>
  <c r="H103" i="1" s="1"/>
  <c r="E56" i="7"/>
  <c r="E57" i="7" s="1"/>
  <c r="E17" i="7"/>
  <c r="E18" i="7"/>
  <c r="I51" i="1"/>
  <c r="I54" i="1"/>
  <c r="I57" i="1"/>
  <c r="E60" i="1"/>
  <c r="E79" i="15" s="1"/>
  <c r="E52" i="1"/>
  <c r="E73" i="15" s="1"/>
  <c r="E81" i="15"/>
  <c r="J6" i="17"/>
  <c r="I17" i="18" s="1"/>
  <c r="E6" i="17"/>
  <c r="D17" i="18" s="1"/>
  <c r="G6" i="17"/>
  <c r="F17" i="18" s="1"/>
  <c r="I6" i="17"/>
  <c r="H17" i="18" s="1"/>
  <c r="K6" i="17"/>
  <c r="J17" i="18" s="1"/>
  <c r="M6" i="17"/>
  <c r="L17" i="18" s="1"/>
  <c r="O6" i="17"/>
  <c r="N17" i="18" s="1"/>
  <c r="D6" i="17"/>
  <c r="F6" i="17"/>
  <c r="E17" i="18" s="1"/>
  <c r="H6" i="17"/>
  <c r="G17" i="18" s="1"/>
  <c r="L6" i="17"/>
  <c r="K17" i="18" s="1"/>
  <c r="N6" i="17"/>
  <c r="M17" i="18" s="1"/>
  <c r="P6" i="17"/>
  <c r="O17" i="18" s="1"/>
  <c r="K25" i="14"/>
  <c r="I25" i="14"/>
  <c r="G25" i="14"/>
  <c r="E25" i="14"/>
  <c r="C25" i="14"/>
  <c r="E14" i="7"/>
  <c r="E15" i="7"/>
  <c r="K15" i="1"/>
  <c r="L15" i="1" s="1"/>
  <c r="M15" i="1" s="1"/>
  <c r="N15" i="1" s="1"/>
  <c r="O15" i="1" s="1"/>
  <c r="P15" i="1" s="1"/>
  <c r="Q15" i="1" s="1"/>
  <c r="R15" i="1" s="1"/>
  <c r="S15" i="1" s="1"/>
  <c r="T15" i="1" s="1"/>
  <c r="U15" i="1" s="1"/>
  <c r="V15" i="1" s="1"/>
  <c r="W15" i="1" s="1"/>
  <c r="X15" i="1" s="1"/>
  <c r="D9" i="7"/>
  <c r="D5" i="7"/>
  <c r="D12" i="7" s="1"/>
  <c r="K17" i="1"/>
  <c r="K20" i="1" s="1"/>
  <c r="H26" i="6" s="1"/>
  <c r="T33" i="6" s="1"/>
  <c r="E32" i="7"/>
  <c r="K16" i="1"/>
  <c r="K19" i="1" s="1"/>
  <c r="K99" i="1" s="1"/>
  <c r="K107" i="1" s="1"/>
  <c r="C7" i="18" s="1"/>
  <c r="E10" i="7"/>
  <c r="E45" i="7" s="1"/>
  <c r="V46" i="7" s="1"/>
  <c r="E29" i="7"/>
  <c r="E22" i="7"/>
  <c r="K49" i="1"/>
  <c r="L49" i="1" s="1"/>
  <c r="M49" i="1" s="1"/>
  <c r="N49" i="1" s="1"/>
  <c r="O49" i="1" s="1"/>
  <c r="P49" i="1" s="1"/>
  <c r="Q49" i="1" s="1"/>
  <c r="R49" i="1" s="1"/>
  <c r="S49" i="1" s="1"/>
  <c r="T49" i="1" s="1"/>
  <c r="U49" i="1" s="1"/>
  <c r="V49" i="1" s="1"/>
  <c r="W49" i="1" s="1"/>
  <c r="X49" i="1" s="1"/>
  <c r="Y49" i="1" s="1"/>
  <c r="E11" i="7"/>
  <c r="E24" i="7" s="1"/>
  <c r="K91" i="1"/>
  <c r="E95" i="15"/>
  <c r="Y92" i="1"/>
  <c r="Y93" i="1"/>
  <c r="X92" i="1"/>
  <c r="X93" i="1"/>
  <c r="W92" i="1"/>
  <c r="W93" i="1"/>
  <c r="V92" i="1"/>
  <c r="V93" i="1"/>
  <c r="U92" i="1"/>
  <c r="U93" i="1"/>
  <c r="T92" i="1"/>
  <c r="T93" i="1"/>
  <c r="S92" i="1"/>
  <c r="S93" i="1"/>
  <c r="R92" i="1"/>
  <c r="R93" i="1"/>
  <c r="Q92" i="1"/>
  <c r="Q93" i="1"/>
  <c r="P92" i="1"/>
  <c r="P93" i="1"/>
  <c r="O92" i="1"/>
  <c r="O93" i="1"/>
  <c r="N92" i="1"/>
  <c r="N93" i="1"/>
  <c r="M92" i="1"/>
  <c r="M93" i="1"/>
  <c r="E94" i="15"/>
  <c r="E16" i="15"/>
  <c r="E7" i="15"/>
  <c r="D21" i="3"/>
  <c r="C32" i="14"/>
  <c r="D26" i="13" l="1"/>
  <c r="E25" i="13"/>
  <c r="C8" i="14"/>
  <c r="C16" i="14" s="1"/>
  <c r="D12" i="3"/>
  <c r="C17" i="18"/>
  <c r="U6" i="17"/>
  <c r="D14" i="7"/>
  <c r="D15" i="7"/>
  <c r="K78" i="1"/>
  <c r="L78" i="1" s="1"/>
  <c r="M78" i="1" s="1"/>
  <c r="N78" i="1" s="1"/>
  <c r="O78" i="1" s="1"/>
  <c r="P78" i="1" s="1"/>
  <c r="Q78" i="1" s="1"/>
  <c r="R78" i="1" s="1"/>
  <c r="S78" i="1" s="1"/>
  <c r="T78" i="1" s="1"/>
  <c r="U78" i="1" s="1"/>
  <c r="V78" i="1" s="1"/>
  <c r="W78" i="1" s="1"/>
  <c r="X78" i="1" s="1"/>
  <c r="Y78" i="1" s="1"/>
  <c r="K98" i="1"/>
  <c r="L98" i="1" s="1"/>
  <c r="M98" i="1" s="1"/>
  <c r="N98" i="1" s="1"/>
  <c r="O98" i="1" s="1"/>
  <c r="P98" i="1" s="1"/>
  <c r="Q98" i="1" s="1"/>
  <c r="R98" i="1" s="1"/>
  <c r="S98" i="1" s="1"/>
  <c r="T98" i="1" s="1"/>
  <c r="U98" i="1" s="1"/>
  <c r="V98" i="1" s="1"/>
  <c r="W98" i="1" s="1"/>
  <c r="X98" i="1" s="1"/>
  <c r="Y98" i="1" s="1"/>
  <c r="E19" i="7"/>
  <c r="E25" i="7"/>
  <c r="C7" i="12"/>
  <c r="C10" i="12" s="1"/>
  <c r="G4" i="6"/>
  <c r="T9" i="6" s="1"/>
  <c r="T17" i="6" s="1"/>
  <c r="C8" i="18"/>
  <c r="C10" i="18" s="1"/>
  <c r="U4" i="6"/>
  <c r="E26" i="13" l="1"/>
  <c r="F25" i="13"/>
  <c r="C25" i="18"/>
  <c r="C12" i="12"/>
  <c r="F28" i="7"/>
  <c r="G28" i="7" s="1"/>
  <c r="F21" i="7"/>
  <c r="G21" i="7" s="1"/>
  <c r="F26" i="13" l="1"/>
  <c r="G25" i="13"/>
  <c r="F22" i="7"/>
  <c r="G22" i="7" s="1"/>
  <c r="F24" i="7"/>
  <c r="F29" i="7"/>
  <c r="G29" i="7" s="1"/>
  <c r="F31" i="7"/>
  <c r="H21" i="7"/>
  <c r="H28" i="7"/>
  <c r="I28" i="7" s="1"/>
  <c r="G26" i="13" l="1"/>
  <c r="H25" i="13"/>
  <c r="H29" i="7"/>
  <c r="I29" i="7" s="1"/>
  <c r="F49" i="7"/>
  <c r="F50" i="7" s="1"/>
  <c r="D7" i="12"/>
  <c r="D10" i="12" s="1"/>
  <c r="F25" i="7"/>
  <c r="G24" i="7" s="1"/>
  <c r="J28" i="7"/>
  <c r="I21" i="7"/>
  <c r="L17" i="1"/>
  <c r="L20" i="1" s="1"/>
  <c r="F32" i="7"/>
  <c r="G31" i="7" s="1"/>
  <c r="L16" i="1"/>
  <c r="L19" i="1" s="1"/>
  <c r="L99" i="1" s="1"/>
  <c r="H22" i="7"/>
  <c r="I22" i="7" s="1"/>
  <c r="L107" i="1"/>
  <c r="M17" i="1"/>
  <c r="M20" i="1" s="1"/>
  <c r="J26" i="6" s="1"/>
  <c r="M16" i="1"/>
  <c r="M19" i="1" s="1"/>
  <c r="G32" i="7"/>
  <c r="G49" i="7"/>
  <c r="G50" i="7" s="1"/>
  <c r="E7" i="12"/>
  <c r="E10" i="12" s="1"/>
  <c r="G25" i="7"/>
  <c r="Y99" i="1"/>
  <c r="Y107" i="1" s="1"/>
  <c r="H26" i="13" l="1"/>
  <c r="I25" i="13"/>
  <c r="E12" i="12"/>
  <c r="E25" i="18"/>
  <c r="I26" i="6"/>
  <c r="S33" i="6" s="1"/>
  <c r="L91" i="1"/>
  <c r="K28" i="7"/>
  <c r="D12" i="12"/>
  <c r="D25" i="18"/>
  <c r="J29" i="7"/>
  <c r="J21" i="7"/>
  <c r="J22" i="7" s="1"/>
  <c r="D7" i="18"/>
  <c r="M91" i="1"/>
  <c r="D8" i="14"/>
  <c r="D16" i="14" s="1"/>
  <c r="H24" i="7"/>
  <c r="H31" i="7"/>
  <c r="M99" i="1"/>
  <c r="R33" i="6"/>
  <c r="I26" i="13" l="1"/>
  <c r="J25" i="13"/>
  <c r="K29" i="7"/>
  <c r="H4" i="6"/>
  <c r="S9" i="6" s="1"/>
  <c r="S17" i="6" s="1"/>
  <c r="D8" i="18"/>
  <c r="D10" i="18" s="1"/>
  <c r="L28" i="7"/>
  <c r="K21" i="7"/>
  <c r="I4" i="6"/>
  <c r="R9" i="6" s="1"/>
  <c r="R17" i="6" s="1"/>
  <c r="E8" i="18"/>
  <c r="M107" i="1"/>
  <c r="N17" i="1"/>
  <c r="N20" i="1" s="1"/>
  <c r="K26" i="6" s="1"/>
  <c r="N16" i="1"/>
  <c r="N19" i="1" s="1"/>
  <c r="H32" i="7"/>
  <c r="H49" i="7"/>
  <c r="H50" i="7" s="1"/>
  <c r="F7" i="12"/>
  <c r="F10" i="12" s="1"/>
  <c r="H25" i="7"/>
  <c r="J26" i="13" l="1"/>
  <c r="K25" i="13"/>
  <c r="L21" i="7"/>
  <c r="M21" i="7" s="1"/>
  <c r="F12" i="12"/>
  <c r="F25" i="18"/>
  <c r="M28" i="7"/>
  <c r="N28" i="7" s="1"/>
  <c r="O28" i="7" s="1"/>
  <c r="P28" i="7" s="1"/>
  <c r="Q28" i="7" s="1"/>
  <c r="R28" i="7" s="1"/>
  <c r="L29" i="7"/>
  <c r="K22" i="7"/>
  <c r="E7" i="18"/>
  <c r="E10" i="18" s="1"/>
  <c r="E8" i="14"/>
  <c r="E16" i="14" s="1"/>
  <c r="N91" i="1"/>
  <c r="I24" i="7"/>
  <c r="I31" i="7"/>
  <c r="N99" i="1"/>
  <c r="Q33" i="6"/>
  <c r="K26" i="13" l="1"/>
  <c r="L25" i="13"/>
  <c r="L22" i="7"/>
  <c r="M22" i="7" s="1"/>
  <c r="M29" i="7"/>
  <c r="N29" i="7" s="1"/>
  <c r="O29" i="7" s="1"/>
  <c r="P29" i="7" s="1"/>
  <c r="Q29" i="7" s="1"/>
  <c r="R29" i="7"/>
  <c r="R31" i="7"/>
  <c r="S28" i="7"/>
  <c r="N21" i="7"/>
  <c r="O21" i="7" s="1"/>
  <c r="P21" i="7" s="1"/>
  <c r="Q21" i="7" s="1"/>
  <c r="R21" i="7" s="1"/>
  <c r="J4" i="6"/>
  <c r="Q9" i="6" s="1"/>
  <c r="Q17" i="6" s="1"/>
  <c r="F8" i="18"/>
  <c r="N107" i="1"/>
  <c r="O17" i="1"/>
  <c r="O20" i="1" s="1"/>
  <c r="L26" i="6" s="1"/>
  <c r="O16" i="1"/>
  <c r="O19" i="1" s="1"/>
  <c r="I32" i="7"/>
  <c r="I49" i="7"/>
  <c r="I50" i="7" s="1"/>
  <c r="G7" i="12"/>
  <c r="G10" i="12" s="1"/>
  <c r="I25" i="7"/>
  <c r="N22" i="7" l="1"/>
  <c r="O22" i="7" s="1"/>
  <c r="M25" i="13"/>
  <c r="N25" i="13" s="1"/>
  <c r="O25" i="13" s="1"/>
  <c r="P25" i="13" s="1"/>
  <c r="Q25" i="13" s="1"/>
  <c r="L26" i="13"/>
  <c r="B29" i="13" s="1"/>
  <c r="R22" i="7"/>
  <c r="R24" i="7"/>
  <c r="S21" i="7"/>
  <c r="G12" i="12"/>
  <c r="G25" i="18"/>
  <c r="P22" i="7"/>
  <c r="Q22" i="7" s="1"/>
  <c r="S29" i="7"/>
  <c r="S31" i="7"/>
  <c r="T28" i="7"/>
  <c r="F7" i="18"/>
  <c r="F10" i="18" s="1"/>
  <c r="O91" i="1"/>
  <c r="G8" i="18" s="1"/>
  <c r="F8" i="14"/>
  <c r="F16" i="14" s="1"/>
  <c r="J24" i="7"/>
  <c r="J31" i="7"/>
  <c r="O99" i="1"/>
  <c r="O107" i="1" s="1"/>
  <c r="P33" i="6"/>
  <c r="E6" i="15" l="1"/>
  <c r="E9" i="15" s="1"/>
  <c r="D11" i="3"/>
  <c r="D14" i="3" s="1"/>
  <c r="E72" i="1"/>
  <c r="E88" i="15" s="1"/>
  <c r="K4" i="6"/>
  <c r="P9" i="6" s="1"/>
  <c r="P17" i="6" s="1"/>
  <c r="R49" i="7"/>
  <c r="R50" i="7" s="1"/>
  <c r="X16" i="1"/>
  <c r="X19" i="1" s="1"/>
  <c r="X99" i="1" s="1"/>
  <c r="X107" i="1" s="1"/>
  <c r="X17" i="1"/>
  <c r="X20" i="1" s="1"/>
  <c r="U26" i="6" s="1"/>
  <c r="G33" i="6" s="1"/>
  <c r="T29" i="7"/>
  <c r="T31" i="7"/>
  <c r="U28" i="7"/>
  <c r="S22" i="7"/>
  <c r="S24" i="7"/>
  <c r="S49" i="7" s="1"/>
  <c r="S50" i="7" s="1"/>
  <c r="T21" i="7"/>
  <c r="G8" i="14"/>
  <c r="G16" i="14" s="1"/>
  <c r="G7" i="18"/>
  <c r="G10" i="18" s="1"/>
  <c r="P17" i="1"/>
  <c r="P20" i="1" s="1"/>
  <c r="M26" i="6" s="1"/>
  <c r="P16" i="1"/>
  <c r="P19" i="1" s="1"/>
  <c r="J32" i="7"/>
  <c r="J49" i="7"/>
  <c r="J50" i="7" s="1"/>
  <c r="H7" i="12"/>
  <c r="H10" i="12" s="1"/>
  <c r="J25" i="7"/>
  <c r="H12" i="12" l="1"/>
  <c r="H25" i="18"/>
  <c r="U29" i="7"/>
  <c r="U31" i="7"/>
  <c r="V28" i="7"/>
  <c r="T22" i="7"/>
  <c r="T24" i="7"/>
  <c r="T49" i="7" s="1"/>
  <c r="T50" i="7" s="1"/>
  <c r="U21" i="7"/>
  <c r="P91" i="1"/>
  <c r="H8" i="18" s="1"/>
  <c r="K24" i="7"/>
  <c r="K31" i="7"/>
  <c r="P99" i="1"/>
  <c r="P107" i="1" s="1"/>
  <c r="O33" i="6"/>
  <c r="U22" i="7" l="1"/>
  <c r="U24" i="7"/>
  <c r="U49" i="7" s="1"/>
  <c r="U50" i="7" s="1"/>
  <c r="V21" i="7"/>
  <c r="V29" i="7"/>
  <c r="V31" i="7"/>
  <c r="W28" i="7"/>
  <c r="L4" i="6"/>
  <c r="O9" i="6" s="1"/>
  <c r="O17" i="6" s="1"/>
  <c r="H8" i="14"/>
  <c r="H16" i="14" s="1"/>
  <c r="H7" i="18"/>
  <c r="H10" i="18" s="1"/>
  <c r="Q17" i="1"/>
  <c r="Q20" i="1" s="1"/>
  <c r="N26" i="6" s="1"/>
  <c r="Q16" i="1"/>
  <c r="Q19" i="1" s="1"/>
  <c r="K32" i="7"/>
  <c r="K49" i="7"/>
  <c r="K50" i="7" s="1"/>
  <c r="I7" i="12"/>
  <c r="I10" i="12" s="1"/>
  <c r="K25" i="7"/>
  <c r="I12" i="12" l="1"/>
  <c r="I25" i="18"/>
  <c r="W29" i="7"/>
  <c r="W31" i="7"/>
  <c r="X28" i="7"/>
  <c r="V22" i="7"/>
  <c r="V24" i="7"/>
  <c r="V49" i="7" s="1"/>
  <c r="V50" i="7" s="1"/>
  <c r="W21" i="7"/>
  <c r="Q91" i="1"/>
  <c r="I8" i="18" s="1"/>
  <c r="L24" i="7"/>
  <c r="L31" i="7"/>
  <c r="Q99" i="1"/>
  <c r="Q107" i="1" s="1"/>
  <c r="N33" i="6"/>
  <c r="W22" i="7" l="1"/>
  <c r="W24" i="7"/>
  <c r="W49" i="7" s="1"/>
  <c r="W50" i="7" s="1"/>
  <c r="X21" i="7"/>
  <c r="X29" i="7"/>
  <c r="X31" i="7"/>
  <c r="M4" i="6"/>
  <c r="N9" i="6" s="1"/>
  <c r="N17" i="6" s="1"/>
  <c r="I8" i="14"/>
  <c r="I16" i="14" s="1"/>
  <c r="I7" i="18"/>
  <c r="I10" i="18" s="1"/>
  <c r="R17" i="1"/>
  <c r="R20" i="1" s="1"/>
  <c r="O26" i="6" s="1"/>
  <c r="R16" i="1"/>
  <c r="R19" i="1" s="1"/>
  <c r="L32" i="7"/>
  <c r="L49" i="7"/>
  <c r="L50" i="7" s="1"/>
  <c r="J7" i="12"/>
  <c r="J10" i="12" s="1"/>
  <c r="L25" i="7"/>
  <c r="J12" i="12" l="1"/>
  <c r="J25" i="18"/>
  <c r="X22" i="7"/>
  <c r="X24" i="7"/>
  <c r="X49" i="7" s="1"/>
  <c r="X50" i="7" s="1"/>
  <c r="R91" i="1"/>
  <c r="J8" i="18" s="1"/>
  <c r="M24" i="7"/>
  <c r="M31" i="7"/>
  <c r="R99" i="1"/>
  <c r="R107" i="1" s="1"/>
  <c r="M33" i="6"/>
  <c r="N4" i="6" l="1"/>
  <c r="M9" i="6" s="1"/>
  <c r="M17" i="6" s="1"/>
  <c r="J8" i="14"/>
  <c r="J16" i="14" s="1"/>
  <c r="J7" i="18"/>
  <c r="J10" i="18" s="1"/>
  <c r="S17" i="1"/>
  <c r="S20" i="1" s="1"/>
  <c r="P26" i="6" s="1"/>
  <c r="S16" i="1"/>
  <c r="S19" i="1" s="1"/>
  <c r="M32" i="7"/>
  <c r="M49" i="7"/>
  <c r="M50" i="7" s="1"/>
  <c r="K7" i="12"/>
  <c r="K10" i="12" s="1"/>
  <c r="M25" i="7"/>
  <c r="K12" i="12" l="1"/>
  <c r="K25" i="18"/>
  <c r="S91" i="1"/>
  <c r="K8" i="18" s="1"/>
  <c r="N24" i="7"/>
  <c r="N31" i="7"/>
  <c r="S99" i="1"/>
  <c r="S107" i="1" s="1"/>
  <c r="L33" i="6"/>
  <c r="O4" i="6" l="1"/>
  <c r="L9" i="6" s="1"/>
  <c r="L17" i="6" s="1"/>
  <c r="K8" i="14"/>
  <c r="K16" i="14" s="1"/>
  <c r="K7" i="18"/>
  <c r="K10" i="18" s="1"/>
  <c r="T17" i="1"/>
  <c r="T20" i="1" s="1"/>
  <c r="Q26" i="6" s="1"/>
  <c r="T16" i="1"/>
  <c r="T19" i="1" s="1"/>
  <c r="N32" i="7"/>
  <c r="N49" i="7"/>
  <c r="N50" i="7" s="1"/>
  <c r="L7" i="12"/>
  <c r="L10" i="12" s="1"/>
  <c r="N25" i="7"/>
  <c r="L12" i="12" l="1"/>
  <c r="L25" i="18"/>
  <c r="T91" i="1"/>
  <c r="L8" i="18" s="1"/>
  <c r="O24" i="7"/>
  <c r="O31" i="7"/>
  <c r="T99" i="1"/>
  <c r="T107" i="1" s="1"/>
  <c r="K33" i="6"/>
  <c r="P4" i="6" l="1"/>
  <c r="K9" i="6" s="1"/>
  <c r="K17" i="6" s="1"/>
  <c r="L8" i="14"/>
  <c r="L16" i="14" s="1"/>
  <c r="L7" i="18"/>
  <c r="L10" i="18" s="1"/>
  <c r="U17" i="1"/>
  <c r="U20" i="1" s="1"/>
  <c r="R26" i="6" s="1"/>
  <c r="U16" i="1"/>
  <c r="U19" i="1" s="1"/>
  <c r="O32" i="7"/>
  <c r="O49" i="7"/>
  <c r="O50" i="7" s="1"/>
  <c r="M7" i="12"/>
  <c r="M10" i="12" s="1"/>
  <c r="O25" i="7"/>
  <c r="M12" i="12" l="1"/>
  <c r="M25" i="18"/>
  <c r="U91" i="1"/>
  <c r="M8" i="18" s="1"/>
  <c r="P24" i="7"/>
  <c r="P31" i="7"/>
  <c r="U99" i="1"/>
  <c r="U107" i="1" s="1"/>
  <c r="J33" i="6"/>
  <c r="Q4" i="6" l="1"/>
  <c r="J9" i="6" s="1"/>
  <c r="J17" i="6" s="1"/>
  <c r="M8" i="14"/>
  <c r="M16" i="14" s="1"/>
  <c r="M29" i="14" s="1"/>
  <c r="M34" i="14" s="1"/>
  <c r="M36" i="14" s="1"/>
  <c r="M7" i="18"/>
  <c r="M10" i="18" s="1"/>
  <c r="V17" i="1"/>
  <c r="V20" i="1" s="1"/>
  <c r="S26" i="6" s="1"/>
  <c r="V16" i="1"/>
  <c r="V19" i="1" s="1"/>
  <c r="P32" i="7"/>
  <c r="P49" i="7"/>
  <c r="P50" i="7" s="1"/>
  <c r="N7" i="12"/>
  <c r="N10" i="12" s="1"/>
  <c r="P25" i="7"/>
  <c r="M37" i="14" l="1"/>
  <c r="M39" i="14" s="1"/>
  <c r="M41" i="14" s="1"/>
  <c r="N12" i="12"/>
  <c r="N25" i="18"/>
  <c r="Q24" i="7"/>
  <c r="Q31" i="7"/>
  <c r="V99" i="1"/>
  <c r="V107" i="1" s="1"/>
  <c r="I33" i="6"/>
  <c r="V91" i="1"/>
  <c r="R4" i="6" l="1"/>
  <c r="N8" i="18"/>
  <c r="N8" i="14"/>
  <c r="N16" i="14" s="1"/>
  <c r="N29" i="14" s="1"/>
  <c r="N34" i="14" s="1"/>
  <c r="N36" i="14" s="1"/>
  <c r="N7" i="18"/>
  <c r="N10" i="18" s="1"/>
  <c r="W17" i="1"/>
  <c r="W20" i="1" s="1"/>
  <c r="T26" i="6" s="1"/>
  <c r="W16" i="1"/>
  <c r="W19" i="1" s="1"/>
  <c r="H19" i="1" s="1"/>
  <c r="E62" i="15" s="1"/>
  <c r="Q32" i="7"/>
  <c r="R32" i="7" s="1"/>
  <c r="S32" i="7" s="1"/>
  <c r="T32" i="7" s="1"/>
  <c r="U32" i="7" s="1"/>
  <c r="V32" i="7" s="1"/>
  <c r="W32" i="7" s="1"/>
  <c r="X32" i="7" s="1"/>
  <c r="Q49" i="7"/>
  <c r="Q50" i="7" s="1"/>
  <c r="D50" i="7" s="1"/>
  <c r="O7" i="12"/>
  <c r="O10" i="12" s="1"/>
  <c r="D49" i="7"/>
  <c r="Q25" i="7"/>
  <c r="R25" i="7" s="1"/>
  <c r="S25" i="7" s="1"/>
  <c r="T25" i="7" s="1"/>
  <c r="U25" i="7" s="1"/>
  <c r="V25" i="7" s="1"/>
  <c r="W25" i="7" s="1"/>
  <c r="X25" i="7" s="1"/>
  <c r="O12" i="12" l="1"/>
  <c r="C14" i="12" s="1"/>
  <c r="E55" i="1" s="1"/>
  <c r="E75" i="15" s="1"/>
  <c r="O25" i="18"/>
  <c r="N37" i="14"/>
  <c r="N39" i="14" s="1"/>
  <c r="N41" i="14" s="1"/>
  <c r="H20" i="1"/>
  <c r="E63" i="15" s="1"/>
  <c r="X91" i="1"/>
  <c r="T4" i="6" s="1"/>
  <c r="G9" i="6" s="1"/>
  <c r="G36" i="6" s="1"/>
  <c r="D51" i="7"/>
  <c r="E46" i="7" s="1"/>
  <c r="W99" i="1"/>
  <c r="H33" i="6"/>
  <c r="W91" i="1"/>
  <c r="C15" i="12" l="1"/>
  <c r="I122" i="1"/>
  <c r="I120" i="1"/>
  <c r="I118" i="1"/>
  <c r="I113" i="1"/>
  <c r="I111" i="1"/>
  <c r="I109" i="1"/>
  <c r="I121" i="1"/>
  <c r="I119" i="1"/>
  <c r="I117" i="1"/>
  <c r="I112" i="1"/>
  <c r="I110" i="1"/>
  <c r="I108" i="1"/>
  <c r="I30" i="1"/>
  <c r="S4" i="6"/>
  <c r="S5" i="6" s="1"/>
  <c r="O8" i="18"/>
  <c r="G10" i="6"/>
  <c r="G18" i="6" s="1"/>
  <c r="G17" i="6"/>
  <c r="I91" i="1"/>
  <c r="I92" i="1"/>
  <c r="I93" i="1"/>
  <c r="T5" i="6"/>
  <c r="U5" i="6"/>
  <c r="U6" i="6" s="1"/>
  <c r="R5" i="6"/>
  <c r="I11" i="6" s="1"/>
  <c r="I19" i="6" s="1"/>
  <c r="H91" i="1"/>
  <c r="W107" i="1"/>
  <c r="O8" i="14" s="1"/>
  <c r="O16" i="14" s="1"/>
  <c r="O29" i="14" s="1"/>
  <c r="H99" i="1"/>
  <c r="I9" i="6"/>
  <c r="I17" i="6" s="1"/>
  <c r="G5" i="6"/>
  <c r="H5" i="6"/>
  <c r="S11" i="6" s="1"/>
  <c r="S19" i="6" s="1"/>
  <c r="Q5" i="6"/>
  <c r="J11" i="6" s="1"/>
  <c r="J19" i="6" s="1"/>
  <c r="P5" i="6"/>
  <c r="K11" i="6" s="1"/>
  <c r="K19" i="6" s="1"/>
  <c r="O5" i="6"/>
  <c r="L11" i="6" s="1"/>
  <c r="L19" i="6" s="1"/>
  <c r="N5" i="6"/>
  <c r="M11" i="6" s="1"/>
  <c r="M19" i="6" s="1"/>
  <c r="M5" i="6"/>
  <c r="N11" i="6" s="1"/>
  <c r="N19" i="6" s="1"/>
  <c r="L5" i="6"/>
  <c r="O11" i="6" s="1"/>
  <c r="O19" i="6" s="1"/>
  <c r="K5" i="6"/>
  <c r="P11" i="6" s="1"/>
  <c r="P19" i="6" s="1"/>
  <c r="J5" i="6"/>
  <c r="Q11" i="6" s="1"/>
  <c r="Q19" i="6" s="1"/>
  <c r="I5" i="6"/>
  <c r="R11" i="6" s="1"/>
  <c r="R19" i="6" s="1"/>
  <c r="D77" i="7"/>
  <c r="W46" i="7"/>
  <c r="D76" i="7"/>
  <c r="E17" i="15"/>
  <c r="E18" i="15" s="1"/>
  <c r="F19" i="15" s="1"/>
  <c r="F21" i="15" s="1"/>
  <c r="D22" i="3"/>
  <c r="D23" i="3" s="1"/>
  <c r="E61" i="1"/>
  <c r="E80" i="15" s="1"/>
  <c r="F27" i="15" l="1"/>
  <c r="O7" i="18"/>
  <c r="O10" i="18" s="1"/>
  <c r="I107" i="1"/>
  <c r="F23" i="15" s="1"/>
  <c r="H107" i="1"/>
  <c r="E96" i="15" s="1"/>
  <c r="E38" i="3"/>
  <c r="G11" i="6"/>
  <c r="G12" i="6" s="1"/>
  <c r="T6" i="6"/>
  <c r="F25" i="15"/>
  <c r="F24" i="15"/>
  <c r="E66" i="1"/>
  <c r="E24" i="3"/>
  <c r="E26" i="3" s="1"/>
  <c r="H46" i="6"/>
  <c r="E34" i="3"/>
  <c r="E32" i="3"/>
  <c r="T11" i="6"/>
  <c r="T19" i="6" s="1"/>
  <c r="J9" i="3"/>
  <c r="J10" i="3" s="1"/>
  <c r="J11" i="3" s="1"/>
  <c r="O34" i="14"/>
  <c r="O36" i="14" s="1"/>
  <c r="O37" i="14" s="1"/>
  <c r="O39" i="14" s="1"/>
  <c r="O41" i="14" s="1"/>
  <c r="H9" i="6"/>
  <c r="N29" i="6" s="1"/>
  <c r="N30" i="6"/>
  <c r="E30" i="3" l="1"/>
  <c r="G19" i="6"/>
  <c r="G20" i="6" s="1"/>
  <c r="H10" i="6"/>
  <c r="H11" i="6"/>
  <c r="S6" i="6"/>
  <c r="R6" i="6" s="1"/>
  <c r="Q6" i="6" s="1"/>
  <c r="P6" i="6" s="1"/>
  <c r="O6" i="6" s="1"/>
  <c r="N6" i="6" s="1"/>
  <c r="M6" i="6" s="1"/>
  <c r="L6" i="6" s="1"/>
  <c r="K6" i="6" s="1"/>
  <c r="J6" i="6" s="1"/>
  <c r="I6" i="6" s="1"/>
  <c r="H6" i="6" s="1"/>
  <c r="G6" i="6" s="1"/>
  <c r="H17" i="6"/>
  <c r="E82" i="15"/>
  <c r="C3" i="13"/>
  <c r="E69" i="1"/>
  <c r="E70" i="1"/>
  <c r="C5" i="13"/>
  <c r="B12" i="13" s="1"/>
  <c r="J12" i="3"/>
  <c r="C14" i="13" l="1"/>
  <c r="C18" i="18" s="1"/>
  <c r="C19" i="18" s="1"/>
  <c r="C21" i="18" s="1"/>
  <c r="C28" i="18" s="1"/>
  <c r="C30" i="18" s="1"/>
  <c r="C31" i="18" s="1"/>
  <c r="C12" i="13"/>
  <c r="E86" i="15"/>
  <c r="C26" i="14"/>
  <c r="C27" i="14" s="1"/>
  <c r="C29" i="14" s="1"/>
  <c r="D26" i="14"/>
  <c r="D27" i="14" s="1"/>
  <c r="D29" i="14" s="1"/>
  <c r="E26" i="14"/>
  <c r="E27" i="14" s="1"/>
  <c r="E29" i="14" s="1"/>
  <c r="F26" i="14"/>
  <c r="F27" i="14" s="1"/>
  <c r="F29" i="14" s="1"/>
  <c r="G26" i="14"/>
  <c r="G27" i="14" s="1"/>
  <c r="G29" i="14" s="1"/>
  <c r="H26" i="14"/>
  <c r="H27" i="14" s="1"/>
  <c r="H29" i="14" s="1"/>
  <c r="I26" i="14"/>
  <c r="I27" i="14" s="1"/>
  <c r="I29" i="14" s="1"/>
  <c r="J26" i="14"/>
  <c r="J27" i="14" s="1"/>
  <c r="J29" i="14" s="1"/>
  <c r="K26" i="14"/>
  <c r="K27" i="14" s="1"/>
  <c r="K29" i="14" s="1"/>
  <c r="L26" i="14"/>
  <c r="L27" i="14" s="1"/>
  <c r="L29" i="14" s="1"/>
  <c r="E85" i="15"/>
  <c r="B13" i="13"/>
  <c r="C2" i="13"/>
  <c r="F37" i="15"/>
  <c r="E55" i="3"/>
  <c r="H18" i="6"/>
  <c r="I10" i="6"/>
  <c r="H19" i="6"/>
  <c r="I16" i="6"/>
  <c r="J13" i="3"/>
  <c r="N16" i="6"/>
  <c r="C33" i="18" l="1"/>
  <c r="C46" i="18"/>
  <c r="W20" i="6"/>
  <c r="V20" i="6"/>
  <c r="U20" i="6"/>
  <c r="T20" i="6"/>
  <c r="S20" i="6"/>
  <c r="R20" i="6"/>
  <c r="Q20" i="6"/>
  <c r="P20" i="6"/>
  <c r="O20" i="6"/>
  <c r="N20" i="6"/>
  <c r="M20" i="6"/>
  <c r="L20" i="6"/>
  <c r="K20" i="6"/>
  <c r="J20" i="6"/>
  <c r="I20" i="6"/>
  <c r="H20" i="6"/>
  <c r="X20" i="6"/>
  <c r="J10" i="6"/>
  <c r="I18" i="6"/>
  <c r="C15" i="13"/>
  <c r="C13" i="13"/>
  <c r="L34" i="14"/>
  <c r="L36" i="14" s="1"/>
  <c r="L37" i="14" s="1"/>
  <c r="L39" i="14" s="1"/>
  <c r="L41" i="14" s="1"/>
  <c r="K34" i="14"/>
  <c r="K36" i="14" s="1"/>
  <c r="K37" i="14" s="1"/>
  <c r="K39" i="14" s="1"/>
  <c r="K41" i="14" s="1"/>
  <c r="J34" i="14"/>
  <c r="J36" i="14" s="1"/>
  <c r="J37" i="14" s="1"/>
  <c r="J39" i="14" s="1"/>
  <c r="J41" i="14" s="1"/>
  <c r="I34" i="14"/>
  <c r="I36" i="14" s="1"/>
  <c r="I37" i="14" s="1"/>
  <c r="I39" i="14" s="1"/>
  <c r="I41" i="14" s="1"/>
  <c r="H34" i="14"/>
  <c r="H36" i="14" s="1"/>
  <c r="H37" i="14" s="1"/>
  <c r="H39" i="14" s="1"/>
  <c r="H41" i="14" s="1"/>
  <c r="G34" i="14"/>
  <c r="G36" i="14" s="1"/>
  <c r="G37" i="14" s="1"/>
  <c r="G39" i="14" s="1"/>
  <c r="G41" i="14" s="1"/>
  <c r="F34" i="14"/>
  <c r="F36" i="14" s="1"/>
  <c r="F37" i="14" s="1"/>
  <c r="F39" i="14" s="1"/>
  <c r="F41" i="14" s="1"/>
  <c r="E34" i="14"/>
  <c r="E36" i="14" s="1"/>
  <c r="E37" i="14" s="1"/>
  <c r="E39" i="14" s="1"/>
  <c r="E41" i="14" s="1"/>
  <c r="D34" i="14"/>
  <c r="D36" i="14" s="1"/>
  <c r="D37" i="14" s="1"/>
  <c r="D39" i="14" s="1"/>
  <c r="D41" i="14" s="1"/>
  <c r="C34" i="14"/>
  <c r="C36" i="14" s="1"/>
  <c r="C37" i="14" s="1"/>
  <c r="C39" i="14" s="1"/>
  <c r="D14" i="13"/>
  <c r="D18" i="18" s="1"/>
  <c r="D19" i="18" s="1"/>
  <c r="D21" i="18" s="1"/>
  <c r="D28" i="18" s="1"/>
  <c r="D30" i="18" s="1"/>
  <c r="D31" i="18" s="1"/>
  <c r="D12" i="13"/>
  <c r="J14" i="3"/>
  <c r="L22" i="6" l="1"/>
  <c r="I22" i="6" s="1"/>
  <c r="D33" i="18"/>
  <c r="D46" i="18"/>
  <c r="C41" i="18"/>
  <c r="C34" i="18"/>
  <c r="C35" i="18"/>
  <c r="E14" i="13"/>
  <c r="E18" i="18" s="1"/>
  <c r="E19" i="18" s="1"/>
  <c r="E21" i="18" s="1"/>
  <c r="E28" i="18" s="1"/>
  <c r="E30" i="18" s="1"/>
  <c r="E31" i="18" s="1"/>
  <c r="E12" i="13"/>
  <c r="C40" i="14"/>
  <c r="D40" i="14" s="1"/>
  <c r="E40" i="14" s="1"/>
  <c r="F40" i="14" s="1"/>
  <c r="G40" i="14" s="1"/>
  <c r="H40" i="14" s="1"/>
  <c r="I40" i="14" s="1"/>
  <c r="J40" i="14" s="1"/>
  <c r="K40" i="14" s="1"/>
  <c r="L40" i="14" s="1"/>
  <c r="M40" i="14" s="1"/>
  <c r="N40" i="14" s="1"/>
  <c r="O40" i="14" s="1"/>
  <c r="C41" i="14"/>
  <c r="B41" i="14" s="1"/>
  <c r="D15" i="13"/>
  <c r="D13" i="13"/>
  <c r="K10" i="6"/>
  <c r="J18" i="6"/>
  <c r="J15" i="3"/>
  <c r="N22" i="6"/>
  <c r="D34" i="18" l="1"/>
  <c r="D41" i="18"/>
  <c r="D35" i="18"/>
  <c r="E46" i="18"/>
  <c r="E33" i="18"/>
  <c r="P22" i="6"/>
  <c r="L10" i="6"/>
  <c r="K18" i="6"/>
  <c r="E15" i="13"/>
  <c r="E13" i="13"/>
  <c r="F14" i="13"/>
  <c r="F18" i="18" s="1"/>
  <c r="F19" i="18" s="1"/>
  <c r="F21" i="18" s="1"/>
  <c r="F28" i="18" s="1"/>
  <c r="F30" i="18" s="1"/>
  <c r="F31" i="18" s="1"/>
  <c r="F12" i="13"/>
  <c r="J16" i="3"/>
  <c r="F33" i="18" l="1"/>
  <c r="F46" i="18"/>
  <c r="E34" i="18"/>
  <c r="F34" i="18" s="1"/>
  <c r="E41" i="18"/>
  <c r="E35" i="18"/>
  <c r="G14" i="13"/>
  <c r="G18" i="18" s="1"/>
  <c r="G19" i="18" s="1"/>
  <c r="G21" i="18" s="1"/>
  <c r="G28" i="18" s="1"/>
  <c r="G30" i="18" s="1"/>
  <c r="G31" i="18" s="1"/>
  <c r="G12" i="13"/>
  <c r="F15" i="13"/>
  <c r="F13" i="13"/>
  <c r="M10" i="6"/>
  <c r="L18" i="6"/>
  <c r="J17" i="3"/>
  <c r="G46" i="18" l="1"/>
  <c r="G33" i="18"/>
  <c r="G34" i="18" s="1"/>
  <c r="F35" i="18"/>
  <c r="F41" i="18"/>
  <c r="N10" i="6"/>
  <c r="M18" i="6"/>
  <c r="G15" i="13"/>
  <c r="G13" i="13"/>
  <c r="H14" i="13"/>
  <c r="H18" i="18" s="1"/>
  <c r="H19" i="18" s="1"/>
  <c r="H21" i="18" s="1"/>
  <c r="H28" i="18" s="1"/>
  <c r="H30" i="18" s="1"/>
  <c r="H31" i="18" s="1"/>
  <c r="H12" i="13"/>
  <c r="J18" i="3"/>
  <c r="H33" i="18" l="1"/>
  <c r="H46" i="18"/>
  <c r="G41" i="18"/>
  <c r="G35" i="18"/>
  <c r="H34" i="18"/>
  <c r="I14" i="13"/>
  <c r="I18" i="18" s="1"/>
  <c r="I19" i="18" s="1"/>
  <c r="I21" i="18" s="1"/>
  <c r="I28" i="18" s="1"/>
  <c r="I30" i="18" s="1"/>
  <c r="I31" i="18" s="1"/>
  <c r="I12" i="13"/>
  <c r="H15" i="13"/>
  <c r="H13" i="13"/>
  <c r="O10" i="6"/>
  <c r="N18" i="6"/>
  <c r="J19" i="3"/>
  <c r="I33" i="18" l="1"/>
  <c r="I34" i="18" s="1"/>
  <c r="I46" i="18"/>
  <c r="H35" i="18"/>
  <c r="H41" i="18"/>
  <c r="P10" i="6"/>
  <c r="O18" i="6"/>
  <c r="I15" i="13"/>
  <c r="I13" i="13"/>
  <c r="J14" i="13"/>
  <c r="J18" i="18" s="1"/>
  <c r="J19" i="18" s="1"/>
  <c r="J21" i="18" s="1"/>
  <c r="J28" i="18" s="1"/>
  <c r="J30" i="18" s="1"/>
  <c r="J31" i="18" s="1"/>
  <c r="J12" i="13"/>
  <c r="J20" i="3"/>
  <c r="J33" i="18" l="1"/>
  <c r="J46" i="18"/>
  <c r="I35" i="18"/>
  <c r="I41" i="18"/>
  <c r="K14" i="13"/>
  <c r="K18" i="18" s="1"/>
  <c r="K19" i="18" s="1"/>
  <c r="K21" i="18" s="1"/>
  <c r="K28" i="18" s="1"/>
  <c r="K30" i="18" s="1"/>
  <c r="K31" i="18" s="1"/>
  <c r="K12" i="13"/>
  <c r="J15" i="13"/>
  <c r="J13" i="13"/>
  <c r="Q10" i="6"/>
  <c r="P18" i="6"/>
  <c r="J21" i="3"/>
  <c r="K33" i="18" l="1"/>
  <c r="K46" i="18"/>
  <c r="J34" i="18"/>
  <c r="J41" i="18"/>
  <c r="J35" i="18"/>
  <c r="R10" i="6"/>
  <c r="Q18" i="6"/>
  <c r="K15" i="13"/>
  <c r="K13" i="13"/>
  <c r="L14" i="13"/>
  <c r="L18" i="18" s="1"/>
  <c r="L19" i="18" s="1"/>
  <c r="L21" i="18" s="1"/>
  <c r="L12" i="13"/>
  <c r="J22" i="3"/>
  <c r="K34" i="18" l="1"/>
  <c r="L28" i="18"/>
  <c r="L30" i="18" s="1"/>
  <c r="L31" i="18" s="1"/>
  <c r="K41" i="18"/>
  <c r="K35" i="18"/>
  <c r="M14" i="13"/>
  <c r="M18" i="18" s="1"/>
  <c r="M19" i="18" s="1"/>
  <c r="M21" i="18" s="1"/>
  <c r="M28" i="18" s="1"/>
  <c r="M30" i="18" s="1"/>
  <c r="M31" i="18" s="1"/>
  <c r="M12" i="13"/>
  <c r="L15" i="13"/>
  <c r="L13" i="13"/>
  <c r="S10" i="6"/>
  <c r="R18" i="6"/>
  <c r="J23" i="3"/>
  <c r="L46" i="18" l="1"/>
  <c r="L33" i="18"/>
  <c r="M46" i="18"/>
  <c r="M33" i="18"/>
  <c r="T10" i="6"/>
  <c r="F42" i="15" s="1"/>
  <c r="S18" i="6"/>
  <c r="M15" i="13"/>
  <c r="M13" i="13"/>
  <c r="N14" i="13"/>
  <c r="N18" i="18" s="1"/>
  <c r="N19" i="18" s="1"/>
  <c r="N21" i="18" s="1"/>
  <c r="N28" i="18" s="1"/>
  <c r="N30" i="18" s="1"/>
  <c r="N31" i="18" s="1"/>
  <c r="N12" i="13"/>
  <c r="N23" i="6"/>
  <c r="N46" i="18" l="1"/>
  <c r="N33" i="18"/>
  <c r="M35" i="18"/>
  <c r="M41" i="18"/>
  <c r="L34" i="18"/>
  <c r="M34" i="18" s="1"/>
  <c r="N34" i="18" s="1"/>
  <c r="L35" i="18"/>
  <c r="B35" i="18" s="1"/>
  <c r="L41" i="18"/>
  <c r="O14" i="13"/>
  <c r="O18" i="18" s="1"/>
  <c r="O19" i="18" s="1"/>
  <c r="O21" i="18" s="1"/>
  <c r="O28" i="18" s="1"/>
  <c r="O30" i="18" s="1"/>
  <c r="O31" i="18" s="1"/>
  <c r="O12" i="13"/>
  <c r="N15" i="13"/>
  <c r="N13" i="13"/>
  <c r="E61" i="3"/>
  <c r="T18" i="6"/>
  <c r="O33" i="18" l="1"/>
  <c r="O46" i="18"/>
  <c r="C43" i="18" s="1"/>
  <c r="N35" i="18"/>
  <c r="N41" i="18"/>
  <c r="O34" i="18"/>
  <c r="O15" i="13"/>
  <c r="O13" i="13"/>
  <c r="P14" i="13"/>
  <c r="P12" i="13"/>
  <c r="O41" i="18" l="1"/>
  <c r="O35" i="18"/>
  <c r="R41" i="18"/>
  <c r="C39" i="18"/>
  <c r="Q14" i="13"/>
  <c r="B18" i="13" s="1"/>
  <c r="Q12" i="13"/>
  <c r="P15" i="13"/>
  <c r="P13" i="13"/>
  <c r="Q15" i="13" l="1"/>
  <c r="B19" i="13" s="1"/>
  <c r="B20" i="13" s="1"/>
  <c r="Q13" i="13"/>
  <c r="E28" i="3" l="1"/>
  <c r="E36" i="3" s="1"/>
  <c r="F22" i="15"/>
  <c r="F26" i="15" s="1"/>
  <c r="F28" i="15" s="1"/>
  <c r="F30" i="15" l="1"/>
  <c r="E40" i="3"/>
  <c r="E43" i="3" s="1"/>
  <c r="K9" i="3"/>
  <c r="M9" i="3" l="1"/>
  <c r="K10" i="3"/>
  <c r="L9" i="3"/>
  <c r="L10" i="3" s="1"/>
  <c r="L11" i="3" s="1"/>
  <c r="L12" i="3" s="1"/>
  <c r="L13" i="3" s="1"/>
  <c r="L14" i="3" s="1"/>
  <c r="L15" i="3" s="1"/>
  <c r="L16" i="3" s="1"/>
  <c r="L17" i="3" s="1"/>
  <c r="L18" i="3" s="1"/>
  <c r="L19" i="3" s="1"/>
  <c r="L20" i="3" s="1"/>
  <c r="L21" i="3" s="1"/>
  <c r="L22" i="3" s="1"/>
  <c r="L23" i="3" s="1"/>
  <c r="H47" i="6"/>
  <c r="F36" i="15" s="1"/>
  <c r="E53" i="3"/>
  <c r="I12" i="6" s="1"/>
  <c r="H12" i="6" l="1"/>
  <c r="J12" i="6"/>
  <c r="K12" i="6"/>
  <c r="L12" i="6"/>
  <c r="M12" i="6"/>
  <c r="N12" i="6"/>
  <c r="O12" i="6"/>
  <c r="P12" i="6"/>
  <c r="Q12" i="6"/>
  <c r="R12" i="6"/>
  <c r="S12" i="6"/>
  <c r="T12" i="6"/>
  <c r="K11" i="3"/>
  <c r="M10" i="3"/>
  <c r="L14" i="6" l="1"/>
  <c r="I14" i="6" s="1"/>
  <c r="K12" i="3"/>
  <c r="M11" i="3"/>
  <c r="N14" i="6"/>
  <c r="P14" i="6" l="1"/>
  <c r="K13" i="3"/>
  <c r="M12" i="3"/>
  <c r="N15" i="6"/>
  <c r="J37" i="6" l="1"/>
  <c r="K37" i="6"/>
  <c r="L37" i="6"/>
  <c r="M37" i="6"/>
  <c r="N37" i="6"/>
  <c r="O37" i="6"/>
  <c r="P37" i="6"/>
  <c r="Q37" i="6"/>
  <c r="R37" i="6"/>
  <c r="S37" i="6"/>
  <c r="T37" i="6"/>
  <c r="I37" i="6"/>
  <c r="H37" i="6"/>
  <c r="G37" i="6"/>
  <c r="G38" i="6" s="1"/>
  <c r="G39" i="6" s="1"/>
  <c r="J36" i="6"/>
  <c r="K36" i="6"/>
  <c r="L36" i="6"/>
  <c r="M36" i="6"/>
  <c r="M38" i="6" s="1"/>
  <c r="M39" i="6" s="1"/>
  <c r="N36" i="6"/>
  <c r="O36" i="6"/>
  <c r="P36" i="6"/>
  <c r="P38" i="6" s="1"/>
  <c r="P39" i="6" s="1"/>
  <c r="Q36" i="6"/>
  <c r="R36" i="6"/>
  <c r="R38" i="6" s="1"/>
  <c r="R39" i="6" s="1"/>
  <c r="S36" i="6"/>
  <c r="T36" i="6"/>
  <c r="T38" i="6" s="1"/>
  <c r="T39" i="6" s="1"/>
  <c r="I36" i="6"/>
  <c r="H36" i="6"/>
  <c r="F39" i="15"/>
  <c r="F43" i="15" s="1"/>
  <c r="E57" i="3"/>
  <c r="E64" i="3" s="1"/>
  <c r="K14" i="3"/>
  <c r="M13" i="3"/>
  <c r="S38" i="6" l="1"/>
  <c r="S39" i="6" s="1"/>
  <c r="O38" i="6"/>
  <c r="O39" i="6" s="1"/>
  <c r="L38" i="6"/>
  <c r="L39" i="6" s="1"/>
  <c r="K38" i="6"/>
  <c r="K39" i="6" s="1"/>
  <c r="H38" i="6"/>
  <c r="H39" i="6" s="1"/>
  <c r="N38" i="6"/>
  <c r="N39" i="6" s="1"/>
  <c r="I38" i="6"/>
  <c r="I39" i="6" s="1"/>
  <c r="Q38" i="6"/>
  <c r="Q39" i="6" s="1"/>
  <c r="J38" i="6"/>
  <c r="J39" i="6" s="1"/>
  <c r="E49" i="15"/>
  <c r="E52" i="15"/>
  <c r="C52" i="15"/>
  <c r="E48" i="15"/>
  <c r="F49" i="15"/>
  <c r="C49" i="15"/>
  <c r="C48" i="15"/>
  <c r="F52" i="15"/>
  <c r="K15" i="3"/>
  <c r="M14" i="3"/>
  <c r="C50" i="15" l="1"/>
  <c r="E50" i="15"/>
  <c r="E51" i="15"/>
  <c r="C51" i="15"/>
  <c r="F51" i="15"/>
  <c r="H42" i="6"/>
  <c r="H43" i="6" s="1"/>
  <c r="F50" i="15"/>
  <c r="F48" i="15"/>
  <c r="K16" i="3"/>
  <c r="M15" i="3"/>
  <c r="F54" i="15" l="1"/>
  <c r="E58" i="3"/>
  <c r="F40" i="15"/>
  <c r="F55" i="15"/>
  <c r="K17" i="3"/>
  <c r="M16" i="3"/>
  <c r="K18" i="3" l="1"/>
  <c r="M17" i="3"/>
  <c r="K19" i="3" l="1"/>
  <c r="M18" i="3"/>
  <c r="K20" i="3" l="1"/>
  <c r="M19" i="3"/>
  <c r="K21" i="3" l="1"/>
  <c r="M20" i="3"/>
  <c r="K22" i="3" l="1"/>
  <c r="M21" i="3"/>
  <c r="K23" i="3" l="1"/>
  <c r="M22" i="3"/>
  <c r="M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nwi</author>
  </authors>
  <commentList>
    <comment ref="Q63" authorId="0" shapeId="0" xr:uid="{00000000-0006-0000-0800-000001000000}">
      <text>
        <r>
          <rPr>
            <b/>
            <sz val="8"/>
            <color indexed="81"/>
            <rFont val="Tahoma"/>
            <family val="2"/>
          </rPr>
          <t>nwi:</t>
        </r>
        <r>
          <rPr>
            <sz val="8"/>
            <color indexed="81"/>
            <rFont val="Tahoma"/>
            <family val="2"/>
          </rPr>
          <t xml:space="preserve">
minimaal 0,5 (standaard wordt van 12 mnd uitgegaan)</t>
        </r>
      </text>
    </comment>
    <comment ref="U63" authorId="0" shapeId="0" xr:uid="{00000000-0006-0000-0800-000002000000}">
      <text>
        <r>
          <rPr>
            <b/>
            <sz val="8"/>
            <color indexed="81"/>
            <rFont val="Tahoma"/>
            <family val="2"/>
          </rPr>
          <t>nwi:</t>
        </r>
        <r>
          <rPr>
            <sz val="8"/>
            <color indexed="81"/>
            <rFont val="Tahoma"/>
            <family val="2"/>
          </rPr>
          <t xml:space="preserve">
pos: ncw moet lager worden
</t>
        </r>
      </text>
    </comment>
    <comment ref="C72" authorId="0" shapeId="0" xr:uid="{00000000-0006-0000-0800-000003000000}">
      <text>
        <r>
          <rPr>
            <b/>
            <sz val="8"/>
            <color indexed="81"/>
            <rFont val="Tahoma"/>
            <family val="2"/>
          </rPr>
          <t>nwi:</t>
        </r>
        <r>
          <rPr>
            <sz val="8"/>
            <color indexed="81"/>
            <rFont val="Tahoma"/>
            <family val="2"/>
          </rPr>
          <t xml:space="preserve">
uitgaande van berekende uitkomst met bouwtijd correctie
</t>
        </r>
      </text>
    </comment>
  </commentList>
</comments>
</file>

<file path=xl/sharedStrings.xml><?xml version="1.0" encoding="utf-8"?>
<sst xmlns="http://schemas.openxmlformats.org/spreadsheetml/2006/main" count="775" uniqueCount="528">
  <si>
    <t>Als u de leasetermijnen na afloop van de maand betaalt, vult u 0 in, betaalt u de leasetermijn vooraf, vult u 1 in.</t>
  </si>
  <si>
    <t>mnd bouwtijd</t>
  </si>
  <si>
    <t>Dit is het investeringsbedrag. Dit bedrag kunt u invullen in het invoerblad.</t>
  </si>
  <si>
    <t>Uitkomsten</t>
  </si>
  <si>
    <t xml:space="preserve">belastingaangiftes van de vennoten, waarvan sommige IB en andere VPB belastingplichtig zijn. In dat geval zal een gewogen belastingpercentage </t>
  </si>
  <si>
    <t xml:space="preserve">gebruikt worden op basis van de meldingsbedragen van de verschillende vennoten. </t>
  </si>
  <si>
    <t>Info</t>
  </si>
  <si>
    <t xml:space="preserve">Hier dient het hoogste percentage ingevuld te worden dat van toepassing is onder de VPB of IB. Gebruik het percentage uit het eerste jaar </t>
  </si>
  <si>
    <t>SDE Tarief te verwachten (bij correctiebedrag)</t>
  </si>
  <si>
    <t>Jaar</t>
  </si>
  <si>
    <t>A</t>
  </si>
  <si>
    <t>B</t>
  </si>
  <si>
    <t>F</t>
  </si>
  <si>
    <t>Afschrijving in jaren</t>
  </si>
  <si>
    <t>Vreemd vermogen</t>
  </si>
  <si>
    <t>Afschrijvingen        EUR/j</t>
  </si>
  <si>
    <t>Kosten vr. verm.    EUR/j</t>
  </si>
  <si>
    <t>Totaal kosten         EUR/j</t>
  </si>
  <si>
    <t>Res. voor belast.   EUR/j</t>
  </si>
  <si>
    <t>Eigen vermogen</t>
  </si>
  <si>
    <t xml:space="preserve">Vreemd vermogen </t>
  </si>
  <si>
    <t>Totaal opbrengsten</t>
  </si>
  <si>
    <t>Subtotaal exploitatiekosten</t>
  </si>
  <si>
    <t>Exploitatieoverzicht</t>
  </si>
  <si>
    <t>Operationele kosten</t>
  </si>
  <si>
    <t>Opbrengst grijze stroom</t>
  </si>
  <si>
    <t>NCW</t>
  </si>
  <si>
    <t>Totaal subsidies</t>
  </si>
  <si>
    <t>B1</t>
  </si>
  <si>
    <t>B2</t>
  </si>
  <si>
    <t>Year</t>
  </si>
  <si>
    <t>D</t>
  </si>
  <si>
    <t>Begrote VAMIL afschrijvingen per jaar</t>
  </si>
  <si>
    <t>Begrote EIA  aftrek  over jaren verdeeld</t>
  </si>
  <si>
    <t>Voordeel EIA</t>
  </si>
  <si>
    <t>Begrote MIA  aftrek  over jaren verdeeld</t>
  </si>
  <si>
    <t>Voordeel MIA</t>
  </si>
  <si>
    <t>Aftrekpercentage MIA</t>
  </si>
  <si>
    <t>Rendement geinvesteerd vermogen</t>
  </si>
  <si>
    <t>MIA voordeel</t>
  </si>
  <si>
    <t>VAMIL voordeel</t>
  </si>
  <si>
    <t>EIA voordeel</t>
  </si>
  <si>
    <t>subtotaal</t>
  </si>
  <si>
    <t>Bruto investering</t>
  </si>
  <si>
    <t>Totaal  B1 + B2</t>
  </si>
  <si>
    <t>Netto investering</t>
  </si>
  <si>
    <t>C= A - B</t>
  </si>
  <si>
    <t>Jaren</t>
  </si>
  <si>
    <t>Begrote afschrijving</t>
  </si>
  <si>
    <t>VAMIL voordeel (uitgaande van forfaitaire afschrijving over 10 jaar)</t>
  </si>
  <si>
    <t>Vervroegde afschrijving</t>
  </si>
  <si>
    <t xml:space="preserve">Belastingvoordeel </t>
  </si>
  <si>
    <t>MIA aftrek bedrag</t>
  </si>
  <si>
    <t>Beoogde subsidie instrumenten</t>
  </si>
  <si>
    <t>Beoogde fiscale instrumenten</t>
  </si>
  <si>
    <t>Opbrengsten MEP en REB EUR/j</t>
  </si>
  <si>
    <t>Overige opbrengsten</t>
  </si>
  <si>
    <t>M</t>
  </si>
  <si>
    <t>N</t>
  </si>
  <si>
    <t>hulpvariabele:</t>
  </si>
  <si>
    <t>aantal hele jaren:</t>
  </si>
  <si>
    <t>jaren</t>
  </si>
  <si>
    <t>Berekening jaren</t>
  </si>
  <si>
    <t>NCW rendement geïnvesteerd vermogen</t>
  </si>
  <si>
    <t>Rente vreemd vermogen (forfaitair)</t>
  </si>
  <si>
    <t>voordeel per jaar</t>
  </si>
  <si>
    <t>Normale lineaire afschrijving</t>
  </si>
  <si>
    <t>Netto investering (NCW)</t>
  </si>
  <si>
    <t>Kosten EV</t>
  </si>
  <si>
    <t>rente VV</t>
  </si>
  <si>
    <t>Eigen vermogen (EV)</t>
  </si>
  <si>
    <t>Vreemd vermogen (VV)</t>
  </si>
  <si>
    <t>VV schuld</t>
  </si>
  <si>
    <t>EV in project</t>
  </si>
  <si>
    <t>Rente VV</t>
  </si>
  <si>
    <t>Totaal</t>
  </si>
  <si>
    <t>NCW over jaar 1 tm 10</t>
  </si>
  <si>
    <t>Terugbetalingsperiode  EV en VV in jaren</t>
  </si>
  <si>
    <t>Kosten EV per jaar</t>
  </si>
  <si>
    <t>rente VV per jaar</t>
  </si>
  <si>
    <t>rente voordeel (forfaitair) per jaar</t>
  </si>
  <si>
    <t>Basis MSK-toets</t>
  </si>
  <si>
    <t>O</t>
  </si>
  <si>
    <t>R</t>
  </si>
  <si>
    <t>Werkblad "Invoerblad "</t>
  </si>
  <si>
    <t xml:space="preserve">Percentage tov meldingsbedrag (na aftrek subsidies) </t>
  </si>
  <si>
    <t>Vul hier de werkelijke investeringskosten voor uw productie-installatie voor duurzame energie in. Het betreft dus alleen het deel dat voor de opwekking van duurzame energie bestemd is. Het gaat om de investering die betrekking heeft op de SDE aanvraag. In artikel 36 van de Communautaire Kaderregeling inzake Staatssteun en ten behoeve van het Milieu staat geformuleerd welke kosten als investeringskosten worden aangemerkt. Indien de subsidie-ontvanger een subsidieverlening van meer dan € 125.000 heeft ontvangen, dient bovengenoemd overzicht tevens vergezeld te gaan van een goedkeurende accountantsverklaring. De accountantsverklaring wordt opgesteld conform de modelaccountantsverklaring en het bijbehorende controleprotocol. De modelaccountantsverklaring en het controleprotocol kunt u vinden op de website www.agentschapnl.nl/sde.</t>
  </si>
  <si>
    <t>Saldo = Toegestane exploitatiesteunruimte (H) - Netto contante waarde exploitatiesubsidie (I)</t>
  </si>
  <si>
    <t>Toegestane exploitatiesubsidie (=exploitatiesteunruimte)</t>
  </si>
  <si>
    <t>Vermeld hier het SDE projectnummer.</t>
  </si>
  <si>
    <t>SDE projectnummer</t>
  </si>
  <si>
    <t>Hulpberekeningen</t>
  </si>
  <si>
    <t>Investerings gegevens</t>
  </si>
  <si>
    <t>Financieel economisch</t>
  </si>
  <si>
    <t>Deel B</t>
  </si>
  <si>
    <t xml:space="preserve">NCW </t>
  </si>
  <si>
    <t>Algemeen</t>
  </si>
  <si>
    <t>Belasting</t>
  </si>
  <si>
    <t>Res. Na belastingen</t>
  </si>
  <si>
    <t>Cash flow na belasting</t>
  </si>
  <si>
    <t>aftrekpost eia</t>
  </si>
  <si>
    <t>aftrekpost mia</t>
  </si>
  <si>
    <t>EIA aftrek (44 % van het meldingsbedrag na aftrek subsidies)</t>
  </si>
  <si>
    <t>Res. voor belast. Na fiscale aftrekposten  EUR/j</t>
  </si>
  <si>
    <t>jaar</t>
  </si>
  <si>
    <t>E+K1</t>
  </si>
  <si>
    <t>E+K1+B2</t>
  </si>
  <si>
    <t>L1 (=F-E-K1)</t>
  </si>
  <si>
    <t>bovengrens correctie</t>
  </si>
  <si>
    <t>NCW van exploitatie subsidies (verleende en beoogde exploitatiesteun)</t>
  </si>
  <si>
    <t>SDE aanvraag categorie</t>
  </si>
  <si>
    <t>http://ec.europa.eu/comm/competition/state_aid/legislation/reference_rates.html</t>
  </si>
  <si>
    <t xml:space="preserve">SDE correctie (M) in nominale waarde </t>
  </si>
  <si>
    <t>SDE tarief waartegen de MSK toets wordt doorgerekend</t>
  </si>
  <si>
    <t>Vul hier eventuele opbrengsten uit verkoop van CO2 emissierechten in, voorzover deze niet in de correctiebedragen zijn opgenomen.</t>
  </si>
  <si>
    <t>tarief waartegen doorgerekend wordt</t>
  </si>
  <si>
    <t xml:space="preserve">Datum ingebruikname </t>
  </si>
  <si>
    <t>Eerste datum SDE</t>
  </si>
  <si>
    <t>Draaiuren (cq vollasturen )</t>
  </si>
  <si>
    <t>Bouwtijd (in maanden)</t>
  </si>
  <si>
    <t>Verdisconteringsvoet</t>
  </si>
  <si>
    <t>Afschrijvingsbasis</t>
  </si>
  <si>
    <t>Variabele operationele kosten (euro / jaar)</t>
  </si>
  <si>
    <t>Vaste operationele kosten (euro / jaar)</t>
  </si>
  <si>
    <t xml:space="preserve">Investering  (euro's)            </t>
  </si>
  <si>
    <t>52a</t>
  </si>
  <si>
    <t>52b</t>
  </si>
  <si>
    <t>Dit rekenblad bestaat uit meerdere werkbladen. In het werkblad  "Overzicht MSK toets" is te zien of er sprake is van ongeoorloofde</t>
  </si>
  <si>
    <t>cumulatie van subsidies. Om voor uw project te komen tot uitkomsten dient u eerst in het werkblad "Invoerblad" de benodigde gegevens in te</t>
  </si>
  <si>
    <t>15 t/m 19</t>
  </si>
  <si>
    <t>24, 25</t>
  </si>
  <si>
    <t>30, 31</t>
  </si>
  <si>
    <t>35, 36</t>
  </si>
  <si>
    <t>44 t/m 50</t>
  </si>
  <si>
    <t>Werkblad "Overzicht MSK toets"</t>
  </si>
  <si>
    <t>Overige investeringssubsidies (euro's)</t>
  </si>
  <si>
    <t>EIA meldingsbedrag (euro's)</t>
  </si>
  <si>
    <t>MIA meldingsbedrag (euro's)</t>
  </si>
  <si>
    <t>Te financieren</t>
  </si>
  <si>
    <t>Bedrag lening via Regeling groenprojecten (euro's)</t>
  </si>
  <si>
    <t>SDE correctiebedrag waartegen de MSK toets wordt doorgerekend (euro's)</t>
  </si>
  <si>
    <t>correctiefactoren dicontering</t>
  </si>
  <si>
    <t>bouwtijd &gt; 12 maanden</t>
  </si>
  <si>
    <t>Het verschil tussen (midden van) investeringsuitgaven en ontvangsten wordt groter</t>
  </si>
  <si>
    <t>contante waarde wordt lager</t>
  </si>
  <si>
    <t>verschil tussen start van sde en begin kalenderjaar</t>
  </si>
  <si>
    <t>hoe check je die ingebruikname datum ?</t>
  </si>
  <si>
    <t>Provinciale/ Gemeentelijke subsidies</t>
  </si>
  <si>
    <t xml:space="preserve">Overige opbrengsten per kalenderjaar </t>
  </si>
  <si>
    <t>Overige kosten per kalenderjaar</t>
  </si>
  <si>
    <t>Maximale SDE subsidieperiode (jaren)</t>
  </si>
  <si>
    <t xml:space="preserve"> Lees ook de toelichting.</t>
  </si>
  <si>
    <t>Terug naar invoerblad</t>
  </si>
  <si>
    <t>voeren die voor uw project relevant zijn. De gegevens die u dient in te voeren zijn aangegeven met behulp van de de geel gearceerde cellen in onderdeel A.</t>
  </si>
  <si>
    <t xml:space="preserve">Onderstaand worden voor het werkblad "Invoerblad" en het werkblad "Overzicht MSK toets" een aantal punten toegelicht. </t>
  </si>
  <si>
    <t>Deel laatste kalenderjaar dat sde genoten wordt</t>
  </si>
  <si>
    <t>Deel laatste kalenderjaar (sde periode +1) dat sde periode omvat</t>
  </si>
  <si>
    <t>In het geval dat de sde over bijv . 16 kalenderjaren verdeeld is.</t>
  </si>
  <si>
    <t>maximale sde periode (jaren)</t>
  </si>
  <si>
    <t>Verlies sde periode</t>
  </si>
  <si>
    <t>Effectieve sde periode</t>
  </si>
  <si>
    <t>E</t>
  </si>
  <si>
    <t>G</t>
  </si>
  <si>
    <t>H = C + D -E - F + G</t>
  </si>
  <si>
    <t>I</t>
  </si>
  <si>
    <t>Saldo</t>
  </si>
  <si>
    <t>Conclusie overcompensatie</t>
  </si>
  <si>
    <t>Z</t>
  </si>
  <si>
    <t>Effectieve aantal kalenderjaren</t>
  </si>
  <si>
    <t>Kalenderjaar dat sde opbrengsten starten</t>
  </si>
  <si>
    <t>1e datum kalenderjaar waarin sde opbrengst start</t>
  </si>
  <si>
    <t>Vul hier eventuele poortgelden in die ontvangen worden voor de biomassa die gebruikt wordt.</t>
  </si>
  <si>
    <t xml:space="preserve">Er wordt van uitgegaan dat de subsidies in het jaar na de investeringsperiode worden ontvangen. </t>
  </si>
  <si>
    <t>Zie hieronder ook deze tabel weergegeven voor Nederland:</t>
  </si>
  <si>
    <t>Vul hier de definitieve correctiebedragen in. Is alleen relevant voor jaren in het verleden waarover het correctiebedrag definitief is vastgesteld. De rest van de velden wordt automatisch berekend a.d.h. van het laatste definitief vastgestelde correctiebedrag met een inflatiepercentage van 2% per jaar.</t>
  </si>
  <si>
    <t>Het correctiebedrag waartegen de MSK-toets wordt doorgerekend is gelijk aan 46.</t>
  </si>
  <si>
    <t>SDE Basisbedrag</t>
  </si>
  <si>
    <t>SDE basis elektriciteitsprijs/gasprijs</t>
  </si>
  <si>
    <t>SDE correctiebedrag (besluit art .14.1a)</t>
  </si>
  <si>
    <t>SDE correctie waarde van oorsprong (besluit art. 14.1b)</t>
  </si>
  <si>
    <t>SDE correctie andere bij minist,reg vast te stellen corr (besluit art. 14.1c)</t>
  </si>
  <si>
    <t>Belastingpercentage IB of VPB</t>
  </si>
  <si>
    <t>De oude functie "=MACHT(1+Invoerblad!$E$72;E43) is niet helemaal loepzuiver; geeft een afwijking van ongeveer 0,006 %</t>
  </si>
  <si>
    <t>``</t>
  </si>
  <si>
    <t>scen 8a maar dan bij 11,504 jaren</t>
  </si>
  <si>
    <t>handmatig uitgerekend</t>
  </si>
  <si>
    <t>scen 8b volgens model; klopt dus</t>
  </si>
  <si>
    <t>scen 8, zie hieronder 8a en 8b</t>
  </si>
  <si>
    <t>TESTS</t>
  </si>
  <si>
    <t xml:space="preserve">Dat is conform rekenregels </t>
  </si>
  <si>
    <t>Met deze correctie corrigeer je de ncw berekening van excel omdat excel deze al jaarbedragen ziet. Je moet deze niet als vooruit brengen in periode zien</t>
  </si>
  <si>
    <t>Berekening disconteringscorrectie</t>
  </si>
  <si>
    <t>C</t>
  </si>
  <si>
    <t>scen 13</t>
  </si>
  <si>
    <t xml:space="preserve">SDE ontvangstjaar: </t>
  </si>
  <si>
    <t>Deel jaar sde ontvangst</t>
  </si>
  <si>
    <t>SDE Tarief  maximaal (uitgaande van basis elektriciteitsprijs/gasprijs)</t>
  </si>
  <si>
    <t>Belastingpercentage</t>
  </si>
  <si>
    <t>Dit betreft de ingebruikname datum van uw installatie waarop uw SDE aanvraag betrekking heeft.</t>
  </si>
  <si>
    <t>Overige investeringssubsidies</t>
  </si>
  <si>
    <t>MIA aftrekpercentage. Dit percentage bedraagt afhankelijk van uw beschikking 15%, 30% of 40%.</t>
  </si>
  <si>
    <t>O1</t>
  </si>
  <si>
    <t>tarief laatste SDE jaar</t>
  </si>
  <si>
    <t>In nominale waardes is deze correctie groter omdat deze correctie pas aan het einde van de SDE periode plaatsvindt door SDE subsidie in te houden.</t>
  </si>
  <si>
    <t>De correctie in MWh of Nm3 wordt in mindering gebracht op de maximale subsidiabele productie.</t>
  </si>
  <si>
    <t>S</t>
  </si>
  <si>
    <t>Uitgangspunten</t>
  </si>
  <si>
    <t>Dit zijn de begrote nominale inkomsten voor de MSK correctie (gebaseerd op begrote productie).</t>
  </si>
  <si>
    <t xml:space="preserve">SDE opbrengsten </t>
  </si>
  <si>
    <t>Onder overige exploitatiesubsidies vallen alle vormen van exploitatiesteun van de Rijksoverheid, Provincie, Gemeente, EU of een ander Bestuursorgaan.</t>
  </si>
  <si>
    <t>Ter info: Tarieven SDE voor de door u gekozen productiecategorie</t>
  </si>
  <si>
    <t>S = R - O</t>
  </si>
  <si>
    <t>Dit overzicht dient ter informatie voor biomassaprojecten die alle gegevens hebben ingevoerd in het invoerblad</t>
  </si>
  <si>
    <t>BIOMASSA projecten</t>
  </si>
  <si>
    <t>Tarieven vergoedingen</t>
  </si>
  <si>
    <t>DEEL A</t>
  </si>
  <si>
    <t>DEEL B</t>
  </si>
  <si>
    <t>Toelichting</t>
  </si>
  <si>
    <t>DEEL A: Algemeen</t>
  </si>
  <si>
    <t>sde ingangsdatum</t>
  </si>
  <si>
    <t xml:space="preserve">sde periode start in kalenderjaar </t>
  </si>
  <si>
    <t>ingebruikname datum</t>
  </si>
  <si>
    <t>Datum dat sde opbrengsten starten</t>
  </si>
  <si>
    <t>Deel 1e kalenderjaar dat sde genoten wordt</t>
  </si>
  <si>
    <t>1e datum kalenderjaar waarin sde periode start</t>
  </si>
  <si>
    <t>In dat jaar start de 15 of 12 jaar. Dat is het 1e kalenderjaar dat je laat zien</t>
  </si>
  <si>
    <t>Vanaf dat moment kan sde genoten worden. Als de indieningsdatum later is dan deze datum benut je de sde periode niet optimaal.</t>
  </si>
  <si>
    <t>de laatste datum van de indiening of sde startdatum</t>
  </si>
  <si>
    <t>Deel 1e kalenderjaar dat sde periode omvat</t>
  </si>
  <si>
    <t xml:space="preserve">Het bij de aanvraagdatum behorende disconteringspercentage kunt u vinden in de tabel op de website </t>
  </si>
  <si>
    <t>Hier vult u de maand in waarin u van de eventuele koopoptie gebruik kan maken . Als u bijvoorbeeld na 12 jaar tot de optie koop</t>
  </si>
  <si>
    <t>kunt overgaan, vult u maand 145 in.</t>
  </si>
  <si>
    <t>Het disconteringspercentage dat u hier moet invullen is afhankelijk van de datum van de SDE aanvraag.</t>
  </si>
  <si>
    <t>De afschrijvingsbasis betreft de investering (punt 13)  -/- de subsidies (punt 20).</t>
  </si>
  <si>
    <t>overzicht msk toets</t>
  </si>
  <si>
    <t>Aftrekpercentage voor EIA</t>
  </si>
  <si>
    <t>De nominale waarde van de correctie omgerekend naar MWh of Nm3 waarvoor SDE wordt verkregen, gebaseerd op SDE tarief in het laatste SDE jaar.</t>
  </si>
  <si>
    <t>SDE cumulatief</t>
  </si>
  <si>
    <t>Max SDE totaal</t>
  </si>
  <si>
    <t>Totaal voordelen fiscale faciliteiten</t>
  </si>
  <si>
    <t>VPB</t>
  </si>
  <si>
    <t>IB</t>
  </si>
  <si>
    <t>VPB en IB percentages</t>
  </si>
  <si>
    <t>scen 1</t>
  </si>
  <si>
    <t>scenarios</t>
  </si>
  <si>
    <t>Toelichting scenario</t>
  </si>
  <si>
    <t>scen 2</t>
  </si>
  <si>
    <t>scen 3</t>
  </si>
  <si>
    <t>scen 4</t>
  </si>
  <si>
    <t>scen 5</t>
  </si>
  <si>
    <t>scen 6</t>
  </si>
  <si>
    <t>scen 7</t>
  </si>
  <si>
    <t>scen 9</t>
  </si>
  <si>
    <t>scen 10</t>
  </si>
  <si>
    <t>scen 11</t>
  </si>
  <si>
    <t>scen 12</t>
  </si>
  <si>
    <t>ncw</t>
  </si>
  <si>
    <t>berekende</t>
  </si>
  <si>
    <t>Juist ?</t>
  </si>
  <si>
    <t>bouwtijd</t>
  </si>
  <si>
    <t>start sde</t>
  </si>
  <si>
    <t>ing name</t>
  </si>
  <si>
    <t>"1/2 bt</t>
  </si>
  <si>
    <t>berekende tijd tussen midden bouwtijd en midden 1e produktie jaar</t>
  </si>
  <si>
    <t>tijd tussen IN en SS</t>
  </si>
  <si>
    <t>midden 1e prod jr</t>
  </si>
  <si>
    <t>totaal</t>
  </si>
  <si>
    <t>meer disc</t>
  </si>
  <si>
    <t>correctie</t>
  </si>
  <si>
    <t>factor</t>
  </si>
  <si>
    <t>verschil</t>
  </si>
  <si>
    <t>verwachte uitkomst</t>
  </si>
  <si>
    <t>als sde start na ingebruikname is:</t>
  </si>
  <si>
    <t>Hierbij wordt er niet gemorreld aan de forfaitaire 1 jaar bouwtijd. Dat wil zeggen dit verschil tussen SS en IN gaat niet ten koste van de bouwtijd in het geval die kleiner is dan 1 jaar.</t>
  </si>
  <si>
    <t>Dat is duidelijker en bovendien staat in de rekenregels dat forfaitair wordt uitgegaan van 1 jaar. Het lijkt dus niet redelijk om daar deze tijd tusen SS en IN op te compenseren.</t>
  </si>
  <si>
    <t>Dit is de waarde van de correctie in nominale waarden op het moment dat de SDE inkomsten worden ontvangen.</t>
  </si>
  <si>
    <t>Draaiuren (cq vollasturen, die voor subsidie in aanmerking komen )</t>
  </si>
  <si>
    <t>7A</t>
  </si>
  <si>
    <t>Berekening op SDE in te houden bedrag wegens overcompensatie</t>
  </si>
  <si>
    <t>NCW SDE vergoeding</t>
  </si>
  <si>
    <t>Tarief marktwaarde warmte</t>
  </si>
  <si>
    <t>VAMIL/ TWA meldingsbedrag (euro's)</t>
  </si>
  <si>
    <t>Voordeel VAMIL/ TWA</t>
  </si>
  <si>
    <t>SDE vergoeding per jaar</t>
  </si>
  <si>
    <t>SDE per jaar</t>
  </si>
  <si>
    <t>SDE cummulatief (vanaf jaar 16)</t>
  </si>
  <si>
    <t>NCW SDE</t>
  </si>
  <si>
    <t>NCW SDE cummulatief tm jaar tm waarin de overcompensatie bereikt is</t>
  </si>
  <si>
    <t>Overcompensatie in nominale waarden SDE</t>
  </si>
  <si>
    <t>Grafische weergave Cumulatiegegevens (NCW)</t>
  </si>
  <si>
    <t>Begrote SDE inkomsten nominaal (voor correctie)</t>
  </si>
  <si>
    <t>Begrote SDE inkomsten nominaal (na correctie)</t>
  </si>
  <si>
    <t>Laatste jaar SDE ontvangst is begroot in exploitatiejaar:</t>
  </si>
  <si>
    <t>Datum indiening aanvraag SDE</t>
  </si>
  <si>
    <t>Vermeld hier de datum indiening aanvraag SDE.</t>
  </si>
  <si>
    <t xml:space="preserve">Projectgegevens SDE </t>
  </si>
  <si>
    <t xml:space="preserve">Overige exploitatiesubsidies </t>
  </si>
  <si>
    <t>alle categorien</t>
  </si>
  <si>
    <t>Benuttingsjaren</t>
  </si>
  <si>
    <t>Overige exploitatiesubsidies (euro's)</t>
  </si>
  <si>
    <t>na voltooiing van de investering voorzover bekend, anders het meest recente percentage. Zie onderstaande tabel voor de tarieven.</t>
  </si>
  <si>
    <t xml:space="preserve">Bij sommige voorzieningen waarop een SDE subsidieverlening is gegeven of is aangevraagd worden de fiscale voordelen verwerkt in de afzonderlijke </t>
  </si>
  <si>
    <t>Dit is het disconteringspercentage dat geldt op de datum van SDE aanvraag. Dit is het percentage dat door de EU wordt vastgesteld.</t>
  </si>
  <si>
    <t>Let op: er kunnen geen rechten worden ontleend aan dit rekenblad en de toelichtingen! Het dient als hulpmiddel om</t>
  </si>
  <si>
    <t>Van</t>
  </si>
  <si>
    <t>Tot</t>
  </si>
  <si>
    <t>%</t>
  </si>
  <si>
    <t xml:space="preserve">Disconteringspercentages </t>
  </si>
  <si>
    <t>Voordeel regeling groenprojecten</t>
  </si>
  <si>
    <t>Zie voor de berekening hiervan het blad "Rendement geinv. vermogen". Er wordt een rendement berekend over het bedrag dat geïnvesteerd is over de jaren uitgaande van lineaire afschrijving 12 jaar. Het geïnvesteerde vermogen is het bedrag na afschrijvingen. Het geïnvesteerde vermogen in het project neemt dus gelijkmatig af over 12 jaar waarbij de verhouding eigen en vreemd vermogen gelijk blijft. De vergoeding voor eigen vermogen bedraagt 15% en voor vreemd vermogen is dit 6%. Deze waarden staan vast.</t>
  </si>
  <si>
    <t>NCW van exploitatie kosten</t>
  </si>
  <si>
    <t>Hier wordt de toegestane exploitatiesteunruimte getoond. De toegestane exploitatiesteunruimte is: Netto-investering ( C) + rendement geïnvesteerd vermogen (D) - NCW marktwaarde elektriciteit ( E) - NCW overige opbrengsten (F) + NCW exploitatiekosten (G)</t>
  </si>
  <si>
    <t>S = H - I</t>
  </si>
  <si>
    <t>EIA aftrekpercentage bedraagt vanaf 2005 44% (forfaitair). Vanaf 2011 is dit percentage 41,5%</t>
  </si>
  <si>
    <t>Bedrag aan overstimulering. Er is sprake van overstimulering als het saldo bij S kleiner is dan nul.</t>
  </si>
  <si>
    <t>per maand</t>
  </si>
  <si>
    <t>per dag</t>
  </si>
  <si>
    <t>maand</t>
  </si>
  <si>
    <t>dag</t>
  </si>
  <si>
    <t>Voordeel regeling groenprojecten (forfaitair 1% rente)</t>
  </si>
  <si>
    <t xml:space="preserve">Opbrengsten per kalenderjaar </t>
  </si>
  <si>
    <t>Bij complexe projecten is dit rekenmodel mogelijk niet toepasbaar.</t>
  </si>
  <si>
    <t>Investeringssteun (verleend en beoogd)</t>
  </si>
  <si>
    <t>Opbrengsten warmte</t>
  </si>
  <si>
    <t>Verkoop bijprodukten (euro's)</t>
  </si>
  <si>
    <t>Poortgelden biomassa (euro's)</t>
  </si>
  <si>
    <t>CO2 emissierechten (bij- en meestookprojecten) (euro's)</t>
  </si>
  <si>
    <t>Vermeden kosten van kolen (bij- en meestookprojecten) (euro's)</t>
  </si>
  <si>
    <t>Overige opbrengsten (euro's)</t>
  </si>
  <si>
    <t>NCW Opbrengsten marktwaarde elektriciteit (naast SDE)</t>
  </si>
  <si>
    <t>NCW van overige opbrengsten</t>
  </si>
  <si>
    <t>Vrij tekstveld om de categorie te omschrijven. Bijv HE uit biomassa door (co)vergisting van dierlijke mest.</t>
  </si>
  <si>
    <t xml:space="preserve">Vul hier de verkoopopbrengsten uit bijproducten in. Dit zijn verkoopopbrengsten voor producten die uit het productieproces komen naast elektriciteit, gas en warmte. Een voorbeeld van een bijproduct is digestaat, die als kunstmest kan worden verkocht. </t>
  </si>
  <si>
    <t>Vul hier het totaal van overige opbrengsten in</t>
  </si>
  <si>
    <t>Dit veld wordt berekend door de hoeveelheid tonnen (punt 67) te vermenigvuldigen met de prijs per ton (punt 68)</t>
  </si>
  <si>
    <t>De correctiegrondslag (in NCW op investeringsmoment) kan niet meer zijn dan de subsidies onder punt B2.</t>
  </si>
  <si>
    <t xml:space="preserve">In het geval van lease dient u uit te gaan van de contante waarde van uw verplichte leasetermijnen exclusief rentelasten. Een rekenhulp hiervoor vindt u in het werkblad "Invoerblad bij lease". </t>
  </si>
  <si>
    <t>Onder overige investeringsubsidies vallen alle vormen van investeringssteun van de Rijksoverheid, EU of een ander Bestuursorgaan.</t>
  </si>
  <si>
    <t>Onder provinciale en gemeentelijke subsidies vallen alle vormen van investeringssteun van de Provincie en/of Gemeente</t>
  </si>
  <si>
    <t>Totaal subsidies is een automatisch berekend veld. Dit is de som van alle ontvangen investeringssteun.</t>
  </si>
  <si>
    <t>Hier vult u de toegekende EIA meldingsbedragen in. Als de bedragen nog niet zijn toegekend vult u de aangevraagde EIA melidngsbedragen in. Let wel er zijn bij sommige categorien (wind op land) en zonnepanelen EIA-maxima ingesteld.</t>
  </si>
  <si>
    <t>Uitgegaan wordt van benutting van de VAMIL \ TWA in het eerste jaar na voltooiing van de investering, bij het relevante belastingpercentage (punt 21) en de disconteringsvoet (punt 43). De berekende vervroegde afschrijving onder punt 26 (onder jaar 1) kan door invulling van een andere verdeling van de afschrijvingen over de verschillende jaren worden overschreven. Echter afwijkende vervroegde afschrijving dan in het eerste jaar (forfaitair) dient na afloop met een accountantsverklaring te worden aangetoond. Aanbevolen wordt om dit pas wat verderop in het traject te doen als (een deel van) de werkelijke fiscale afschrijvingen bekend zijn.</t>
  </si>
  <si>
    <t>5a</t>
  </si>
  <si>
    <t xml:space="preserve">Gerealiseerd opgesteld vermogen </t>
  </si>
  <si>
    <t>Beschikt opgesteld vermogen</t>
  </si>
  <si>
    <t>54a</t>
  </si>
  <si>
    <t>Tarief marktwaarde stroom of gas</t>
  </si>
  <si>
    <t>Opbrengsten marktwaarde elektriciteit of gas (naast SDE)</t>
  </si>
  <si>
    <t>Uitgegaan wordt van benutting van de MIA in het eerste jaar na voltooiing van de investering, bij het relevante aftrekpercentage (punt 29) het relevante belastingpercentage (punt 21) en de disconteringsvoet (punt 43). Het onder punt 28 berekende voordeel in jaar 1 kan door het invullen van getallen over de verschillende jaren worden overschreven. Echter afwijkende benutting dan in het eerste jaar (forfaitair) dient na afloop met een accountantsverklaring te worden aangetoond. Aanbevolen wordt om dit alleen te doen als het echt noodzakelijk is door het grote verschil.</t>
  </si>
  <si>
    <t>Totaal fiscale voordelen is een automatisch berekend veld. Dit is de som van alle ontvangen fiscale voordelen.</t>
  </si>
  <si>
    <t>Als te financieren wordt beschouwd de investering (punt 13) -/- de subsidies (punt 20) -/- de voordelen die uit de fiscale instrumenten worden verkregen (punt 32).</t>
  </si>
  <si>
    <t>Dit is het percentage aan eigen vermogen, respectievelijk vreemd vermogen, waarmee het onder punt 34 berekende bedrag gefinancierd wordt. De ontvangen steun is in dit verband dus geen EV. Indien niet anders aangetoond wordt, wordt forfaitair uitgegaan van een gewogen gemiddelde van 8 procent over het geïnvesteerde  vermogen. Bij 15% (vast gegeven) op eigen vermogen en 6% op vreemd vermogen (vast gegeven) betreft het percentage eigen vermogen dan 22,2%. Deze waarden kunnen overschreven worden. Afwijkende % EV dienen te worden onderbouwd met een financieringscontract voor het project of indien uit het eigen vermogen van de onderneming wordt gefinancierd tegen de verhouding EV die binnen de onderneming bestaat blijkend uit het laatst uitgebrachte jaarverslag van de onderneming waar het project ondergebracht is. (vennootschappelijk of geconsolideerd indien de onderneming in een geconsolideerd jaarverslag wordt gerapporteerd.)</t>
  </si>
  <si>
    <t>Het rentevoordeel uit de Regeling groenprojecten is forfaitair op 1% gesteld.</t>
  </si>
  <si>
    <t>Hier vult u het verwachte aantal draaiuren per jaar van uw installatie in (totaal aantal uren in een jaar bedraagt 8760).</t>
  </si>
  <si>
    <t xml:space="preserve">De bouwtijd is relevant voor de discontering van de opbrengsten en kosten na de investering voor zover ze onderwerp zijn van de cumulatietoets. De bouwtijd is de periode tussen de eerste betalingen t.a.v. investering in de productie-installatie en datum van ingebruikname. In de discontering van dit rekenmodel wordt rekening gehouden met 1 jaar bouwtijd. Is de bouwtijd langer dan wordt daar in de discontering van de opbrengsten en kosten rekening mee gehouden. Als de bouwtijd langer is bij grootschaligere projecten, bijvoorbeeld 2 jaar wordt ervan uitgegaan dat de kosten van de investering lineair gemaakt worden over die periode. De discontering van de exploitatiegegevens zoals SDE inkomsten etc.wordt dan aangepast omdat er meer tijd zit tussen investering en exploitatie. Gemiddeld zit er bij een bouwtijd van 2 jaar 1,5 jaar tussen de investering en de exploitatie. Het investeringsbedrag wordt gemiddeld in het midden van de bouwperiode betaald (in dit geval 2 jaar). In de bouwperiode ligt er dus 1 jaar tussen investering en exploitatie. </t>
  </si>
  <si>
    <t>Uitgegaan wordt van benutting van de EIA in het eerste jaar na voltooiing van de investering, bij het relevante aftekpercentage (punt 22) het relevante belastingpercentage (punt 21) en de disconteringsvoet (punt 43). Het onder punt 24 berekende aftrekbedrag in jaar 1 kan door het invullen van getallen over de verschillende jaren worden overschreven. Echter afwijkende claim dan in het eerste jaar (forfaitair) dient na afloop met een accountantsverklaring te worden aangetoond. Aanbevolen wordt om dit alleen te doen als het echt noodzakelijk is. Afwijkende claim van de EIA dan in het eerste jaar is alleen in zeer bijzondere gevallen mogelijk.</t>
  </si>
  <si>
    <t>Hier vult u de toegekende VAMIL of TWA meldingsbedragen in. Als de bedragen nog niet zijn toegekend vult u de aangevraagde VAMIL of TWA meldingsbedragen in. VAMIL staat voor De Regeling Willekeurige Afschrijving Milieu-investeringen. TWA staat voor de tijdelijke regeling willekeurige afschrijving.</t>
  </si>
  <si>
    <t>Het rentevoordeel uit de Regeling Groenprojecten is berekend obv 10 jaar aflossing (in tegenstelling tot afschrijvings / aflossingstermijn ter berekening van het rendement op vermogen, zie hierboven</t>
  </si>
  <si>
    <t xml:space="preserve">Voordeel Regeling Groenprojecten </t>
  </si>
  <si>
    <t>Schuld VV (gefinancierd met Regeling Groenprojecten)</t>
  </si>
  <si>
    <t xml:space="preserve">Hier vult u het bedrag in dat is gefinancierd is met Groen Financiering (Regeling groenprojecten 2005) </t>
  </si>
  <si>
    <t>Het rentepercentage voor het vreemd vermogen is forfaitair gesteld op 6%. U kunt daarvan afwijken als u met een financieringscontract kunt aantonen dat u een hoger percentage moet betalen</t>
  </si>
  <si>
    <t xml:space="preserve">De afschrijvingstermijn is 15 jaar. (dit is gelijk aan de looptijd van de SDE-subsidie). </t>
  </si>
  <si>
    <t>Het tarief waartegen de MSK-toets wordt doorgerekend is het verschil tussen het basistarief (punt 44) en het correctiebedrag waartegen de MSK-toets wordt doorgerekend (punt 52a). Dit veld wordt automatisch berekend.</t>
  </si>
  <si>
    <t>De SDE opbrengsten per kalenderjaar worden als volgt berekend: Productie in de SDE-periode (punt 8) * SDE tarief waartegen de MSK-toets wordt doorgerekend (punt 52b). Dit veld wordt automatisch berekend.</t>
  </si>
  <si>
    <t>Totale elektriciteitsproductie. Dit is dezelfde als bij punt 8 berekend.</t>
  </si>
  <si>
    <t xml:space="preserve">Dit betreft de bedragen die zijn opgenomen of voortvloeien uit de SDE regeling. </t>
  </si>
  <si>
    <t>Vul hier de opbrengst uit verkoop van warmte in.</t>
  </si>
  <si>
    <t>Als uw project een bij- of meestookproject betreft en u daarmee kolen en bijkomende kosten bespaart, vult u hier de kostenbesparing in die daarmee gemoeid is.</t>
  </si>
  <si>
    <t>Bij sommige biomassa projecten is er sprake van afvoer van reststoffen (bijv. digestaat), die gestort dienen te worden tegen betaling.</t>
  </si>
  <si>
    <t>Vul hier de vaste operationele kosten in. Dat zijn alle vaste kosten uitgezonderd rente- en afschrijvingskosten</t>
  </si>
  <si>
    <t>Vul hier de variabele operationele kosten in. Dit zijn alle variabele kosten uitgezonderd de kosten bij de punten 69 en 70, rente- en afschrijvingskosten.</t>
  </si>
  <si>
    <t>Op dit blad worden de uitkomsten van de MSK-toets gepresenteerd. Alle waarden uit dit blad zijn automatisch berekende velden gebaseerd op de waarden zoals ingevuld op de invoerbladen.</t>
  </si>
  <si>
    <t>In de berekeningen wordt gebruikgemaakt van de Netto Contante Waarde (NCW)</t>
  </si>
  <si>
    <t>Dit is het bruto-investeringsbedrag. Deze wordt overgenomen uit punt 13 van het invoerblad</t>
  </si>
  <si>
    <t>Investeringssteun uit EIA en groen financiering. Deze investeringssteun wordt meegenomen in de berekening, maar niet in de correctiegrondslag.</t>
  </si>
  <si>
    <t>Overige investeringssteun</t>
  </si>
  <si>
    <t>Totale investeringssteun. Dit is de som van B1 en B2</t>
  </si>
  <si>
    <t>Netto-investering = Bruto investering (A) - totale investeringssteun (B)</t>
  </si>
  <si>
    <t>Hier wordt de NCW van de marktwaarde elektriciteitsopbrengsten naast SDE getoond.</t>
  </si>
  <si>
    <t>Hier wordt de NCW van de overige opbrengsten getoond.</t>
  </si>
  <si>
    <t>Hier wordt de NCW van de exploitatiekosten getoond.</t>
  </si>
  <si>
    <t>H</t>
  </si>
  <si>
    <t>Hier wordt de netto contante waarde van de SDE-subsidie getoond.</t>
  </si>
  <si>
    <t>De (NCW van de) overcompensatie (zie Z) zal maximaal de gegeven steun bedragen onder B2. De onder B1 genoemde regelingen zijn categoraal en in de EU-goedkeuring van de SDE opgenomen. Daar wordt niet op gecorrigeerd.</t>
  </si>
  <si>
    <t>Dit zijn de begrote nominale inkomsten na de MSK correctie (overstimulering). Is begrote nominale inkomsten voor MSK ( R) - nominale waarde van de correctie ( O)</t>
  </si>
  <si>
    <t xml:space="preserve"> </t>
  </si>
  <si>
    <t>Rekenhulp voor het berekenen van het investeringsbedrag bij financial lease of sale en lease back</t>
  </si>
  <si>
    <t>Vul punt 1 tot en met 6 in.</t>
  </si>
  <si>
    <t>Punt</t>
  </si>
  <si>
    <t>Omschrijving</t>
  </si>
  <si>
    <t xml:space="preserve">Invulvelden </t>
  </si>
  <si>
    <t>Verdisconteringspercentage op jaarbasis:</t>
  </si>
  <si>
    <t>Verdisconteringspercentage op maandbasis</t>
  </si>
  <si>
    <t xml:space="preserve">leasetermijn per maand: </t>
  </si>
  <si>
    <t xml:space="preserve">Dit rekenblad dient als hulpmiddel om inzicht te krijgen in eventuele overcompensatie als gevolg van cumulatie van steun.  </t>
  </si>
  <si>
    <t>SDE-aanvragers inzicht te geven in de berekening van eventuele overcompensatie als gevolg cumulatie van steun.</t>
  </si>
  <si>
    <t>Vul hier de startdatum SDE-subsidie in.</t>
  </si>
  <si>
    <t>leaseperiode (in maanden):</t>
  </si>
  <si>
    <t>koopoptie bedrag:</t>
  </si>
  <si>
    <t>koopoptie betalingsmaand:</t>
  </si>
  <si>
    <t>betaling begin (vul in: 1) of einde maand (vul in: 0):</t>
  </si>
  <si>
    <t>NCW leasetermijnen:</t>
  </si>
  <si>
    <t>NCW koopoptie:</t>
  </si>
  <si>
    <t>Totale NCW (investeringsbedrag):</t>
  </si>
  <si>
    <t>Toelichting:</t>
  </si>
  <si>
    <t>Hier vult u de maandelijkse leasetermijn in.</t>
  </si>
  <si>
    <t>start sde ontv tov begin kalenderjaar, deeljaar</t>
  </si>
  <si>
    <t>discontcorr</t>
  </si>
  <si>
    <t>Als er een koopoptie in uw leasecontract staat opgenomen, neemt u dat bedrag over. Als er geen koopoptie is, vult u niets in.</t>
  </si>
  <si>
    <t>Tarief per jaar</t>
  </si>
  <si>
    <t>Restsom overcompensatie per jaar</t>
  </si>
  <si>
    <t>Overcompensatie per jaar maximaal</t>
  </si>
  <si>
    <t xml:space="preserve">Overcompensatie per jaar    </t>
  </si>
  <si>
    <t>Overcompensatie in productie per jaar</t>
  </si>
  <si>
    <t>Totale korting op productie</t>
  </si>
  <si>
    <t>Gemiddeld tarief overcompensatie</t>
  </si>
  <si>
    <t>Saldo Toets A</t>
  </si>
  <si>
    <t>Conclusie overcompensatie Toets A</t>
  </si>
  <si>
    <t>SDE correctie (O) in MWh (berekend obv gemiddeld SDE tarief overcompensatie)</t>
  </si>
  <si>
    <t>Berekening gemiddelde tarief SDE bij korting op productie</t>
  </si>
  <si>
    <t>Tarief</t>
  </si>
  <si>
    <t>Bedrag(EUR)</t>
  </si>
  <si>
    <t>Productie</t>
  </si>
  <si>
    <t>Overcompensatie per jaar in bedrag/productie</t>
  </si>
  <si>
    <t>Waarde</t>
  </si>
  <si>
    <t>Eenheid</t>
  </si>
  <si>
    <t>Euro</t>
  </si>
  <si>
    <t>Correctiegrondslag (NCW) (maximaal B2 of nul als Z&lt;=10.000 )</t>
  </si>
  <si>
    <t>Jaarlijkse productie in MWh of Nm3 in "SDE periode"</t>
  </si>
  <si>
    <t>Jaarlijkse subsidiabele productie in MWh of Nm3 in SDE periode (exclusief banking)</t>
  </si>
  <si>
    <t>EIA aftrek (44 of 41,5% van het meldingsbedrag na aftrek subsidies)</t>
  </si>
  <si>
    <t>SDE correctiebedrag (besluit art .14.1a) (Gemiddelde looptijd)</t>
  </si>
  <si>
    <t>Tarief marktwaarde stroom  (Euro/MWh) (naast SDE) (Gemiddelde looptijd)</t>
  </si>
  <si>
    <t>Opbrengsten marktwaarde elektriciteit (naast SDE) (Gemiddelde looptijd)</t>
  </si>
  <si>
    <t>Vaste operationele kosten (euro / jaar) (Gemiddelde looptijd)</t>
  </si>
  <si>
    <t>Variabele operationele kosten (euro / jaar) (Gemiddelde looptijd)</t>
  </si>
  <si>
    <t>A: Invoerblad MSK cumulatietoets exploitatiesteun</t>
  </si>
  <si>
    <t>C: Berekening VAMIL voordeel</t>
  </si>
  <si>
    <t>D: MSK toets, Rekenhulp investeringsbedrag bij lease</t>
  </si>
  <si>
    <t>E: Exploitatieoverzicht biomassa</t>
  </si>
  <si>
    <t>F: MSK cumulatietoets exploitatiesteun</t>
  </si>
  <si>
    <t>G: Samenvatting en uitgangspunten</t>
  </si>
  <si>
    <t>Forward banking</t>
  </si>
  <si>
    <t>Backward banking</t>
  </si>
  <si>
    <t>Opbrengsten formward banking</t>
  </si>
  <si>
    <t>Opbrengsten backward banking</t>
  </si>
  <si>
    <t>Productie in MWh in "SDE periode"</t>
  </si>
  <si>
    <t>Subsidiabele productie in MWh in SDE periode</t>
  </si>
  <si>
    <t>SDE basis elektriciteitsprijs</t>
  </si>
  <si>
    <t>Jaar 1</t>
  </si>
  <si>
    <t>Jaar 2</t>
  </si>
  <si>
    <t>Jaar 3</t>
  </si>
  <si>
    <t>Jaar 4</t>
  </si>
  <si>
    <t>Jaar 5</t>
  </si>
  <si>
    <t>Jaar 6</t>
  </si>
  <si>
    <t>Jaar 7</t>
  </si>
  <si>
    <t>Jaar 8</t>
  </si>
  <si>
    <t>Jaar 9</t>
  </si>
  <si>
    <t>Jaar 10</t>
  </si>
  <si>
    <t>Jaar 11</t>
  </si>
  <si>
    <t>Jaar 12</t>
  </si>
  <si>
    <t>Jaar 13</t>
  </si>
  <si>
    <t>Jaar 14</t>
  </si>
  <si>
    <t>Jaar 15</t>
  </si>
  <si>
    <t>Jaar 16</t>
  </si>
  <si>
    <t>laatste exploitatiejaar waarin SDE wordt ontvangen</t>
  </si>
  <si>
    <t>SDE correctie (O) in MWh (obv gemiddeld SDE tarief overcompensatie)</t>
  </si>
  <si>
    <t>Vul hier het basisbedrag in dat voor uw project van toepassing is. Het gaat om het basisbedrag in €/MWh</t>
  </si>
  <si>
    <t>Vul hier de basis elektriciteitsprijs in die voor uw project van toepassing is. Het gaat om de basis elektriciteitsprijs in €/MWh</t>
  </si>
  <si>
    <t>Vul de jaren in waarin SDE voordelen worden verkregen, jaar 1 is het eerste jaar dat SDE wordt verkregen</t>
  </si>
  <si>
    <t>Totale productie van elektriciteit in MWh</t>
  </si>
  <si>
    <t>Totale productie van warmte in MWh</t>
  </si>
  <si>
    <t>MW(e, th, tot)/Nm3</t>
  </si>
  <si>
    <t>MWh</t>
  </si>
  <si>
    <t>Vermeld hier het gerealiseerd opgesteld vermogen (MWe, bij hernieuwbare elektriciteit, MWth bij hernieuwbare warmte, MWtot bij gecombineerde opwekking of Nm3/hr bij hernieuwbaar gas)</t>
  </si>
  <si>
    <t>Vermeld hier het beschikt opgesteld vermogen (MWe, bij hernieuwbare elektriciteit, MWth bij hernieuwbare warmte, MWtot bij gecombineerde opwekking of Nm3/hr bij hernieuwbaar gas)</t>
  </si>
  <si>
    <t>Hier vult u het aantal draaiuren per jaar, dat voor subsidie in aanmerking komt, in.</t>
  </si>
  <si>
    <t>De Productie in MWh of in "SDE periode" is een automatisch berekend veld. Dit veld is met de volgende formule berekend: opgesteld vermogen (punt 5) * draaiuren  (punt 7).</t>
  </si>
  <si>
    <t>Subsidiabele productie in MWh in SDE periode is een automatisch berekend veld. Dit veld is met de volgende formule berekend: opgesteld vermogen (punt 5) * subsidiabele draaiuren (punt 7A).</t>
  </si>
  <si>
    <t>Het tarief marktwaarde stroom of gas is forfaitair gelijk aan het correctiebedrag waartegen de MSK-toets wordt doorgerekend (52A). Er kunnen andere bedragen worden gehanteerd indien u met energienota's of vergelijkbare bewijsstukken kunt aantonen dat u een lagere energieprijs ontvangt.</t>
  </si>
  <si>
    <t>Hier worden de energie-opbrengsten naast de SDE berekend. Dit gebeurt door de Productie in MWh in "SDE periode" (punt 8) te vermenigvuldigen met het tarief marktwaarde stroom of gas (punt 55)</t>
  </si>
  <si>
    <t>Dit betreft productie die in toekomstige jaren niet gerealiseerd zal gaan worden (bijvoorbeeld door onderhoud) en die in dit jaar alvast wordt gecompenseerd.</t>
  </si>
  <si>
    <t>Dit betreft de productie die in eerdere jaren niet is gerealiseerd en die wordt ingehaald in het huidige jaar.</t>
  </si>
  <si>
    <t>53a</t>
  </si>
  <si>
    <t>53b</t>
  </si>
  <si>
    <t>8a</t>
  </si>
  <si>
    <t>8b</t>
  </si>
  <si>
    <t>8c</t>
  </si>
  <si>
    <t>7a</t>
  </si>
  <si>
    <t>Vul hier de totale warmteproductie in, uitgedrukt in GJ.</t>
  </si>
  <si>
    <t>De forward banking opbrengsten worden als volgt berekend: Alvast geproduceerde productie (8b) * (basisbedrag - correctiebedrag) van het huidige jaar. Dit bedrag wordt getoond in het opvolgende jaar aangezien banking in dat jaar wordt verrekend middels een bijstelling.</t>
  </si>
  <si>
    <t>De backward banking opbrengsten worden als volgt berekend: Ingehaalde productie (8c) * (basisbedrag - correctiebedrag) van het huidige jaar. Dit bedrag wordt getoond in het opvolgende jaar aangezien banking in dat jaar wordt verrekend middels een bijstelling.</t>
  </si>
  <si>
    <t>MW</t>
  </si>
  <si>
    <t>De grondslag voor correctie is Z maar zal niet meer bedragen dan subtotaal B2</t>
  </si>
  <si>
    <t>Subsidiabele productie in SDE periode</t>
  </si>
  <si>
    <t>forward banking productie</t>
  </si>
  <si>
    <t>subsidiabele productie per jaar</t>
  </si>
  <si>
    <t>Forward banking productie per jaar</t>
  </si>
  <si>
    <t>Looptijd SDE</t>
  </si>
  <si>
    <t xml:space="preserve">Looptijd </t>
  </si>
  <si>
    <t>project</t>
  </si>
  <si>
    <t># maand</t>
  </si>
  <si>
    <t>Klopt deze regel zo?</t>
  </si>
  <si>
    <t>Aflossing</t>
  </si>
  <si>
    <t>Verwijzen naar rendement geinversteerd vermogen</t>
  </si>
  <si>
    <t>REV</t>
  </si>
  <si>
    <t>Opbrengst marktwaarde energie</t>
  </si>
  <si>
    <t>Opbrengsten SDE</t>
  </si>
  <si>
    <t>regel 33 gedeeld door looptijd.. Rekening houdend met gebrolen boekjaren</t>
  </si>
  <si>
    <t>uit tabblad rendement geinvesteerd vermogen; kosten V.V. Nog geen rekening gehouden met gebroken boekjaar</t>
  </si>
  <si>
    <t>aftrekpost VAMIL</t>
  </si>
  <si>
    <t>uit tabblad Vamil voordeel regel 10</t>
  </si>
  <si>
    <t>Aflossing toevoegen</t>
  </si>
  <si>
    <t>uit tabbald rendement geinvesteerd vermogen</t>
  </si>
  <si>
    <t>IR</t>
  </si>
  <si>
    <t>DCSR</t>
  </si>
  <si>
    <t>Vaste operationele kosten</t>
  </si>
  <si>
    <t>Variabele operationele kosten</t>
  </si>
  <si>
    <t>Belastbaar inkomen (€)</t>
  </si>
  <si>
    <t>Verliezen uit verleden</t>
  </si>
  <si>
    <t xml:space="preserve">saldo banking </t>
  </si>
  <si>
    <t>MSK rekenomodel voor biomassa (elektriciteit, gas, warmte en WKK)</t>
  </si>
  <si>
    <t xml:space="preserve">Vul de geel gemarkeerde velden van deel A in en eventueel deel B afhankelijk van uw project. </t>
  </si>
  <si>
    <t>…. subsidies (euro's)</t>
  </si>
  <si>
    <t>Ontvangen subsidies voor de productie-installatie (bijv. TKI, DEI, MEI of andere subsidies van RVO)</t>
  </si>
  <si>
    <t xml:space="preserve">Ontvangen subsidies voor de productie-installatie </t>
  </si>
  <si>
    <t>Zie  onderstaande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</si>
</sst>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1" formatCode="_ * #,##0_ ;_ * \-#,##0_ ;_ * &quot;-&quot;_ ;_ @_ "/>
    <numFmt numFmtId="43" formatCode="_ * #,##0.00_ ;_ * \-#,##0.00_ ;_ * &quot;-&quot;??_ ;_ @_ "/>
    <numFmt numFmtId="164" formatCode="&quot;€&quot;\ #,##0.00_-;[Red]&quot;€&quot;\ #,##0.00\-"/>
    <numFmt numFmtId="165" formatCode="_-* #,##0.00_-;_-* #,##0.00\-;_-* &quot;-&quot;??_-;_-@_-"/>
    <numFmt numFmtId="166" formatCode="_-* #,##0_-;_-* #,##0\-;_-* &quot;-&quot;??_-;_-@_-"/>
    <numFmt numFmtId="167" formatCode="0.0%"/>
    <numFmt numFmtId="168" formatCode="_-* #,##0.0_-;_-* #,##0.0\-;_-* &quot;-&quot;??_-;_-@_-"/>
    <numFmt numFmtId="169" formatCode="_-* #,##0.000_-;_-* #,##0.000\-;_-* &quot;-&quot;??_-;_-@_-"/>
    <numFmt numFmtId="170" formatCode="0.0000000"/>
    <numFmt numFmtId="171" formatCode="_-* #,##0.00000_-;_-* #,##0.00000\-;_-* &quot;-&quot;??_-;_-@_-"/>
    <numFmt numFmtId="172" formatCode="_-* #,##0.000000_-;_-* #,##0.000000\-;_-* &quot;-&quot;??_-;_-@_-"/>
    <numFmt numFmtId="173" formatCode="_-* #,##0.0000000_-;_-* #,##0.0000000\-;_-* &quot;-&quot;??_-;_-@_-"/>
    <numFmt numFmtId="174" formatCode="#,##0_ ;\-#,##0\ "/>
    <numFmt numFmtId="175" formatCode="d/mm/yy;@"/>
    <numFmt numFmtId="176" formatCode="dd/mm/yy;@"/>
    <numFmt numFmtId="177" formatCode="_-* #,##0.000000000_-;_-* #,##0.000000000\-;_-* &quot;-&quot;??_-;_-@_-"/>
    <numFmt numFmtId="178" formatCode="&quot;€&quot;\ #,##0.00_-"/>
    <numFmt numFmtId="179" formatCode="&quot;€&quot;\ #,##0_-"/>
    <numFmt numFmtId="180" formatCode="0.###"/>
    <numFmt numFmtId="181" formatCode="0.000"/>
    <numFmt numFmtId="182" formatCode="&quot;€&quot;\ #,##0.0_-"/>
    <numFmt numFmtId="183" formatCode="_-* #,##0.000000_-;_-* #,##0.000000\-;_-* &quot;-&quot;??????_-;_-@_-"/>
    <numFmt numFmtId="184" formatCode="_-* #,##0.000_-;_-* #,##0.000\-;_-* &quot;-&quot;???_-;_-@_-"/>
    <numFmt numFmtId="185" formatCode="_-* #,##0.0000_-;_-* #,##0.0000\-;_-* &quot;-&quot;??_-;_-@_-"/>
    <numFmt numFmtId="186" formatCode="&quot;€&quot;\ #,##0.00000_-;[Red]&quot;€&quot;\ #,##0.00000\-"/>
    <numFmt numFmtId="187" formatCode="_-* #,##0.0000_-;_-* #,##0.0000\-;_-* &quot;-&quot;????_-;_-@_-"/>
    <numFmt numFmtId="188" formatCode="0.0000"/>
    <numFmt numFmtId="189" formatCode="0.000000"/>
    <numFmt numFmtId="190" formatCode="0.000%"/>
    <numFmt numFmtId="191" formatCode="0.0000%"/>
    <numFmt numFmtId="192" formatCode="&quot;€&quot;\ #,##0.000000_-;[Red]&quot;€&quot;\ #,##0.000000\-"/>
    <numFmt numFmtId="193" formatCode="_-* #,##0.00000000_-;_-* #,##0.00000000\-;_-* &quot;-&quot;??_-;_-@_-"/>
    <numFmt numFmtId="194" formatCode="#,##0.00_ ;\-#,##0.00\ "/>
    <numFmt numFmtId="195" formatCode="dd\ mmmm\ yyyy"/>
    <numFmt numFmtId="196" formatCode="#,##0.0"/>
  </numFmts>
  <fonts count="71" x14ac:knownFonts="1">
    <font>
      <sz val="10"/>
      <name val="Times New Roman"/>
    </font>
    <font>
      <sz val="10"/>
      <name val="Times New Roman"/>
      <family val="1"/>
    </font>
    <font>
      <b/>
      <sz val="14"/>
      <name val="Times New Roman"/>
      <family val="1"/>
    </font>
    <font>
      <sz val="10"/>
      <name val="Times New Roman"/>
      <family val="1"/>
    </font>
    <font>
      <b/>
      <sz val="10"/>
      <name val="Times New Roman"/>
      <family val="1"/>
    </font>
    <font>
      <b/>
      <sz val="12"/>
      <name val="Times New Roman"/>
      <family val="1"/>
    </font>
    <font>
      <b/>
      <sz val="11"/>
      <name val="Times New Roman"/>
      <family val="1"/>
    </font>
    <font>
      <sz val="11"/>
      <name val="Times New Roman"/>
      <family val="1"/>
    </font>
    <font>
      <sz val="11"/>
      <color indexed="10"/>
      <name val="Times New Roman"/>
      <family val="1"/>
    </font>
    <font>
      <sz val="11"/>
      <name val="Times New Roman"/>
      <family val="1"/>
    </font>
    <font>
      <u/>
      <sz val="6"/>
      <color indexed="12"/>
      <name val="Times New Roman"/>
      <family val="1"/>
    </font>
    <font>
      <b/>
      <sz val="11"/>
      <color indexed="10"/>
      <name val="Times New Roman"/>
      <family val="1"/>
    </font>
    <font>
      <sz val="10"/>
      <color indexed="10"/>
      <name val="Times New Roman"/>
      <family val="1"/>
    </font>
    <font>
      <sz val="10"/>
      <name val="Arial"/>
      <family val="2"/>
    </font>
    <font>
      <b/>
      <sz val="10"/>
      <color indexed="10"/>
      <name val="Times New Roman"/>
      <family val="1"/>
    </font>
    <font>
      <sz val="11"/>
      <color indexed="57"/>
      <name val="Times New Roman"/>
      <family val="1"/>
    </font>
    <font>
      <sz val="9"/>
      <name val="Arial"/>
      <family val="2"/>
    </font>
    <font>
      <b/>
      <sz val="9"/>
      <name val="Arial"/>
      <family val="2"/>
    </font>
    <font>
      <sz val="10"/>
      <color indexed="10"/>
      <name val="Arial"/>
      <family val="2"/>
    </font>
    <font>
      <sz val="10"/>
      <name val="Times New Roman"/>
      <family val="1"/>
    </font>
    <font>
      <sz val="10"/>
      <name val="Arial"/>
      <family val="2"/>
    </font>
    <font>
      <i/>
      <sz val="10"/>
      <name val="Arial"/>
      <family val="2"/>
    </font>
    <font>
      <b/>
      <i/>
      <sz val="10"/>
      <name val="Arial"/>
      <family val="2"/>
    </font>
    <font>
      <b/>
      <sz val="10"/>
      <name val="Arial"/>
      <family val="2"/>
    </font>
    <font>
      <b/>
      <sz val="9"/>
      <name val="Arial"/>
      <family val="2"/>
    </font>
    <font>
      <sz val="9"/>
      <name val="Arial"/>
      <family val="2"/>
    </font>
    <font>
      <sz val="10"/>
      <color indexed="12"/>
      <name val="Times New Roman"/>
      <family val="1"/>
    </font>
    <font>
      <sz val="10"/>
      <color indexed="9"/>
      <name val="Times New Roman"/>
      <family val="1"/>
    </font>
    <font>
      <sz val="10"/>
      <color indexed="48"/>
      <name val="Times New Roman"/>
      <family val="1"/>
    </font>
    <font>
      <b/>
      <sz val="10"/>
      <name val="Arial"/>
      <family val="2"/>
    </font>
    <font>
      <sz val="11"/>
      <color indexed="14"/>
      <name val="Times New Roman"/>
      <family val="1"/>
    </font>
    <font>
      <b/>
      <sz val="12"/>
      <name val="Arial"/>
      <family val="2"/>
    </font>
    <font>
      <sz val="10"/>
      <color indexed="10"/>
      <name val="Arial"/>
      <family val="2"/>
    </font>
    <font>
      <b/>
      <sz val="10"/>
      <color indexed="10"/>
      <name val="Arial"/>
      <family val="2"/>
    </font>
    <font>
      <sz val="8"/>
      <name val="Times New Roman"/>
      <family val="1"/>
    </font>
    <font>
      <b/>
      <u/>
      <sz val="10"/>
      <name val="Times New Roman"/>
      <family val="1"/>
    </font>
    <font>
      <b/>
      <sz val="16"/>
      <name val="Times New Roman"/>
      <family val="1"/>
    </font>
    <font>
      <b/>
      <u/>
      <sz val="16"/>
      <name val="Times New Roman"/>
      <family val="1"/>
    </font>
    <font>
      <sz val="14"/>
      <name val="Times New Roman"/>
      <family val="1"/>
    </font>
    <font>
      <sz val="16"/>
      <name val="Times New Roman"/>
      <family val="1"/>
    </font>
    <font>
      <sz val="12"/>
      <name val="Times New Roman"/>
      <family val="1"/>
    </font>
    <font>
      <b/>
      <sz val="12"/>
      <color indexed="10"/>
      <name val="Arial"/>
      <family val="2"/>
    </font>
    <font>
      <sz val="11"/>
      <name val="Arial"/>
      <family val="2"/>
    </font>
    <font>
      <u/>
      <sz val="6"/>
      <color indexed="12"/>
      <name val="Arial"/>
      <family val="2"/>
    </font>
    <font>
      <sz val="10"/>
      <name val="Times New Roman"/>
      <family val="1"/>
    </font>
    <font>
      <sz val="10"/>
      <color indexed="14"/>
      <name val="Times New Roman"/>
      <family val="1"/>
    </font>
    <font>
      <u/>
      <sz val="10"/>
      <color indexed="48"/>
      <name val="Arial"/>
      <family val="2"/>
    </font>
    <font>
      <b/>
      <u/>
      <sz val="14"/>
      <name val="Times New Roman"/>
      <family val="1"/>
    </font>
    <font>
      <u/>
      <sz val="11"/>
      <color indexed="12"/>
      <name val="Times New Roman"/>
      <family val="1"/>
    </font>
    <font>
      <sz val="11"/>
      <color indexed="10"/>
      <name val="Times New Roman"/>
      <family val="1"/>
    </font>
    <font>
      <b/>
      <sz val="11"/>
      <name val="Times New Roman"/>
      <family val="1"/>
    </font>
    <font>
      <sz val="11"/>
      <color indexed="57"/>
      <name val="Times New Roman"/>
      <family val="1"/>
    </font>
    <font>
      <u/>
      <sz val="11"/>
      <color indexed="12"/>
      <name val="Times New Roman"/>
      <family val="1"/>
    </font>
    <font>
      <u/>
      <sz val="10"/>
      <color indexed="12"/>
      <name val="Times New Roman"/>
      <family val="1"/>
    </font>
    <font>
      <b/>
      <sz val="10"/>
      <color indexed="10"/>
      <name val="Arial"/>
      <family val="2"/>
    </font>
    <font>
      <b/>
      <sz val="12"/>
      <color indexed="10"/>
      <name val="Times New Roman"/>
      <family val="1"/>
    </font>
    <font>
      <u/>
      <sz val="10"/>
      <color indexed="12"/>
      <name val="Arial"/>
      <family val="2"/>
    </font>
    <font>
      <sz val="12"/>
      <color indexed="10"/>
      <name val="Times New Roman"/>
      <family val="1"/>
    </font>
    <font>
      <sz val="10"/>
      <color indexed="10"/>
      <name val="Times New Roman"/>
      <family val="1"/>
    </font>
    <font>
      <b/>
      <u/>
      <sz val="10"/>
      <color indexed="10"/>
      <name val="Times New Roman"/>
      <family val="1"/>
    </font>
    <font>
      <u/>
      <sz val="10"/>
      <color indexed="48"/>
      <name val="Times New Roman"/>
      <family val="1"/>
    </font>
    <font>
      <sz val="8"/>
      <color indexed="81"/>
      <name val="Tahoma"/>
      <family val="2"/>
    </font>
    <font>
      <b/>
      <sz val="8"/>
      <color indexed="81"/>
      <name val="Tahoma"/>
      <family val="2"/>
    </font>
    <font>
      <b/>
      <u/>
      <sz val="12"/>
      <color indexed="10"/>
      <name val="Times New Roman"/>
      <family val="1"/>
    </font>
    <font>
      <sz val="9"/>
      <name val="Times New Roman"/>
      <family val="1"/>
    </font>
    <font>
      <b/>
      <u/>
      <sz val="9"/>
      <name val="Times New Roman"/>
      <family val="1"/>
    </font>
    <font>
      <b/>
      <sz val="9"/>
      <name val="Times New Roman"/>
      <family val="1"/>
    </font>
    <font>
      <b/>
      <sz val="9"/>
      <color indexed="10"/>
      <name val="Times New Roman"/>
      <family val="1"/>
    </font>
    <font>
      <b/>
      <sz val="9"/>
      <name val="Times New Roman"/>
      <family val="1"/>
    </font>
    <font>
      <sz val="9"/>
      <name val="Times New Roman"/>
      <family val="1"/>
    </font>
    <font>
      <b/>
      <sz val="18"/>
      <name val="Times New Roman"/>
      <family val="1"/>
    </font>
  </fonts>
  <fills count="1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4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FF99"/>
        <bgColor indexed="64"/>
      </patternFill>
    </fill>
    <fill>
      <patternFill patternType="solid">
        <fgColor rgb="FF00B0F0"/>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style="thin">
        <color indexed="9"/>
      </right>
      <top style="thin">
        <color indexed="9"/>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9"/>
      </left>
      <right style="thin">
        <color indexed="9"/>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4">
    <xf numFmtId="0" fontId="0" fillId="0" borderId="0"/>
    <xf numFmtId="0" fontId="10"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cellStyleXfs>
  <cellXfs count="674">
    <xf numFmtId="0" fontId="0" fillId="0" borderId="0" xfId="0"/>
    <xf numFmtId="0" fontId="3" fillId="0" borderId="0" xfId="0" applyFont="1"/>
    <xf numFmtId="0" fontId="4" fillId="0" borderId="0" xfId="0" applyFont="1"/>
    <xf numFmtId="0" fontId="6" fillId="0" borderId="0" xfId="0" applyFont="1"/>
    <xf numFmtId="0" fontId="7" fillId="0" borderId="0" xfId="0" applyFont="1" applyBorder="1"/>
    <xf numFmtId="0" fontId="7" fillId="0" borderId="0" xfId="0" applyFont="1" applyBorder="1" applyAlignment="1">
      <alignment horizontal="right"/>
    </xf>
    <xf numFmtId="0" fontId="0" fillId="0" borderId="0" xfId="0" applyBorder="1"/>
    <xf numFmtId="166" fontId="0" fillId="0" borderId="0" xfId="2" applyNumberFormat="1" applyFont="1"/>
    <xf numFmtId="166" fontId="0" fillId="0" borderId="0" xfId="0" applyNumberFormat="1"/>
    <xf numFmtId="0" fontId="7" fillId="0" borderId="1" xfId="0" applyFont="1" applyBorder="1"/>
    <xf numFmtId="166" fontId="8" fillId="0" borderId="1" xfId="2" applyNumberFormat="1" applyFont="1" applyBorder="1"/>
    <xf numFmtId="0" fontId="7" fillId="0" borderId="2" xfId="0" applyFont="1" applyBorder="1"/>
    <xf numFmtId="0" fontId="0" fillId="0" borderId="1" xfId="0" applyBorder="1" applyAlignment="1">
      <alignment horizontal="right"/>
    </xf>
    <xf numFmtId="166" fontId="7" fillId="0" borderId="1" xfId="2" applyNumberFormat="1" applyFont="1" applyBorder="1"/>
    <xf numFmtId="0" fontId="7" fillId="0" borderId="1" xfId="0" applyFont="1" applyFill="1" applyBorder="1"/>
    <xf numFmtId="165" fontId="7" fillId="0" borderId="1" xfId="2" applyNumberFormat="1" applyFont="1" applyBorder="1"/>
    <xf numFmtId="0" fontId="6" fillId="0" borderId="1" xfId="0" applyFont="1" applyBorder="1"/>
    <xf numFmtId="166" fontId="7" fillId="0" borderId="1" xfId="2" applyNumberFormat="1" applyFont="1" applyBorder="1" applyAlignment="1">
      <alignment horizontal="right"/>
    </xf>
    <xf numFmtId="0" fontId="1" fillId="0" borderId="0" xfId="0" applyFont="1"/>
    <xf numFmtId="0" fontId="11" fillId="0" borderId="1" xfId="0" applyFont="1" applyBorder="1"/>
    <xf numFmtId="0" fontId="0" fillId="0" borderId="1" xfId="0" applyBorder="1"/>
    <xf numFmtId="166" fontId="0" fillId="0" borderId="0" xfId="2" applyNumberFormat="1" applyFont="1" applyBorder="1"/>
    <xf numFmtId="166" fontId="11" fillId="0" borderId="1" xfId="2" applyNumberFormat="1" applyFont="1" applyBorder="1"/>
    <xf numFmtId="166" fontId="6" fillId="0" borderId="1" xfId="2" applyNumberFormat="1" applyFont="1" applyBorder="1"/>
    <xf numFmtId="0" fontId="0" fillId="2" borderId="0" xfId="0" applyFill="1"/>
    <xf numFmtId="0" fontId="7" fillId="2" borderId="0" xfId="0" applyFont="1" applyFill="1"/>
    <xf numFmtId="9" fontId="8" fillId="0" borderId="0" xfId="3" applyFont="1" applyFill="1" applyBorder="1"/>
    <xf numFmtId="166" fontId="8" fillId="0" borderId="1" xfId="2" applyNumberFormat="1" applyFont="1" applyFill="1" applyBorder="1"/>
    <xf numFmtId="166" fontId="7" fillId="0" borderId="1" xfId="2" applyNumberFormat="1" applyFont="1" applyFill="1" applyBorder="1"/>
    <xf numFmtId="0" fontId="0" fillId="0" borderId="3" xfId="0" applyBorder="1"/>
    <xf numFmtId="166" fontId="7" fillId="0" borderId="4" xfId="2" applyNumberFormat="1" applyFont="1" applyBorder="1"/>
    <xf numFmtId="0" fontId="7" fillId="0" borderId="5" xfId="0" applyFont="1" applyBorder="1"/>
    <xf numFmtId="0" fontId="6" fillId="0" borderId="6" xfId="0" applyFont="1" applyBorder="1"/>
    <xf numFmtId="0" fontId="0" fillId="0" borderId="7" xfId="0" applyBorder="1"/>
    <xf numFmtId="9" fontId="7" fillId="0" borderId="0" xfId="3" applyFont="1" applyFill="1" applyBorder="1"/>
    <xf numFmtId="9" fontId="0" fillId="0" borderId="0" xfId="0" applyNumberFormat="1"/>
    <xf numFmtId="10" fontId="7" fillId="0" borderId="0" xfId="3" applyNumberFormat="1" applyFont="1" applyFill="1" applyBorder="1" applyAlignment="1">
      <alignment horizontal="left"/>
    </xf>
    <xf numFmtId="0" fontId="0" fillId="0" borderId="0" xfId="0" applyFill="1" applyBorder="1"/>
    <xf numFmtId="0" fontId="0" fillId="0" borderId="0" xfId="0" applyFill="1"/>
    <xf numFmtId="166" fontId="6" fillId="0" borderId="1" xfId="2" applyNumberFormat="1" applyFont="1" applyBorder="1" applyAlignment="1">
      <alignment horizontal="left"/>
    </xf>
    <xf numFmtId="0" fontId="6" fillId="0" borderId="1" xfId="0" applyFont="1" applyFill="1" applyBorder="1"/>
    <xf numFmtId="166" fontId="6" fillId="0" borderId="1" xfId="2" applyNumberFormat="1" applyFont="1" applyFill="1" applyBorder="1"/>
    <xf numFmtId="166" fontId="6" fillId="0" borderId="1" xfId="2" applyNumberFormat="1" applyFont="1" applyBorder="1" applyAlignment="1">
      <alignment horizontal="right"/>
    </xf>
    <xf numFmtId="166" fontId="7" fillId="0" borderId="1" xfId="2" applyNumberFormat="1" applyFont="1" applyFill="1" applyBorder="1" applyAlignment="1">
      <alignment horizontal="right"/>
    </xf>
    <xf numFmtId="0" fontId="0" fillId="0" borderId="8" xfId="0" applyFill="1" applyBorder="1"/>
    <xf numFmtId="0" fontId="0" fillId="0" borderId="9" xfId="0" applyFill="1" applyBorder="1"/>
    <xf numFmtId="0" fontId="14" fillId="0" borderId="0" xfId="0" applyFont="1"/>
    <xf numFmtId="9" fontId="15" fillId="0" borderId="0" xfId="3" applyFont="1" applyFill="1" applyBorder="1"/>
    <xf numFmtId="166" fontId="0" fillId="0" borderId="6" xfId="2" quotePrefix="1" applyNumberFormat="1" applyFont="1" applyBorder="1"/>
    <xf numFmtId="0" fontId="0" fillId="3" borderId="0" xfId="0" applyFill="1"/>
    <xf numFmtId="0" fontId="0" fillId="0" borderId="10" xfId="0" applyBorder="1"/>
    <xf numFmtId="0" fontId="0" fillId="0" borderId="11" xfId="0" applyFill="1" applyBorder="1"/>
    <xf numFmtId="0" fontId="0" fillId="0" borderId="12" xfId="0" applyFill="1" applyBorder="1"/>
    <xf numFmtId="0" fontId="0" fillId="0" borderId="6" xfId="0" applyFill="1" applyBorder="1"/>
    <xf numFmtId="0" fontId="16" fillId="0" borderId="13" xfId="0" applyFont="1" applyFill="1" applyBorder="1"/>
    <xf numFmtId="9" fontId="16" fillId="0" borderId="7" xfId="0" applyNumberFormat="1" applyFont="1" applyFill="1" applyBorder="1" applyAlignment="1">
      <alignment horizontal="center"/>
    </xf>
    <xf numFmtId="166" fontId="16" fillId="0" borderId="14" xfId="2" applyNumberFormat="1" applyFont="1" applyFill="1" applyBorder="1"/>
    <xf numFmtId="0" fontId="16" fillId="0" borderId="7" xfId="0" applyFont="1" applyFill="1" applyBorder="1"/>
    <xf numFmtId="0" fontId="16" fillId="0" borderId="15" xfId="0" applyFont="1" applyFill="1" applyBorder="1"/>
    <xf numFmtId="0" fontId="16" fillId="0" borderId="8" xfId="0" applyFont="1" applyFill="1" applyBorder="1"/>
    <xf numFmtId="166" fontId="16" fillId="0" borderId="0" xfId="2" applyNumberFormat="1" applyFont="1" applyFill="1" applyBorder="1"/>
    <xf numFmtId="0" fontId="16" fillId="0" borderId="0" xfId="0" applyFont="1" applyFill="1" applyBorder="1"/>
    <xf numFmtId="0" fontId="16" fillId="0" borderId="9" xfId="0" applyFont="1" applyFill="1" applyBorder="1"/>
    <xf numFmtId="0" fontId="16" fillId="0" borderId="8" xfId="0" applyFont="1" applyFill="1" applyBorder="1" applyAlignment="1">
      <alignment wrapText="1"/>
    </xf>
    <xf numFmtId="9" fontId="16" fillId="0" borderId="0" xfId="0" applyNumberFormat="1" applyFont="1" applyFill="1" applyBorder="1" applyAlignment="1">
      <alignment horizontal="center"/>
    </xf>
    <xf numFmtId="0" fontId="16" fillId="0" borderId="0" xfId="0" applyFont="1" applyFill="1" applyBorder="1" applyAlignment="1">
      <alignment horizontal="left"/>
    </xf>
    <xf numFmtId="0" fontId="16" fillId="0" borderId="0" xfId="0" applyFont="1" applyFill="1" applyBorder="1" applyAlignment="1">
      <alignment horizontal="center"/>
    </xf>
    <xf numFmtId="0" fontId="17" fillId="0" borderId="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166" fontId="16" fillId="0" borderId="0" xfId="0" applyNumberFormat="1" applyFont="1" applyFill="1" applyBorder="1"/>
    <xf numFmtId="17" fontId="17" fillId="0" borderId="0" xfId="0" quotePrefix="1" applyNumberFormat="1" applyFont="1" applyFill="1" applyBorder="1" applyAlignment="1">
      <alignment horizontal="center"/>
    </xf>
    <xf numFmtId="0" fontId="17" fillId="0" borderId="0" xfId="0" quotePrefix="1" applyFont="1" applyFill="1" applyBorder="1" applyAlignment="1">
      <alignment horizontal="center"/>
    </xf>
    <xf numFmtId="0" fontId="16" fillId="0" borderId="16" xfId="0" applyFont="1" applyFill="1" applyBorder="1"/>
    <xf numFmtId="166" fontId="17" fillId="0" borderId="17" xfId="0" applyNumberFormat="1" applyFont="1" applyFill="1" applyBorder="1"/>
    <xf numFmtId="166" fontId="16" fillId="0" borderId="3" xfId="0" applyNumberFormat="1" applyFont="1" applyFill="1" applyBorder="1"/>
    <xf numFmtId="0" fontId="16" fillId="0" borderId="3" xfId="0" applyFont="1" applyFill="1" applyBorder="1"/>
    <xf numFmtId="0" fontId="18" fillId="0" borderId="0" xfId="0" applyFont="1" applyFill="1" applyBorder="1"/>
    <xf numFmtId="9" fontId="16" fillId="0" borderId="0" xfId="3" applyFont="1" applyFill="1" applyBorder="1"/>
    <xf numFmtId="1" fontId="16" fillId="0" borderId="0" xfId="0" applyNumberFormat="1" applyFont="1" applyFill="1" applyBorder="1"/>
    <xf numFmtId="10" fontId="16" fillId="0" borderId="0" xfId="0" applyNumberFormat="1" applyFont="1" applyFill="1" applyBorder="1"/>
    <xf numFmtId="9" fontId="0" fillId="0" borderId="0" xfId="3" applyFont="1"/>
    <xf numFmtId="0" fontId="19" fillId="0" borderId="0" xfId="0" applyFont="1" applyFill="1" applyBorder="1"/>
    <xf numFmtId="166" fontId="0" fillId="0" borderId="3" xfId="2" applyNumberFormat="1" applyFont="1" applyBorder="1"/>
    <xf numFmtId="167" fontId="0" fillId="0" borderId="0" xfId="3" applyNumberFormat="1" applyFont="1"/>
    <xf numFmtId="9" fontId="6" fillId="0" borderId="0" xfId="3" applyFont="1" applyFill="1" applyBorder="1"/>
    <xf numFmtId="3" fontId="0" fillId="0" borderId="0" xfId="0" applyNumberFormat="1" applyBorder="1"/>
    <xf numFmtId="0" fontId="20" fillId="0" borderId="0" xfId="0" applyFont="1"/>
    <xf numFmtId="0" fontId="21" fillId="0" borderId="0" xfId="0" applyFont="1" applyAlignment="1">
      <alignment horizontal="right"/>
    </xf>
    <xf numFmtId="0" fontId="22" fillId="0" borderId="0" xfId="0" applyFont="1"/>
    <xf numFmtId="0" fontId="22" fillId="0" borderId="0" xfId="0" applyFont="1" applyAlignment="1">
      <alignment horizontal="right"/>
    </xf>
    <xf numFmtId="0" fontId="21" fillId="0" borderId="0" xfId="0" applyFont="1"/>
    <xf numFmtId="0" fontId="11" fillId="0" borderId="0" xfId="0" applyFont="1"/>
    <xf numFmtId="0" fontId="13" fillId="0" borderId="0" xfId="0" applyFont="1" applyFill="1" applyBorder="1"/>
    <xf numFmtId="166" fontId="13" fillId="0" borderId="0" xfId="2" applyNumberFormat="1" applyFont="1" applyFill="1" applyBorder="1"/>
    <xf numFmtId="17" fontId="24" fillId="0" borderId="0" xfId="0" quotePrefix="1" applyNumberFormat="1" applyFont="1" applyFill="1" applyBorder="1" applyAlignment="1">
      <alignment horizontal="center"/>
    </xf>
    <xf numFmtId="166" fontId="25" fillId="0" borderId="0" xfId="2" applyNumberFormat="1" applyFont="1" applyFill="1" applyBorder="1"/>
    <xf numFmtId="9" fontId="13" fillId="0" borderId="0" xfId="3" applyFont="1" applyFill="1" applyBorder="1"/>
    <xf numFmtId="166" fontId="1" fillId="0" borderId="0" xfId="0" applyNumberFormat="1" applyFont="1"/>
    <xf numFmtId="166" fontId="1" fillId="0" borderId="0" xfId="2" applyNumberFormat="1" applyFont="1"/>
    <xf numFmtId="0" fontId="2" fillId="0" borderId="0" xfId="0" applyFont="1"/>
    <xf numFmtId="0" fontId="4" fillId="0" borderId="13" xfId="0" applyFont="1" applyBorder="1"/>
    <xf numFmtId="166" fontId="0" fillId="0" borderId="15" xfId="2" applyNumberFormat="1" applyFont="1" applyBorder="1"/>
    <xf numFmtId="0" fontId="0" fillId="0" borderId="8" xfId="0" applyBorder="1"/>
    <xf numFmtId="166" fontId="0" fillId="0" borderId="9" xfId="2" applyNumberFormat="1" applyFont="1" applyBorder="1"/>
    <xf numFmtId="0" fontId="3" fillId="0" borderId="0" xfId="0" applyFont="1" applyBorder="1" applyAlignment="1">
      <alignment horizontal="right"/>
    </xf>
    <xf numFmtId="166" fontId="4" fillId="0" borderId="0" xfId="2" applyNumberFormat="1" applyFont="1" applyBorder="1"/>
    <xf numFmtId="0" fontId="3" fillId="0" borderId="0" xfId="0" applyFont="1" applyBorder="1"/>
    <xf numFmtId="0" fontId="0" fillId="0" borderId="16" xfId="0" applyBorder="1"/>
    <xf numFmtId="166" fontId="4" fillId="0" borderId="10" xfId="2" applyNumberFormat="1" applyFont="1" applyBorder="1"/>
    <xf numFmtId="0" fontId="4" fillId="0" borderId="8" xfId="0" applyFont="1" applyBorder="1"/>
    <xf numFmtId="166" fontId="4" fillId="0" borderId="9" xfId="2" applyNumberFormat="1" applyFont="1" applyBorder="1"/>
    <xf numFmtId="166" fontId="0" fillId="0" borderId="10" xfId="2" applyNumberFormat="1" applyFont="1" applyBorder="1"/>
    <xf numFmtId="166" fontId="0" fillId="0" borderId="7" xfId="2" applyNumberFormat="1" applyFont="1" applyBorder="1"/>
    <xf numFmtId="166" fontId="0" fillId="0" borderId="0" xfId="2" quotePrefix="1" applyNumberFormat="1" applyFont="1" applyBorder="1"/>
    <xf numFmtId="0" fontId="16" fillId="0" borderId="8" xfId="0" quotePrefix="1" applyFont="1" applyFill="1" applyBorder="1"/>
    <xf numFmtId="0" fontId="17" fillId="0" borderId="8" xfId="0" applyFont="1" applyFill="1" applyBorder="1"/>
    <xf numFmtId="0" fontId="23" fillId="0" borderId="0" xfId="0" applyFont="1" applyFill="1" applyBorder="1"/>
    <xf numFmtId="166" fontId="23" fillId="0" borderId="18" xfId="2" applyNumberFormat="1" applyFont="1" applyFill="1" applyBorder="1"/>
    <xf numFmtId="166" fontId="3" fillId="0" borderId="9" xfId="2" applyNumberFormat="1" applyFont="1" applyBorder="1"/>
    <xf numFmtId="0" fontId="2" fillId="0" borderId="0" xfId="0" applyFont="1" applyBorder="1"/>
    <xf numFmtId="0" fontId="5" fillId="0" borderId="0" xfId="0" applyFont="1" applyBorder="1"/>
    <xf numFmtId="0" fontId="7" fillId="0" borderId="19" xfId="0" applyFont="1" applyBorder="1"/>
    <xf numFmtId="0" fontId="26" fillId="0" borderId="0" xfId="0" applyFont="1"/>
    <xf numFmtId="0" fontId="4" fillId="0" borderId="0" xfId="0" applyFont="1" applyBorder="1"/>
    <xf numFmtId="3" fontId="0" fillId="0" borderId="0" xfId="0" quotePrefix="1" applyNumberFormat="1" applyBorder="1"/>
    <xf numFmtId="166" fontId="0" fillId="0" borderId="0" xfId="0" quotePrefix="1" applyNumberFormat="1" applyAlignment="1">
      <alignment horizontal="left"/>
    </xf>
    <xf numFmtId="166" fontId="4" fillId="0" borderId="0" xfId="0" quotePrefix="1" applyNumberFormat="1" applyFont="1"/>
    <xf numFmtId="2" fontId="23" fillId="0" borderId="0" xfId="0" quotePrefix="1" applyNumberFormat="1" applyFont="1"/>
    <xf numFmtId="166" fontId="27" fillId="0" borderId="0" xfId="0" applyNumberFormat="1" applyFont="1"/>
    <xf numFmtId="0" fontId="1" fillId="0" borderId="0" xfId="0" applyFont="1" applyBorder="1"/>
    <xf numFmtId="166" fontId="20" fillId="0" borderId="0" xfId="0" applyNumberFormat="1" applyFont="1" applyAlignment="1">
      <alignment horizontal="right"/>
    </xf>
    <xf numFmtId="0" fontId="28" fillId="0" borderId="0" xfId="0" applyFont="1"/>
    <xf numFmtId="0" fontId="12" fillId="0" borderId="0" xfId="0" applyFont="1"/>
    <xf numFmtId="10" fontId="8" fillId="0" borderId="0" xfId="3" applyNumberFormat="1" applyFont="1" applyFill="1" applyBorder="1"/>
    <xf numFmtId="10" fontId="15" fillId="0" borderId="0" xfId="3" applyNumberFormat="1" applyFont="1" applyFill="1" applyBorder="1"/>
    <xf numFmtId="166" fontId="8" fillId="0" borderId="0" xfId="2" applyNumberFormat="1" applyFont="1" applyFill="1" applyBorder="1"/>
    <xf numFmtId="0" fontId="5" fillId="0" borderId="0" xfId="0" applyFont="1"/>
    <xf numFmtId="9" fontId="16" fillId="0" borderId="0" xfId="0" applyNumberFormat="1" applyFont="1" applyFill="1" applyBorder="1"/>
    <xf numFmtId="166" fontId="6" fillId="4" borderId="6" xfId="2" applyNumberFormat="1" applyFont="1" applyFill="1" applyBorder="1" applyProtection="1">
      <protection locked="0"/>
    </xf>
    <xf numFmtId="0" fontId="7" fillId="0" borderId="5" xfId="0" applyFont="1" applyFill="1" applyBorder="1"/>
    <xf numFmtId="167" fontId="6" fillId="4" borderId="6" xfId="3" applyNumberFormat="1" applyFont="1" applyFill="1" applyBorder="1" applyProtection="1">
      <protection locked="0"/>
    </xf>
    <xf numFmtId="0" fontId="6" fillId="0" borderId="0" xfId="0" applyFont="1" applyFill="1" applyBorder="1"/>
    <xf numFmtId="166" fontId="6" fillId="0" borderId="0" xfId="0" applyNumberFormat="1" applyFont="1" applyBorder="1"/>
    <xf numFmtId="168" fontId="0" fillId="0" borderId="0" xfId="0" applyNumberFormat="1"/>
    <xf numFmtId="0" fontId="4" fillId="0" borderId="0" xfId="0" applyFont="1" applyAlignment="1">
      <alignment horizontal="left"/>
    </xf>
    <xf numFmtId="166" fontId="0" fillId="5" borderId="6" xfId="2" quotePrefix="1" applyNumberFormat="1" applyFont="1" applyFill="1" applyBorder="1"/>
    <xf numFmtId="0" fontId="6" fillId="0" borderId="0" xfId="0" applyFont="1" applyFill="1"/>
    <xf numFmtId="0" fontId="23" fillId="0" borderId="0" xfId="0" applyFont="1"/>
    <xf numFmtId="166" fontId="6" fillId="0" borderId="0" xfId="3" applyNumberFormat="1" applyFont="1" applyFill="1" applyBorder="1"/>
    <xf numFmtId="10" fontId="7" fillId="0" borderId="0" xfId="2" applyNumberFormat="1" applyFont="1" applyBorder="1"/>
    <xf numFmtId="0" fontId="29" fillId="0" borderId="0" xfId="0" applyFont="1"/>
    <xf numFmtId="10" fontId="1" fillId="0" borderId="0" xfId="3" applyNumberFormat="1" applyFont="1" applyBorder="1"/>
    <xf numFmtId="0" fontId="0" fillId="0" borderId="0" xfId="0" quotePrefix="1"/>
    <xf numFmtId="0" fontId="4" fillId="0" borderId="0" xfId="0" quotePrefix="1" applyFont="1"/>
    <xf numFmtId="166" fontId="7" fillId="0" borderId="0" xfId="2" applyNumberFormat="1" applyFont="1" applyFill="1" applyBorder="1"/>
    <xf numFmtId="0" fontId="6" fillId="0" borderId="0" xfId="0" applyFont="1" applyBorder="1"/>
    <xf numFmtId="166" fontId="8" fillId="0" borderId="0" xfId="2" applyNumberFormat="1" applyFont="1" applyBorder="1"/>
    <xf numFmtId="166" fontId="6" fillId="0" borderId="0" xfId="2" applyNumberFormat="1" applyFont="1" applyBorder="1"/>
    <xf numFmtId="166" fontId="23" fillId="0" borderId="0" xfId="2" quotePrefix="1" applyNumberFormat="1" applyFont="1" applyFill="1" applyAlignment="1">
      <alignment horizontal="right"/>
    </xf>
    <xf numFmtId="166" fontId="0" fillId="0" borderId="0" xfId="2" applyNumberFormat="1" applyFont="1" applyFill="1" applyAlignment="1">
      <alignment horizontal="right"/>
    </xf>
    <xf numFmtId="10" fontId="7" fillId="0" borderId="0" xfId="2" applyNumberFormat="1" applyFont="1" applyFill="1" applyBorder="1"/>
    <xf numFmtId="0" fontId="31" fillId="0" borderId="0" xfId="0" applyFont="1"/>
    <xf numFmtId="0" fontId="12" fillId="0" borderId="0" xfId="0" quotePrefix="1" applyFont="1"/>
    <xf numFmtId="166" fontId="11" fillId="0" borderId="0" xfId="0" applyNumberFormat="1" applyFont="1" applyBorder="1"/>
    <xf numFmtId="165" fontId="0" fillId="0" borderId="0" xfId="2" applyFont="1"/>
    <xf numFmtId="168" fontId="12" fillId="0" borderId="0" xfId="0" applyNumberFormat="1" applyFont="1"/>
    <xf numFmtId="14" fontId="0" fillId="0" borderId="0" xfId="0" applyNumberFormat="1"/>
    <xf numFmtId="164" fontId="6" fillId="0" borderId="0" xfId="0" applyNumberFormat="1" applyFont="1" applyFill="1"/>
    <xf numFmtId="0" fontId="14" fillId="0" borderId="0" xfId="0" applyFont="1" applyFill="1" applyBorder="1"/>
    <xf numFmtId="0" fontId="33" fillId="0" borderId="0" xfId="0" applyFont="1" applyFill="1" applyBorder="1"/>
    <xf numFmtId="0" fontId="12" fillId="0" borderId="0" xfId="0" applyFont="1" applyFill="1" applyBorder="1"/>
    <xf numFmtId="0" fontId="32" fillId="0" borderId="0" xfId="0" applyFont="1" applyFill="1" applyBorder="1"/>
    <xf numFmtId="166" fontId="14" fillId="0" borderId="0" xfId="2" applyNumberFormat="1" applyFont="1" applyFill="1" applyBorder="1" applyProtection="1">
      <protection locked="0"/>
    </xf>
    <xf numFmtId="0" fontId="4" fillId="0" borderId="0" xfId="0" applyFont="1" applyFill="1" applyBorder="1"/>
    <xf numFmtId="0" fontId="23" fillId="0" borderId="8" xfId="0" applyFont="1" applyBorder="1"/>
    <xf numFmtId="0" fontId="23" fillId="0" borderId="0" xfId="0" applyFont="1" applyBorder="1"/>
    <xf numFmtId="0" fontId="23" fillId="0" borderId="9" xfId="0" applyFont="1" applyBorder="1" applyAlignment="1">
      <alignment horizontal="right"/>
    </xf>
    <xf numFmtId="0" fontId="4" fillId="0" borderId="0" xfId="0" applyFont="1" applyAlignment="1">
      <alignment horizontal="center"/>
    </xf>
    <xf numFmtId="10" fontId="0" fillId="6" borderId="1" xfId="3" applyNumberFormat="1" applyFont="1" applyFill="1" applyBorder="1"/>
    <xf numFmtId="10" fontId="0" fillId="0" borderId="0" xfId="3" applyNumberFormat="1" applyFont="1"/>
    <xf numFmtId="171" fontId="0" fillId="0" borderId="0" xfId="2" applyNumberFormat="1" applyFont="1"/>
    <xf numFmtId="10" fontId="0" fillId="0" borderId="0" xfId="0" applyNumberFormat="1"/>
    <xf numFmtId="166" fontId="0" fillId="6" borderId="1" xfId="2" applyNumberFormat="1" applyFont="1" applyFill="1" applyBorder="1"/>
    <xf numFmtId="0" fontId="0" fillId="6" borderId="1" xfId="2" applyNumberFormat="1" applyFont="1" applyFill="1" applyBorder="1"/>
    <xf numFmtId="165" fontId="4" fillId="0" borderId="6" xfId="2" applyFont="1" applyFill="1" applyBorder="1"/>
    <xf numFmtId="177" fontId="0" fillId="0" borderId="0" xfId="2" applyNumberFormat="1" applyFont="1"/>
    <xf numFmtId="173" fontId="0" fillId="0" borderId="0" xfId="2" applyNumberFormat="1" applyFont="1"/>
    <xf numFmtId="0" fontId="7" fillId="0" borderId="0" xfId="0" applyFont="1"/>
    <xf numFmtId="0" fontId="1" fillId="0" borderId="6" xfId="0" applyFont="1" applyBorder="1" applyProtection="1">
      <protection locked="0"/>
    </xf>
    <xf numFmtId="10" fontId="0" fillId="0" borderId="1" xfId="3" applyNumberFormat="1" applyFont="1" applyFill="1" applyBorder="1"/>
    <xf numFmtId="0" fontId="35" fillId="0" borderId="0" xfId="0" applyFont="1" applyFill="1" applyBorder="1"/>
    <xf numFmtId="0" fontId="35" fillId="0" borderId="0" xfId="0" applyFont="1" applyBorder="1"/>
    <xf numFmtId="0" fontId="37" fillId="0" borderId="0" xfId="0" applyFont="1"/>
    <xf numFmtId="10" fontId="0" fillId="0" borderId="0" xfId="3" applyNumberFormat="1" applyFont="1" applyFill="1" applyBorder="1"/>
    <xf numFmtId="166" fontId="6" fillId="0" borderId="0" xfId="2" applyNumberFormat="1" applyFont="1" applyFill="1" applyBorder="1" applyProtection="1">
      <protection locked="0"/>
    </xf>
    <xf numFmtId="0" fontId="36" fillId="0" borderId="1" xfId="0" applyFont="1" applyBorder="1"/>
    <xf numFmtId="0" fontId="39" fillId="0" borderId="0" xfId="0" applyFont="1"/>
    <xf numFmtId="0" fontId="40" fillId="0" borderId="0" xfId="0" applyFont="1"/>
    <xf numFmtId="9" fontId="7" fillId="0" borderId="6" xfId="3" applyFont="1" applyFill="1" applyBorder="1"/>
    <xf numFmtId="166" fontId="0" fillId="0" borderId="0" xfId="2" quotePrefix="1" applyNumberFormat="1" applyFont="1"/>
    <xf numFmtId="0" fontId="0" fillId="0" borderId="0" xfId="0" applyAlignment="1">
      <alignment vertical="top" readingOrder="1"/>
    </xf>
    <xf numFmtId="0" fontId="4" fillId="0" borderId="6" xfId="0" applyFont="1" applyBorder="1" applyAlignment="1" applyProtection="1">
      <alignment horizontal="center"/>
      <protection locked="0"/>
    </xf>
    <xf numFmtId="166" fontId="1" fillId="0" borderId="0" xfId="2" applyNumberFormat="1" applyBorder="1"/>
    <xf numFmtId="166" fontId="6" fillId="0" borderId="0" xfId="0" applyNumberFormat="1" applyFont="1" applyFill="1" applyBorder="1"/>
    <xf numFmtId="0" fontId="1" fillId="0" borderId="6" xfId="0" applyFont="1" applyFill="1" applyBorder="1" applyProtection="1">
      <protection locked="0"/>
    </xf>
    <xf numFmtId="172" fontId="1" fillId="0" borderId="0" xfId="2" quotePrefix="1" applyNumberFormat="1" applyFont="1" applyFill="1" applyBorder="1"/>
    <xf numFmtId="166" fontId="0" fillId="0" borderId="0" xfId="2" quotePrefix="1" applyNumberFormat="1" applyFont="1" applyFill="1" applyBorder="1"/>
    <xf numFmtId="0" fontId="38" fillId="0" borderId="0" xfId="0" applyFont="1"/>
    <xf numFmtId="0" fontId="7" fillId="0" borderId="0" xfId="0" applyFont="1" applyFill="1" applyBorder="1"/>
    <xf numFmtId="166" fontId="0" fillId="0" borderId="0" xfId="0" applyNumberFormat="1" applyBorder="1"/>
    <xf numFmtId="0" fontId="31" fillId="0" borderId="0" xfId="0" applyFont="1" applyBorder="1"/>
    <xf numFmtId="0" fontId="7" fillId="0" borderId="0" xfId="0" quotePrefix="1" applyFont="1" applyBorder="1"/>
    <xf numFmtId="0" fontId="1" fillId="0" borderId="12" xfId="0" applyFont="1" applyBorder="1" applyProtection="1">
      <protection locked="0"/>
    </xf>
    <xf numFmtId="9" fontId="4" fillId="0" borderId="0" xfId="0" applyNumberFormat="1" applyFont="1"/>
    <xf numFmtId="0" fontId="23" fillId="0" borderId="0" xfId="0" applyFont="1" applyAlignment="1"/>
    <xf numFmtId="174" fontId="0" fillId="0" borderId="0" xfId="2" applyNumberFormat="1" applyFont="1" applyFill="1" applyBorder="1" applyProtection="1">
      <protection locked="0"/>
    </xf>
    <xf numFmtId="0" fontId="3" fillId="0" borderId="0" xfId="0" applyFont="1" applyFill="1" applyBorder="1"/>
    <xf numFmtId="0" fontId="20" fillId="0" borderId="0" xfId="0" applyFont="1" applyFill="1" applyBorder="1"/>
    <xf numFmtId="166" fontId="40" fillId="0" borderId="0" xfId="2" applyNumberFormat="1" applyFont="1" applyBorder="1" applyAlignment="1">
      <alignment horizontal="left"/>
    </xf>
    <xf numFmtId="0" fontId="40" fillId="0" borderId="0" xfId="0" applyFont="1" applyBorder="1"/>
    <xf numFmtId="166" fontId="3" fillId="0" borderId="0" xfId="2" applyNumberFormat="1" applyFont="1" applyBorder="1"/>
    <xf numFmtId="166" fontId="5" fillId="0" borderId="0" xfId="2" applyNumberFormat="1" applyFont="1" applyBorder="1" applyAlignment="1">
      <alignment horizontal="left"/>
    </xf>
    <xf numFmtId="168" fontId="0" fillId="0" borderId="0" xfId="2" applyNumberFormat="1" applyFont="1" applyBorder="1"/>
    <xf numFmtId="0" fontId="20" fillId="0" borderId="0" xfId="0" applyFont="1" applyAlignment="1">
      <alignment horizontal="left"/>
    </xf>
    <xf numFmtId="0" fontId="23" fillId="0" borderId="0" xfId="0" applyFont="1" applyAlignment="1">
      <alignment horizontal="left"/>
    </xf>
    <xf numFmtId="0" fontId="32" fillId="0" borderId="0" xfId="0" applyFont="1"/>
    <xf numFmtId="0" fontId="42" fillId="0" borderId="0" xfId="0" applyFont="1" applyAlignment="1">
      <alignment horizontal="left"/>
    </xf>
    <xf numFmtId="0" fontId="20" fillId="0" borderId="0" xfId="0" applyFont="1" applyBorder="1"/>
    <xf numFmtId="0" fontId="20" fillId="0" borderId="3" xfId="0" applyFont="1" applyBorder="1"/>
    <xf numFmtId="0" fontId="20" fillId="0" borderId="8" xfId="0" applyFont="1" applyBorder="1"/>
    <xf numFmtId="0" fontId="20" fillId="0" borderId="15" xfId="0" applyFont="1" applyBorder="1"/>
    <xf numFmtId="0" fontId="20" fillId="0" borderId="7" xfId="0" applyFont="1" applyBorder="1"/>
    <xf numFmtId="0" fontId="20" fillId="0" borderId="13" xfId="0" applyFont="1" applyBorder="1"/>
    <xf numFmtId="0" fontId="43" fillId="0" borderId="0" xfId="1" applyFont="1" applyAlignment="1" applyProtection="1"/>
    <xf numFmtId="0" fontId="20" fillId="0" borderId="0" xfId="0" applyFont="1" applyBorder="1" applyAlignment="1">
      <alignment horizontal="right"/>
    </xf>
    <xf numFmtId="0" fontId="20" fillId="0" borderId="10" xfId="0" applyFont="1" applyBorder="1" applyAlignment="1">
      <alignment horizontal="right"/>
    </xf>
    <xf numFmtId="0" fontId="20" fillId="0" borderId="16" xfId="0" applyFont="1" applyBorder="1"/>
    <xf numFmtId="0" fontId="20" fillId="0" borderId="9" xfId="0" applyFont="1" applyBorder="1" applyAlignment="1">
      <alignment horizontal="right"/>
    </xf>
    <xf numFmtId="0" fontId="20" fillId="0" borderId="0" xfId="0" applyFont="1" applyFill="1" applyBorder="1" applyAlignment="1">
      <alignment horizontal="left"/>
    </xf>
    <xf numFmtId="0" fontId="20" fillId="6" borderId="20" xfId="0" applyFont="1" applyFill="1" applyBorder="1" applyAlignment="1">
      <alignment horizontal="left"/>
    </xf>
    <xf numFmtId="0" fontId="20" fillId="6" borderId="21" xfId="0" applyFont="1" applyFill="1" applyBorder="1" applyAlignment="1">
      <alignment horizontal="left"/>
    </xf>
    <xf numFmtId="0" fontId="20" fillId="0" borderId="0" xfId="0" applyFont="1" applyFill="1"/>
    <xf numFmtId="0" fontId="20" fillId="6" borderId="6" xfId="0" applyFont="1" applyFill="1" applyBorder="1"/>
    <xf numFmtId="0" fontId="20" fillId="6" borderId="13" xfId="0" applyFont="1" applyFill="1" applyBorder="1" applyAlignment="1">
      <alignment horizontal="left"/>
    </xf>
    <xf numFmtId="0" fontId="3" fillId="0" borderId="0" xfId="0" applyFont="1" applyFill="1" applyBorder="1" applyAlignment="1">
      <alignment horizontal="right"/>
    </xf>
    <xf numFmtId="0" fontId="1" fillId="0" borderId="0" xfId="0" applyFont="1" applyAlignment="1"/>
    <xf numFmtId="0" fontId="4" fillId="0" borderId="0" xfId="0" applyFont="1" applyAlignment="1"/>
    <xf numFmtId="0" fontId="19" fillId="0" borderId="0" xfId="0" applyFont="1" applyAlignment="1"/>
    <xf numFmtId="0" fontId="19" fillId="0" borderId="0" xfId="0" applyFont="1" applyBorder="1" applyAlignment="1"/>
    <xf numFmtId="0" fontId="44" fillId="0" borderId="0" xfId="0" applyFont="1" applyAlignment="1"/>
    <xf numFmtId="0" fontId="3" fillId="0" borderId="0" xfId="0" applyFont="1" applyFill="1" applyBorder="1" applyAlignment="1"/>
    <xf numFmtId="0" fontId="12" fillId="0" borderId="0" xfId="0" applyFont="1" applyAlignment="1"/>
    <xf numFmtId="166" fontId="3" fillId="0" borderId="0" xfId="2" applyNumberFormat="1" applyFont="1" applyFill="1" applyBorder="1" applyAlignment="1"/>
    <xf numFmtId="166" fontId="45" fillId="0" borderId="0" xfId="2" applyNumberFormat="1" applyFont="1" applyFill="1" applyBorder="1" applyAlignment="1"/>
    <xf numFmtId="166" fontId="4" fillId="0" borderId="0" xfId="2" applyNumberFormat="1" applyFont="1" applyFill="1" applyBorder="1" applyAlignment="1"/>
    <xf numFmtId="0" fontId="6" fillId="0" borderId="4" xfId="0" applyFont="1" applyFill="1" applyBorder="1"/>
    <xf numFmtId="0" fontId="4" fillId="0" borderId="12" xfId="0" applyFont="1" applyBorder="1" applyAlignment="1" applyProtection="1">
      <alignment horizontal="center"/>
      <protection locked="0"/>
    </xf>
    <xf numFmtId="9" fontId="15" fillId="0" borderId="6" xfId="3" applyFont="1" applyFill="1" applyBorder="1"/>
    <xf numFmtId="166" fontId="6" fillId="0" borderId="6" xfId="0" applyNumberFormat="1" applyFont="1" applyFill="1" applyBorder="1"/>
    <xf numFmtId="0" fontId="44" fillId="0" borderId="22" xfId="0" applyFont="1" applyBorder="1" applyAlignment="1"/>
    <xf numFmtId="0" fontId="3" fillId="0" borderId="22" xfId="0" applyFont="1" applyFill="1" applyBorder="1" applyAlignment="1"/>
    <xf numFmtId="0" fontId="41" fillId="0" borderId="0" xfId="0" applyFont="1" applyBorder="1"/>
    <xf numFmtId="0" fontId="30" fillId="0" borderId="0" xfId="0" applyFont="1" applyFill="1" applyBorder="1"/>
    <xf numFmtId="166" fontId="0" fillId="7" borderId="0" xfId="2" quotePrefix="1" applyNumberFormat="1" applyFont="1" applyFill="1" applyBorder="1"/>
    <xf numFmtId="0" fontId="1" fillId="0" borderId="0" xfId="0" applyFont="1" applyBorder="1" applyProtection="1">
      <protection locked="0"/>
    </xf>
    <xf numFmtId="14" fontId="4" fillId="0" borderId="0" xfId="0" applyNumberFormat="1" applyFont="1" applyFill="1" applyBorder="1" applyProtection="1">
      <protection locked="0"/>
    </xf>
    <xf numFmtId="179" fontId="4" fillId="4" borderId="6" xfId="2" applyNumberFormat="1" applyFont="1" applyFill="1" applyBorder="1" applyProtection="1">
      <protection locked="0"/>
    </xf>
    <xf numFmtId="178" fontId="0" fillId="4" borderId="6" xfId="2" applyNumberFormat="1" applyFont="1" applyFill="1" applyBorder="1"/>
    <xf numFmtId="179" fontId="6" fillId="4" borderId="6" xfId="2" applyNumberFormat="1" applyFont="1" applyFill="1" applyBorder="1" applyProtection="1">
      <protection locked="0"/>
    </xf>
    <xf numFmtId="179" fontId="6" fillId="4" borderId="6" xfId="0" applyNumberFormat="1" applyFont="1" applyFill="1" applyBorder="1" applyProtection="1">
      <protection locked="0"/>
    </xf>
    <xf numFmtId="179" fontId="6" fillId="4" borderId="21" xfId="0" applyNumberFormat="1" applyFont="1" applyFill="1" applyBorder="1" applyProtection="1">
      <protection locked="0"/>
    </xf>
    <xf numFmtId="9" fontId="6" fillId="4" borderId="21" xfId="3" applyNumberFormat="1" applyFont="1" applyFill="1" applyBorder="1" applyProtection="1">
      <protection locked="0"/>
    </xf>
    <xf numFmtId="179" fontId="7" fillId="0" borderId="6" xfId="0" applyNumberFormat="1" applyFont="1" applyFill="1" applyBorder="1"/>
    <xf numFmtId="179" fontId="7" fillId="0" borderId="6" xfId="2" quotePrefix="1" applyNumberFormat="1" applyFont="1" applyBorder="1"/>
    <xf numFmtId="179" fontId="7" fillId="0" borderId="6" xfId="2" applyNumberFormat="1" applyFont="1" applyFill="1" applyBorder="1"/>
    <xf numFmtId="179" fontId="9" fillId="0" borderId="6" xfId="2" applyNumberFormat="1" applyFont="1" applyBorder="1"/>
    <xf numFmtId="179" fontId="7" fillId="0" borderId="20" xfId="3" applyNumberFormat="1" applyFont="1" applyFill="1" applyBorder="1"/>
    <xf numFmtId="179" fontId="7" fillId="0" borderId="6" xfId="3" applyNumberFormat="1" applyFont="1" applyFill="1" applyBorder="1"/>
    <xf numFmtId="179" fontId="7" fillId="0" borderId="6" xfId="2" applyNumberFormat="1" applyFont="1" applyBorder="1"/>
    <xf numFmtId="179" fontId="7" fillId="0" borderId="21" xfId="0" applyNumberFormat="1" applyFont="1" applyBorder="1"/>
    <xf numFmtId="179" fontId="7" fillId="0" borderId="6" xfId="0" applyNumberFormat="1" applyFont="1" applyBorder="1"/>
    <xf numFmtId="179" fontId="7" fillId="0" borderId="23" xfId="0" applyNumberFormat="1" applyFont="1" applyBorder="1"/>
    <xf numFmtId="179" fontId="0" fillId="0" borderId="6" xfId="2" applyNumberFormat="1" applyFont="1" applyFill="1" applyBorder="1"/>
    <xf numFmtId="9" fontId="23" fillId="8" borderId="20" xfId="0" applyNumberFormat="1" applyFont="1" applyFill="1" applyBorder="1"/>
    <xf numFmtId="10" fontId="23" fillId="8" borderId="21" xfId="0" applyNumberFormat="1" applyFont="1" applyFill="1" applyBorder="1"/>
    <xf numFmtId="0" fontId="46" fillId="0" borderId="8" xfId="1" applyFont="1" applyBorder="1" applyAlignment="1" applyProtection="1"/>
    <xf numFmtId="0" fontId="47" fillId="0" borderId="0" xfId="0" applyFont="1"/>
    <xf numFmtId="14" fontId="0" fillId="0" borderId="0" xfId="0" quotePrefix="1" applyNumberFormat="1"/>
    <xf numFmtId="0" fontId="10" fillId="0" borderId="0" xfId="1" applyAlignment="1" applyProtection="1"/>
    <xf numFmtId="0" fontId="7" fillId="0" borderId="24" xfId="0" applyFont="1" applyBorder="1"/>
    <xf numFmtId="0" fontId="7" fillId="0" borderId="4" xfId="0" applyFont="1" applyBorder="1"/>
    <xf numFmtId="165" fontId="4" fillId="0" borderId="0" xfId="2" applyFont="1"/>
    <xf numFmtId="165" fontId="0" fillId="0" borderId="0" xfId="0" applyNumberFormat="1" applyBorder="1"/>
    <xf numFmtId="180" fontId="0" fillId="7" borderId="13" xfId="2" quotePrefix="1" applyNumberFormat="1" applyFont="1" applyFill="1" applyBorder="1"/>
    <xf numFmtId="180" fontId="0" fillId="7" borderId="18" xfId="2" quotePrefix="1" applyNumberFormat="1" applyFont="1" applyFill="1" applyBorder="1"/>
    <xf numFmtId="0" fontId="53" fillId="0" borderId="0" xfId="1" applyFont="1" applyAlignment="1" applyProtection="1"/>
    <xf numFmtId="0" fontId="38" fillId="0" borderId="0" xfId="0" applyFont="1" applyBorder="1"/>
    <xf numFmtId="0" fontId="6" fillId="4" borderId="6" xfId="0" applyFont="1" applyFill="1" applyBorder="1" applyProtection="1">
      <protection locked="0"/>
    </xf>
    <xf numFmtId="166" fontId="13" fillId="0" borderId="24" xfId="2" applyNumberFormat="1" applyFont="1" applyFill="1" applyBorder="1"/>
    <xf numFmtId="166" fontId="13" fillId="0" borderId="25" xfId="2" applyNumberFormat="1" applyFont="1" applyFill="1" applyBorder="1"/>
    <xf numFmtId="166" fontId="13" fillId="0" borderId="4" xfId="2" applyNumberFormat="1" applyFont="1" applyFill="1" applyBorder="1"/>
    <xf numFmtId="0" fontId="54" fillId="0" borderId="0" xfId="0" applyFont="1" applyFill="1" applyBorder="1"/>
    <xf numFmtId="0" fontId="0" fillId="0" borderId="4" xfId="0" applyBorder="1"/>
    <xf numFmtId="0" fontId="6" fillId="0" borderId="0" xfId="0" applyFont="1" applyFill="1" applyBorder="1" applyProtection="1">
      <protection locked="0"/>
    </xf>
    <xf numFmtId="0" fontId="7" fillId="0" borderId="26" xfId="0" applyFont="1" applyBorder="1"/>
    <xf numFmtId="0" fontId="0" fillId="0" borderId="24" xfId="0" applyBorder="1"/>
    <xf numFmtId="0" fontId="56" fillId="0" borderId="0" xfId="1" applyFont="1" applyAlignment="1" applyProtection="1"/>
    <xf numFmtId="0" fontId="57" fillId="0" borderId="0" xfId="0" applyFont="1" applyBorder="1"/>
    <xf numFmtId="0" fontId="58" fillId="0" borderId="0" xfId="0" applyFont="1" applyBorder="1"/>
    <xf numFmtId="166" fontId="58" fillId="0" borderId="0" xfId="2" applyNumberFormat="1" applyFont="1" applyBorder="1"/>
    <xf numFmtId="0" fontId="59" fillId="0" borderId="0" xfId="0" applyFont="1" applyBorder="1"/>
    <xf numFmtId="0" fontId="14" fillId="0" borderId="0" xfId="0" applyFont="1" applyBorder="1"/>
    <xf numFmtId="166" fontId="55" fillId="0" borderId="0" xfId="2" applyNumberFormat="1" applyFont="1" applyBorder="1" applyAlignment="1">
      <alignment horizontal="left"/>
    </xf>
    <xf numFmtId="168" fontId="58" fillId="0" borderId="0" xfId="2" applyNumberFormat="1" applyFont="1" applyBorder="1"/>
    <xf numFmtId="0" fontId="55" fillId="0" borderId="0" xfId="0" applyFont="1" applyBorder="1"/>
    <xf numFmtId="0" fontId="57" fillId="0" borderId="0" xfId="0" applyFont="1" applyFill="1" applyBorder="1"/>
    <xf numFmtId="0" fontId="60" fillId="0" borderId="8" xfId="1" applyFont="1" applyBorder="1" applyAlignment="1" applyProtection="1"/>
    <xf numFmtId="179" fontId="4" fillId="4" borderId="6" xfId="2" applyNumberFormat="1" applyFont="1" applyFill="1" applyBorder="1" applyProtection="1"/>
    <xf numFmtId="0" fontId="29" fillId="0" borderId="0" xfId="0" applyFont="1" applyFill="1" applyBorder="1"/>
    <xf numFmtId="178" fontId="0" fillId="0" borderId="6" xfId="2" quotePrefix="1" applyNumberFormat="1" applyFont="1" applyFill="1" applyBorder="1"/>
    <xf numFmtId="0" fontId="0" fillId="0" borderId="0" xfId="0" applyBorder="1" applyAlignment="1"/>
    <xf numFmtId="0" fontId="0" fillId="0" borderId="0" xfId="0" applyBorder="1" applyAlignment="1">
      <alignment horizontal="left"/>
    </xf>
    <xf numFmtId="0" fontId="0" fillId="0" borderId="0" xfId="0" applyBorder="1" applyAlignment="1">
      <alignment horizontal="center"/>
    </xf>
    <xf numFmtId="166" fontId="4" fillId="0" borderId="6" xfId="2" applyNumberFormat="1" applyFont="1" applyFill="1" applyBorder="1" applyProtection="1"/>
    <xf numFmtId="10" fontId="7" fillId="7" borderId="6" xfId="3" quotePrefix="1" applyNumberFormat="1" applyFont="1" applyFill="1" applyBorder="1"/>
    <xf numFmtId="10" fontId="6" fillId="4" borderId="6" xfId="3" quotePrefix="1" applyNumberFormat="1" applyFont="1" applyFill="1" applyBorder="1" applyProtection="1">
      <protection locked="0"/>
    </xf>
    <xf numFmtId="0" fontId="0" fillId="0" borderId="0" xfId="0" applyProtection="1">
      <protection locked="0"/>
    </xf>
    <xf numFmtId="0" fontId="11" fillId="0" borderId="0" xfId="0" applyFont="1" applyProtection="1">
      <protection locked="0"/>
    </xf>
    <xf numFmtId="0" fontId="52" fillId="0" borderId="0" xfId="1" applyFont="1" applyBorder="1" applyAlignment="1" applyProtection="1">
      <alignment horizontal="left"/>
      <protection locked="0"/>
    </xf>
    <xf numFmtId="0" fontId="48" fillId="0" borderId="0" xfId="1" applyFont="1" applyBorder="1" applyAlignment="1" applyProtection="1">
      <alignment horizontal="left"/>
      <protection locked="0"/>
    </xf>
    <xf numFmtId="165" fontId="49" fillId="0" borderId="0" xfId="2" applyFont="1" applyFill="1" applyBorder="1" applyProtection="1">
      <protection locked="0"/>
    </xf>
    <xf numFmtId="9" fontId="49" fillId="0" borderId="0" xfId="3" applyFont="1" applyFill="1" applyBorder="1" applyProtection="1">
      <protection locked="0"/>
    </xf>
    <xf numFmtId="0" fontId="9" fillId="0" borderId="0" xfId="0" applyFont="1" applyBorder="1" applyAlignment="1" applyProtection="1">
      <alignment horizontal="right"/>
      <protection locked="0"/>
    </xf>
    <xf numFmtId="0" fontId="9" fillId="0" borderId="0" xfId="0" applyFont="1" applyProtection="1">
      <protection locked="0"/>
    </xf>
    <xf numFmtId="0" fontId="9" fillId="0" borderId="0" xfId="0" applyFont="1" applyBorder="1" applyProtection="1">
      <protection locked="0"/>
    </xf>
    <xf numFmtId="165" fontId="9" fillId="0" borderId="0" xfId="2" quotePrefix="1" applyFont="1" applyBorder="1" applyProtection="1">
      <protection locked="0"/>
    </xf>
    <xf numFmtId="0" fontId="50" fillId="0" borderId="0" xfId="0" applyFont="1" applyProtection="1">
      <protection locked="0"/>
    </xf>
    <xf numFmtId="9" fontId="51" fillId="0" borderId="0" xfId="3" applyFont="1" applyFill="1" applyBorder="1" applyProtection="1">
      <protection locked="0"/>
    </xf>
    <xf numFmtId="166" fontId="49" fillId="0" borderId="0" xfId="2" applyNumberFormat="1" applyFont="1" applyFill="1" applyBorder="1" applyProtection="1">
      <protection locked="0"/>
    </xf>
    <xf numFmtId="0" fontId="48" fillId="0" borderId="0" xfId="1" applyFont="1" applyAlignment="1" applyProtection="1"/>
    <xf numFmtId="178" fontId="0" fillId="4" borderId="6" xfId="2" applyNumberFormat="1" applyFont="1" applyFill="1" applyBorder="1" applyProtection="1"/>
    <xf numFmtId="166" fontId="7" fillId="0" borderId="6" xfId="2" applyNumberFormat="1" applyFont="1" applyFill="1" applyBorder="1"/>
    <xf numFmtId="0" fontId="41" fillId="0" borderId="0" xfId="0" applyFont="1" applyFill="1" applyBorder="1"/>
    <xf numFmtId="0" fontId="7" fillId="0" borderId="4" xfId="0" applyFont="1" applyFill="1" applyBorder="1"/>
    <xf numFmtId="0" fontId="6" fillId="0" borderId="27" xfId="0" applyFont="1" applyFill="1" applyBorder="1" applyAlignment="1">
      <alignment horizontal="right"/>
    </xf>
    <xf numFmtId="178" fontId="0" fillId="0" borderId="0" xfId="2" applyNumberFormat="1" applyFont="1" applyFill="1" applyBorder="1"/>
    <xf numFmtId="178" fontId="0" fillId="0" borderId="0" xfId="2" applyNumberFormat="1" applyFont="1" applyFill="1" applyBorder="1" applyProtection="1"/>
    <xf numFmtId="10" fontId="6" fillId="4" borderId="6" xfId="3" applyNumberFormat="1" applyFont="1" applyFill="1" applyBorder="1" applyProtection="1">
      <protection locked="0"/>
    </xf>
    <xf numFmtId="0" fontId="5" fillId="0" borderId="13" xfId="0" applyFont="1" applyBorder="1"/>
    <xf numFmtId="166" fontId="55" fillId="7" borderId="9" xfId="0" quotePrefix="1" applyNumberFormat="1" applyFont="1" applyFill="1" applyBorder="1"/>
    <xf numFmtId="166" fontId="11" fillId="0" borderId="0" xfId="0" applyNumberFormat="1" applyFont="1" applyFill="1" applyBorder="1"/>
    <xf numFmtId="0" fontId="48" fillId="0" borderId="0" xfId="1" applyFont="1" applyFill="1" applyBorder="1" applyAlignment="1" applyProtection="1">
      <alignment horizontal="left"/>
      <protection locked="0"/>
    </xf>
    <xf numFmtId="0" fontId="9" fillId="0" borderId="0" xfId="0" applyFont="1" applyFill="1" applyBorder="1" applyProtection="1">
      <protection locked="0"/>
    </xf>
    <xf numFmtId="0" fontId="7" fillId="0" borderId="0" xfId="0" applyFont="1" applyFill="1" applyBorder="1" applyAlignment="1">
      <alignment horizontal="right"/>
    </xf>
    <xf numFmtId="0" fontId="19" fillId="0" borderId="0" xfId="0" applyFont="1" applyAlignment="1">
      <alignment horizontal="right"/>
    </xf>
    <xf numFmtId="0" fontId="0" fillId="8" borderId="0" xfId="0" applyFill="1"/>
    <xf numFmtId="0" fontId="0" fillId="0" borderId="28" xfId="0" applyBorder="1"/>
    <xf numFmtId="0" fontId="0" fillId="0" borderId="29" xfId="0" applyBorder="1"/>
    <xf numFmtId="0" fontId="0" fillId="0" borderId="22" xfId="0" applyBorder="1"/>
    <xf numFmtId="0" fontId="0" fillId="0" borderId="27" xfId="0" applyBorder="1"/>
    <xf numFmtId="0" fontId="0" fillId="0" borderId="30" xfId="0" applyBorder="1"/>
    <xf numFmtId="0" fontId="0" fillId="0" borderId="19" xfId="0" applyBorder="1"/>
    <xf numFmtId="0" fontId="6" fillId="7" borderId="6" xfId="0" applyFont="1" applyFill="1" applyBorder="1" applyProtection="1">
      <protection locked="0"/>
    </xf>
    <xf numFmtId="180" fontId="3" fillId="7" borderId="13" xfId="2" quotePrefix="1" applyNumberFormat="1" applyFont="1" applyFill="1" applyBorder="1"/>
    <xf numFmtId="175" fontId="7" fillId="0" borderId="0" xfId="2" applyNumberFormat="1" applyFont="1" applyFill="1" applyBorder="1"/>
    <xf numFmtId="169" fontId="0" fillId="0" borderId="0" xfId="2" applyNumberFormat="1" applyFont="1"/>
    <xf numFmtId="169" fontId="0" fillId="0" borderId="0" xfId="0" applyNumberFormat="1"/>
    <xf numFmtId="171" fontId="0" fillId="0" borderId="0" xfId="0" applyNumberFormat="1"/>
    <xf numFmtId="169" fontId="7" fillId="0" borderId="21" xfId="2" applyNumberFormat="1" applyFont="1" applyFill="1" applyBorder="1"/>
    <xf numFmtId="165" fontId="0" fillId="0" borderId="6" xfId="2" applyFont="1" applyFill="1" applyBorder="1" applyProtection="1"/>
    <xf numFmtId="178" fontId="0" fillId="0" borderId="0" xfId="0" applyNumberFormat="1"/>
    <xf numFmtId="167" fontId="7" fillId="0" borderId="0" xfId="3" applyNumberFormat="1" applyFont="1" applyFill="1" applyBorder="1" applyAlignment="1">
      <alignment horizontal="left"/>
    </xf>
    <xf numFmtId="0" fontId="6" fillId="0" borderId="0" xfId="0" applyFont="1" applyFill="1" applyBorder="1" applyAlignment="1">
      <alignment horizontal="right"/>
    </xf>
    <xf numFmtId="165" fontId="1" fillId="0" borderId="0" xfId="2" quotePrefix="1" applyFont="1" applyFill="1" applyBorder="1"/>
    <xf numFmtId="165" fontId="7" fillId="0" borderId="0" xfId="2" applyNumberFormat="1" applyFont="1" applyFill="1" applyBorder="1"/>
    <xf numFmtId="167" fontId="7" fillId="0" borderId="0" xfId="3" applyNumberFormat="1" applyFont="1" applyFill="1" applyBorder="1"/>
    <xf numFmtId="187" fontId="0" fillId="0" borderId="0" xfId="0" applyNumberFormat="1"/>
    <xf numFmtId="169" fontId="0" fillId="5" borderId="6" xfId="2" quotePrefix="1" applyNumberFormat="1" applyFont="1" applyFill="1" applyBorder="1"/>
    <xf numFmtId="188" fontId="0" fillId="5" borderId="6" xfId="2" quotePrefix="1" applyNumberFormat="1" applyFont="1" applyFill="1" applyBorder="1"/>
    <xf numFmtId="181" fontId="0" fillId="5" borderId="6" xfId="2" quotePrefix="1" applyNumberFormat="1" applyFont="1" applyFill="1" applyBorder="1"/>
    <xf numFmtId="172" fontId="1" fillId="0" borderId="21" xfId="2" quotePrefix="1" applyNumberFormat="1" applyFont="1" applyFill="1" applyBorder="1"/>
    <xf numFmtId="14" fontId="7" fillId="0" borderId="0" xfId="2" applyNumberFormat="1" applyFont="1" applyFill="1" applyBorder="1"/>
    <xf numFmtId="188" fontId="0" fillId="0" borderId="6" xfId="2" quotePrefix="1" applyNumberFormat="1" applyFont="1" applyFill="1" applyBorder="1"/>
    <xf numFmtId="171" fontId="0" fillId="8" borderId="0" xfId="0" applyNumberFormat="1" applyFill="1"/>
    <xf numFmtId="165" fontId="7" fillId="0" borderId="0" xfId="2" applyFont="1" applyFill="1" applyBorder="1"/>
    <xf numFmtId="190" fontId="0" fillId="0" borderId="0" xfId="3" applyNumberFormat="1" applyFont="1"/>
    <xf numFmtId="169" fontId="7" fillId="0" borderId="0" xfId="2" applyNumberFormat="1" applyFont="1" applyFill="1" applyBorder="1"/>
    <xf numFmtId="169" fontId="0" fillId="0" borderId="0" xfId="0" applyNumberFormat="1" applyFill="1"/>
    <xf numFmtId="186" fontId="0" fillId="0" borderId="0" xfId="0" applyNumberFormat="1" applyFill="1"/>
    <xf numFmtId="171" fontId="0" fillId="0" borderId="0" xfId="0" applyNumberFormat="1" applyFill="1"/>
    <xf numFmtId="192" fontId="0" fillId="0" borderId="0" xfId="0" applyNumberFormat="1" applyFill="1"/>
    <xf numFmtId="0" fontId="0" fillId="9" borderId="2" xfId="0" applyFill="1" applyBorder="1"/>
    <xf numFmtId="0" fontId="0" fillId="9" borderId="5" xfId="0" applyFill="1" applyBorder="1"/>
    <xf numFmtId="0" fontId="0" fillId="9" borderId="1" xfId="0" applyFill="1" applyBorder="1"/>
    <xf numFmtId="181" fontId="0" fillId="0" borderId="0" xfId="0" applyNumberFormat="1" applyBorder="1"/>
    <xf numFmtId="176" fontId="0" fillId="0" borderId="0" xfId="0" applyNumberFormat="1" applyBorder="1"/>
    <xf numFmtId="172" fontId="0" fillId="0" borderId="0" xfId="2" applyNumberFormat="1" applyFont="1" applyBorder="1"/>
    <xf numFmtId="188" fontId="0" fillId="0" borderId="0" xfId="0" applyNumberFormat="1" applyBorder="1"/>
    <xf numFmtId="189" fontId="0" fillId="0" borderId="0" xfId="0" applyNumberFormat="1" applyBorder="1"/>
    <xf numFmtId="185" fontId="0" fillId="0" borderId="0" xfId="0" applyNumberFormat="1" applyBorder="1"/>
    <xf numFmtId="169" fontId="0" fillId="0" borderId="0" xfId="2" applyNumberFormat="1" applyFont="1" applyBorder="1"/>
    <xf numFmtId="191" fontId="0" fillId="0" borderId="22" xfId="3" applyNumberFormat="1" applyFont="1" applyBorder="1"/>
    <xf numFmtId="172" fontId="0" fillId="0" borderId="22" xfId="2" applyNumberFormat="1" applyFont="1" applyBorder="1"/>
    <xf numFmtId="183" fontId="0" fillId="0" borderId="0" xfId="0" applyNumberFormat="1" applyBorder="1"/>
    <xf numFmtId="187" fontId="0" fillId="0" borderId="22" xfId="0" applyNumberFormat="1" applyBorder="1"/>
    <xf numFmtId="184" fontId="0" fillId="0" borderId="0" xfId="0" applyNumberFormat="1" applyBorder="1"/>
    <xf numFmtId="0" fontId="0" fillId="0" borderId="29" xfId="0" applyFill="1" applyBorder="1"/>
    <xf numFmtId="0" fontId="0" fillId="0" borderId="26" xfId="0" applyFill="1" applyBorder="1"/>
    <xf numFmtId="0" fontId="0" fillId="0" borderId="19" xfId="0" applyFill="1" applyBorder="1"/>
    <xf numFmtId="0" fontId="4" fillId="0" borderId="31" xfId="0" applyFont="1" applyBorder="1"/>
    <xf numFmtId="169" fontId="0" fillId="0" borderId="7" xfId="2" applyNumberFormat="1" applyFont="1" applyBorder="1"/>
    <xf numFmtId="169" fontId="0" fillId="0" borderId="15" xfId="2" applyNumberFormat="1" applyFont="1" applyBorder="1"/>
    <xf numFmtId="165" fontId="7" fillId="0" borderId="9" xfId="2" applyFont="1" applyFill="1" applyBorder="1"/>
    <xf numFmtId="14" fontId="7" fillId="0" borderId="3" xfId="2" applyNumberFormat="1" applyFont="1" applyFill="1" applyBorder="1"/>
    <xf numFmtId="14" fontId="0" fillId="0" borderId="3" xfId="0" applyNumberFormat="1" applyBorder="1"/>
    <xf numFmtId="165" fontId="0" fillId="0" borderId="3" xfId="2" applyFont="1" applyBorder="1"/>
    <xf numFmtId="172" fontId="7" fillId="8" borderId="20" xfId="2" applyNumberFormat="1" applyFont="1" applyFill="1" applyBorder="1"/>
    <xf numFmtId="190" fontId="0" fillId="8" borderId="0" xfId="3" applyNumberFormat="1" applyFont="1" applyFill="1"/>
    <xf numFmtId="185" fontId="0" fillId="0" borderId="13" xfId="2" applyNumberFormat="1" applyFont="1" applyBorder="1"/>
    <xf numFmtId="185" fontId="0" fillId="0" borderId="8" xfId="2" applyNumberFormat="1" applyFont="1" applyBorder="1"/>
    <xf numFmtId="0" fontId="4" fillId="0" borderId="0" xfId="0" applyFont="1" applyFill="1"/>
    <xf numFmtId="172" fontId="1" fillId="8" borderId="20" xfId="2" quotePrefix="1" applyNumberFormat="1" applyFont="1" applyFill="1" applyBorder="1"/>
    <xf numFmtId="165" fontId="7" fillId="8" borderId="20" xfId="2" applyFont="1" applyFill="1" applyBorder="1"/>
    <xf numFmtId="169" fontId="0" fillId="0" borderId="0" xfId="2" quotePrefix="1" applyNumberFormat="1" applyFont="1" applyFill="1" applyBorder="1"/>
    <xf numFmtId="14" fontId="0" fillId="0" borderId="0" xfId="0" applyNumberFormat="1" applyFill="1"/>
    <xf numFmtId="172" fontId="0" fillId="10" borderId="16" xfId="2" applyNumberFormat="1" applyFont="1" applyFill="1" applyBorder="1"/>
    <xf numFmtId="166" fontId="0" fillId="0" borderId="21" xfId="2" applyNumberFormat="1" applyFont="1" applyFill="1" applyBorder="1"/>
    <xf numFmtId="166" fontId="0" fillId="0" borderId="6" xfId="2" applyNumberFormat="1" applyFont="1" applyFill="1" applyBorder="1"/>
    <xf numFmtId="166" fontId="0" fillId="0" borderId="6" xfId="2" applyNumberFormat="1" applyFont="1" applyFill="1" applyBorder="1" applyProtection="1">
      <protection locked="0"/>
    </xf>
    <xf numFmtId="0" fontId="23" fillId="0" borderId="0" xfId="0" applyFont="1" applyFill="1"/>
    <xf numFmtId="0" fontId="29" fillId="0" borderId="0" xfId="0" applyFont="1" applyFill="1"/>
    <xf numFmtId="180" fontId="0" fillId="4" borderId="13" xfId="2" quotePrefix="1" applyNumberFormat="1" applyFont="1" applyFill="1" applyBorder="1"/>
    <xf numFmtId="0" fontId="1" fillId="0" borderId="0" xfId="0" applyFont="1" applyFill="1" applyAlignment="1"/>
    <xf numFmtId="0" fontId="1" fillId="0" borderId="0" xfId="0" applyFont="1" applyBorder="1" applyAlignment="1"/>
    <xf numFmtId="179" fontId="0" fillId="4" borderId="6" xfId="2" applyNumberFormat="1" applyFont="1" applyFill="1" applyBorder="1" applyProtection="1"/>
    <xf numFmtId="179" fontId="0" fillId="4" borderId="6" xfId="2" applyNumberFormat="1" applyFont="1" applyFill="1" applyBorder="1"/>
    <xf numFmtId="178" fontId="3" fillId="4" borderId="6" xfId="2" applyNumberFormat="1" applyFont="1" applyFill="1" applyBorder="1" applyProtection="1"/>
    <xf numFmtId="0" fontId="1" fillId="0" borderId="8" xfId="0" applyFont="1" applyBorder="1"/>
    <xf numFmtId="0" fontId="1" fillId="0" borderId="0" xfId="0" applyFont="1" applyBorder="1" applyAlignment="1">
      <alignment horizontal="right"/>
    </xf>
    <xf numFmtId="0" fontId="1" fillId="0" borderId="0" xfId="0" applyFont="1" applyFill="1" applyBorder="1"/>
    <xf numFmtId="9" fontId="1" fillId="0" borderId="0" xfId="0" applyNumberFormat="1" applyFont="1"/>
    <xf numFmtId="166" fontId="4" fillId="0" borderId="22" xfId="2" applyNumberFormat="1" applyFont="1" applyBorder="1"/>
    <xf numFmtId="0" fontId="23" fillId="0" borderId="0" xfId="0" applyFont="1" applyBorder="1" applyAlignment="1">
      <alignment horizontal="right"/>
    </xf>
    <xf numFmtId="14" fontId="0" fillId="0" borderId="0" xfId="0" applyNumberFormat="1" applyBorder="1" applyAlignment="1">
      <alignment horizontal="left"/>
    </xf>
    <xf numFmtId="1" fontId="55" fillId="7" borderId="9" xfId="0" quotePrefix="1" applyNumberFormat="1" applyFont="1" applyFill="1" applyBorder="1"/>
    <xf numFmtId="9" fontId="8" fillId="0" borderId="6" xfId="3" applyFont="1" applyFill="1" applyBorder="1"/>
    <xf numFmtId="0" fontId="6" fillId="0" borderId="6" xfId="0" applyFont="1" applyFill="1" applyBorder="1" applyProtection="1">
      <protection locked="0" hidden="1"/>
    </xf>
    <xf numFmtId="0" fontId="28" fillId="0" borderId="0" xfId="0" applyFont="1" applyFill="1" applyBorder="1"/>
    <xf numFmtId="14" fontId="6" fillId="4" borderId="6" xfId="0" quotePrefix="1" applyNumberFormat="1" applyFont="1" applyFill="1" applyBorder="1"/>
    <xf numFmtId="0" fontId="23"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10" fontId="23" fillId="0" borderId="0" xfId="0" applyNumberFormat="1" applyFont="1" applyFill="1" applyBorder="1"/>
    <xf numFmtId="9" fontId="23" fillId="0" borderId="0" xfId="0" applyNumberFormat="1" applyFont="1" applyFill="1" applyBorder="1"/>
    <xf numFmtId="0" fontId="20" fillId="0" borderId="0" xfId="0" applyNumberFormat="1" applyFont="1" applyAlignment="1">
      <alignment vertical="top" wrapText="1"/>
    </xf>
    <xf numFmtId="0" fontId="20" fillId="0" borderId="0" xfId="0" applyFont="1" applyFill="1" applyBorder="1" applyAlignment="1">
      <alignment vertical="top" wrapText="1"/>
    </xf>
    <xf numFmtId="0" fontId="20" fillId="0" borderId="0" xfId="0" quotePrefix="1" applyFont="1" applyAlignment="1">
      <alignment horizontal="left" vertical="top" wrapText="1"/>
    </xf>
    <xf numFmtId="0" fontId="23" fillId="0" borderId="0" xfId="0" applyFont="1" applyAlignment="1">
      <alignment horizontal="left" vertical="top" wrapText="1"/>
    </xf>
    <xf numFmtId="165" fontId="0" fillId="4" borderId="6" xfId="2" applyFont="1" applyFill="1" applyBorder="1" applyProtection="1"/>
    <xf numFmtId="182" fontId="0" fillId="4" borderId="6" xfId="2" applyNumberFormat="1" applyFont="1" applyFill="1" applyBorder="1" applyProtection="1"/>
    <xf numFmtId="179" fontId="7" fillId="0" borderId="6" xfId="2" quotePrefix="1" applyNumberFormat="1" applyFont="1" applyFill="1" applyBorder="1"/>
    <xf numFmtId="178" fontId="3" fillId="0" borderId="6" xfId="2" applyNumberFormat="1" applyFont="1" applyFill="1" applyBorder="1" applyProtection="1"/>
    <xf numFmtId="0" fontId="63" fillId="0" borderId="0" xfId="1" applyFont="1" applyAlignment="1" applyProtection="1"/>
    <xf numFmtId="0" fontId="63" fillId="0" borderId="0" xfId="1" applyFont="1" applyAlignment="1" applyProtection="1">
      <alignment vertical="top" wrapText="1"/>
    </xf>
    <xf numFmtId="0" fontId="13" fillId="0" borderId="0" xfId="0" applyFont="1" applyFill="1" applyBorder="1" applyAlignment="1">
      <alignment vertical="top" wrapText="1"/>
    </xf>
    <xf numFmtId="0" fontId="20" fillId="0" borderId="0" xfId="0" applyFont="1" applyAlignment="1">
      <alignment wrapText="1"/>
    </xf>
    <xf numFmtId="0" fontId="1" fillId="0" borderId="0" xfId="0" applyFont="1" applyAlignment="1">
      <alignment horizontal="right"/>
    </xf>
    <xf numFmtId="2" fontId="7" fillId="0" borderId="0" xfId="2" applyNumberFormat="1" applyFont="1" applyFill="1" applyBorder="1"/>
    <xf numFmtId="193" fontId="0" fillId="0" borderId="0" xfId="0" applyNumberFormat="1"/>
    <xf numFmtId="0" fontId="6" fillId="0" borderId="0" xfId="0" applyFont="1" applyBorder="1" applyProtection="1">
      <protection locked="0"/>
    </xf>
    <xf numFmtId="0" fontId="4" fillId="0" borderId="0" xfId="0" applyFont="1" applyAlignment="1" applyProtection="1">
      <alignment vertical="top" wrapText="1" readingOrder="1"/>
      <protection locked="0"/>
    </xf>
    <xf numFmtId="166" fontId="4" fillId="0" borderId="0" xfId="0" applyNumberFormat="1" applyFont="1"/>
    <xf numFmtId="0" fontId="4" fillId="0" borderId="1" xfId="0" applyFont="1" applyBorder="1"/>
    <xf numFmtId="3" fontId="4" fillId="0" borderId="0" xfId="0" applyNumberFormat="1" applyFont="1" applyBorder="1"/>
    <xf numFmtId="2" fontId="0" fillId="0" borderId="0" xfId="0" applyNumberFormat="1"/>
    <xf numFmtId="2" fontId="4" fillId="0" borderId="1" xfId="0" applyNumberFormat="1" applyFont="1" applyBorder="1"/>
    <xf numFmtId="0" fontId="64" fillId="0" borderId="32" xfId="0" applyFont="1" applyBorder="1" applyAlignment="1">
      <alignment vertical="top" readingOrder="1"/>
    </xf>
    <xf numFmtId="0" fontId="65" fillId="0" borderId="32" xfId="0" applyFont="1" applyBorder="1"/>
    <xf numFmtId="0" fontId="64" fillId="0" borderId="32" xfId="0" applyFont="1" applyBorder="1"/>
    <xf numFmtId="0" fontId="0" fillId="0" borderId="32" xfId="0" applyBorder="1" applyAlignment="1">
      <alignment vertical="top" readingOrder="1"/>
    </xf>
    <xf numFmtId="0" fontId="64" fillId="0" borderId="33" xfId="0" applyFont="1" applyBorder="1"/>
    <xf numFmtId="0" fontId="64" fillId="0" borderId="34" xfId="0" applyFont="1" applyBorder="1" applyAlignment="1">
      <alignment vertical="top" readingOrder="1"/>
    </xf>
    <xf numFmtId="0" fontId="66" fillId="0" borderId="35" xfId="0" applyFont="1" applyBorder="1"/>
    <xf numFmtId="0" fontId="64" fillId="0" borderId="36" xfId="0" applyFont="1" applyBorder="1"/>
    <xf numFmtId="166" fontId="64" fillId="0" borderId="37" xfId="2" applyNumberFormat="1" applyFont="1" applyBorder="1"/>
    <xf numFmtId="0" fontId="0" fillId="0" borderId="38" xfId="0" applyBorder="1" applyAlignment="1">
      <alignment vertical="top" readingOrder="1"/>
    </xf>
    <xf numFmtId="0" fontId="64" fillId="0" borderId="39" xfId="0" applyFont="1" applyBorder="1"/>
    <xf numFmtId="166" fontId="64" fillId="0" borderId="32" xfId="2" applyNumberFormat="1" applyFont="1" applyBorder="1"/>
    <xf numFmtId="166" fontId="64" fillId="0" borderId="40" xfId="2" applyNumberFormat="1" applyFont="1" applyBorder="1"/>
    <xf numFmtId="0" fontId="64" fillId="0" borderId="32" xfId="0" applyFont="1" applyBorder="1" applyAlignment="1">
      <alignment horizontal="right"/>
    </xf>
    <xf numFmtId="166" fontId="66" fillId="0" borderId="32" xfId="2" applyNumberFormat="1" applyFont="1" applyBorder="1"/>
    <xf numFmtId="0" fontId="64" fillId="0" borderId="32" xfId="0" applyFont="1" applyFill="1" applyBorder="1"/>
    <xf numFmtId="166" fontId="64" fillId="0" borderId="32" xfId="2" quotePrefix="1" applyNumberFormat="1" applyFont="1" applyBorder="1"/>
    <xf numFmtId="0" fontId="66" fillId="0" borderId="32" xfId="0" applyFont="1" applyBorder="1"/>
    <xf numFmtId="166" fontId="66" fillId="0" borderId="40" xfId="2" applyNumberFormat="1" applyFont="1" applyBorder="1"/>
    <xf numFmtId="0" fontId="64" fillId="0" borderId="41" xfId="0" applyFont="1" applyBorder="1"/>
    <xf numFmtId="0" fontId="66" fillId="0" borderId="42" xfId="0" applyFont="1" applyBorder="1"/>
    <xf numFmtId="0" fontId="64" fillId="0" borderId="42" xfId="0" applyFont="1" applyBorder="1"/>
    <xf numFmtId="166" fontId="64" fillId="0" borderId="42" xfId="2" applyNumberFormat="1" applyFont="1" applyBorder="1"/>
    <xf numFmtId="166" fontId="66" fillId="0" borderId="43" xfId="2" applyNumberFormat="1" applyFont="1" applyBorder="1"/>
    <xf numFmtId="0" fontId="64" fillId="0" borderId="44" xfId="0" applyFont="1" applyBorder="1"/>
    <xf numFmtId="166" fontId="64" fillId="0" borderId="44" xfId="2" applyNumberFormat="1" applyFont="1" applyBorder="1"/>
    <xf numFmtId="166" fontId="64" fillId="0" borderId="36" xfId="2" applyNumberFormat="1" applyFont="1" applyBorder="1"/>
    <xf numFmtId="0" fontId="66" fillId="0" borderId="39" xfId="0" applyFont="1" applyBorder="1"/>
    <xf numFmtId="166" fontId="67" fillId="7" borderId="40" xfId="0" quotePrefix="1" applyNumberFormat="1" applyFont="1" applyFill="1" applyBorder="1"/>
    <xf numFmtId="0" fontId="68" fillId="0" borderId="39" xfId="0" applyFont="1" applyBorder="1"/>
    <xf numFmtId="0" fontId="68" fillId="0" borderId="32" xfId="0" applyFont="1" applyBorder="1"/>
    <xf numFmtId="166" fontId="68" fillId="0" borderId="32" xfId="2" applyNumberFormat="1" applyFont="1" applyBorder="1"/>
    <xf numFmtId="166" fontId="68" fillId="0" borderId="40" xfId="2" applyNumberFormat="1" applyFont="1" applyBorder="1" applyAlignment="1">
      <alignment horizontal="center"/>
    </xf>
    <xf numFmtId="0" fontId="64" fillId="0" borderId="39" xfId="0" applyFont="1" applyBorder="1" applyAlignment="1">
      <alignment horizontal="left"/>
    </xf>
    <xf numFmtId="2" fontId="64" fillId="0" borderId="32" xfId="0" applyNumberFormat="1" applyFont="1" applyBorder="1" applyAlignment="1">
      <alignment horizontal="center"/>
    </xf>
    <xf numFmtId="0" fontId="64" fillId="0" borderId="32" xfId="0" applyFont="1" applyBorder="1" applyAlignment="1">
      <alignment horizontal="center"/>
    </xf>
    <xf numFmtId="165" fontId="64" fillId="0" borderId="40" xfId="2" applyNumberFormat="1" applyFont="1" applyBorder="1"/>
    <xf numFmtId="0" fontId="68" fillId="0" borderId="32" xfId="0" applyFont="1" applyBorder="1" applyAlignment="1">
      <alignment horizontal="right"/>
    </xf>
    <xf numFmtId="0" fontId="68" fillId="0" borderId="42" xfId="0" applyFont="1" applyBorder="1" applyAlignment="1">
      <alignment horizontal="right"/>
    </xf>
    <xf numFmtId="165" fontId="66" fillId="0" borderId="43" xfId="2" applyNumberFormat="1" applyFont="1" applyBorder="1"/>
    <xf numFmtId="0" fontId="68" fillId="0" borderId="46" xfId="0" applyFont="1" applyBorder="1" applyAlignment="1">
      <alignment horizontal="right" vertical="top" readingOrder="1"/>
    </xf>
    <xf numFmtId="0" fontId="68" fillId="0" borderId="47" xfId="0" applyFont="1" applyBorder="1" applyAlignment="1">
      <alignment horizontal="right" vertical="top" readingOrder="1"/>
    </xf>
    <xf numFmtId="2" fontId="64" fillId="0" borderId="49" xfId="0" applyNumberFormat="1" applyFont="1" applyBorder="1" applyAlignment="1">
      <alignment horizontal="right" vertical="top" readingOrder="1"/>
    </xf>
    <xf numFmtId="2" fontId="64" fillId="0" borderId="51" xfId="0" applyNumberFormat="1" applyFont="1" applyBorder="1" applyAlignment="1">
      <alignment horizontal="right" vertical="top" readingOrder="1"/>
    </xf>
    <xf numFmtId="166" fontId="64" fillId="0" borderId="51" xfId="0" applyNumberFormat="1" applyFont="1" applyBorder="1" applyAlignment="1">
      <alignment horizontal="right" vertical="top" readingOrder="1"/>
    </xf>
    <xf numFmtId="14" fontId="64" fillId="0" borderId="51" xfId="0" applyNumberFormat="1" applyFont="1" applyBorder="1" applyAlignment="1">
      <alignment horizontal="right" vertical="top" readingOrder="1"/>
    </xf>
    <xf numFmtId="10" fontId="64" fillId="0" borderId="51" xfId="0" applyNumberFormat="1" applyFont="1" applyBorder="1" applyAlignment="1">
      <alignment horizontal="right" vertical="top" readingOrder="1"/>
    </xf>
    <xf numFmtId="178" fontId="64" fillId="0" borderId="51" xfId="0" applyNumberFormat="1" applyFont="1" applyBorder="1" applyAlignment="1">
      <alignment horizontal="right" vertical="top" readingOrder="1"/>
    </xf>
    <xf numFmtId="178" fontId="64" fillId="0" borderId="54" xfId="0" applyNumberFormat="1" applyFont="1" applyBorder="1" applyAlignment="1">
      <alignment horizontal="right" vertical="top" readingOrder="1"/>
    </xf>
    <xf numFmtId="0" fontId="0" fillId="0" borderId="55" xfId="0" applyBorder="1" applyAlignment="1">
      <alignment horizontal="left" vertical="top" readingOrder="1"/>
    </xf>
    <xf numFmtId="0" fontId="0" fillId="0" borderId="55" xfId="0" applyBorder="1" applyAlignment="1">
      <alignment vertical="top" readingOrder="1"/>
    </xf>
    <xf numFmtId="0" fontId="0" fillId="0" borderId="55" xfId="0" applyBorder="1" applyAlignment="1" applyProtection="1">
      <alignment vertical="top" wrapText="1" readingOrder="1"/>
      <protection locked="0"/>
    </xf>
    <xf numFmtId="0" fontId="0" fillId="0" borderId="32" xfId="0" applyBorder="1" applyAlignment="1">
      <alignment horizontal="left" vertical="top" readingOrder="1"/>
    </xf>
    <xf numFmtId="0" fontId="0" fillId="0" borderId="32" xfId="0" applyBorder="1" applyAlignment="1" applyProtection="1">
      <alignment vertical="top" wrapText="1" readingOrder="1"/>
      <protection locked="0"/>
    </xf>
    <xf numFmtId="3" fontId="0" fillId="0" borderId="0" xfId="0" applyNumberFormat="1"/>
    <xf numFmtId="169" fontId="66" fillId="0" borderId="40" xfId="2" applyNumberFormat="1" applyFont="1" applyBorder="1"/>
    <xf numFmtId="4" fontId="64" fillId="0" borderId="1" xfId="0" applyNumberFormat="1" applyFont="1" applyFill="1" applyBorder="1" applyAlignment="1">
      <alignment vertical="top" readingOrder="1"/>
    </xf>
    <xf numFmtId="188" fontId="64" fillId="0" borderId="5" xfId="0" applyNumberFormat="1" applyFont="1" applyFill="1" applyBorder="1" applyAlignment="1">
      <alignment vertical="top" readingOrder="1"/>
    </xf>
    <xf numFmtId="188" fontId="64" fillId="0" borderId="1" xfId="0" applyNumberFormat="1" applyFont="1" applyFill="1" applyBorder="1" applyAlignment="1">
      <alignment vertical="top" readingOrder="1"/>
    </xf>
    <xf numFmtId="166" fontId="64" fillId="0" borderId="1" xfId="0" applyNumberFormat="1" applyFont="1" applyFill="1" applyBorder="1" applyAlignment="1">
      <alignment vertical="top" readingOrder="1"/>
    </xf>
    <xf numFmtId="14" fontId="64" fillId="0" borderId="1" xfId="0" applyNumberFormat="1" applyFont="1" applyFill="1" applyBorder="1" applyAlignment="1">
      <alignment vertical="top" readingOrder="1"/>
    </xf>
    <xf numFmtId="2" fontId="64" fillId="0" borderId="1" xfId="0" applyNumberFormat="1" applyFont="1" applyFill="1" applyBorder="1" applyAlignment="1">
      <alignment vertical="top" readingOrder="1"/>
    </xf>
    <xf numFmtId="4" fontId="64" fillId="0" borderId="53" xfId="0" applyNumberFormat="1" applyFont="1" applyFill="1" applyBorder="1" applyAlignment="1">
      <alignment vertical="top" readingOrder="1"/>
    </xf>
    <xf numFmtId="166" fontId="0" fillId="5" borderId="12" xfId="2" quotePrefix="1" applyNumberFormat="1" applyFont="1" applyFill="1" applyBorder="1"/>
    <xf numFmtId="4" fontId="7" fillId="0" borderId="0" xfId="0" applyNumberFormat="1" applyFont="1" applyBorder="1" applyAlignment="1">
      <alignment horizontal="right"/>
    </xf>
    <xf numFmtId="4" fontId="7" fillId="0" borderId="0" xfId="0" applyNumberFormat="1" applyFont="1" applyBorder="1"/>
    <xf numFmtId="194" fontId="7" fillId="11" borderId="6" xfId="3" applyNumberFormat="1" applyFont="1" applyFill="1" applyBorder="1"/>
    <xf numFmtId="165" fontId="3" fillId="0" borderId="0" xfId="2" quotePrefix="1" applyFont="1" applyBorder="1"/>
    <xf numFmtId="10" fontId="7" fillId="0" borderId="0" xfId="3" applyNumberFormat="1" applyFont="1" applyFill="1" applyBorder="1"/>
    <xf numFmtId="4" fontId="7" fillId="0" borderId="0" xfId="3" applyNumberFormat="1" applyFont="1" applyFill="1" applyBorder="1"/>
    <xf numFmtId="4" fontId="3" fillId="0" borderId="0" xfId="0" applyNumberFormat="1" applyFont="1"/>
    <xf numFmtId="2" fontId="69" fillId="0" borderId="56" xfId="0" applyNumberFormat="1" applyFont="1" applyBorder="1" applyAlignment="1">
      <alignment horizontal="right" vertical="top" readingOrder="1"/>
    </xf>
    <xf numFmtId="4" fontId="69" fillId="0" borderId="56" xfId="0" applyNumberFormat="1" applyFont="1" applyBorder="1" applyAlignment="1">
      <alignment horizontal="right" vertical="top" readingOrder="1"/>
    </xf>
    <xf numFmtId="4" fontId="7" fillId="12" borderId="6" xfId="3" applyNumberFormat="1" applyFont="1" applyFill="1" applyBorder="1"/>
    <xf numFmtId="165" fontId="3" fillId="4" borderId="6" xfId="2" applyFont="1" applyFill="1" applyBorder="1" applyProtection="1"/>
    <xf numFmtId="0" fontId="7" fillId="0" borderId="57" xfId="0" applyFont="1" applyBorder="1"/>
    <xf numFmtId="0" fontId="7" fillId="0" borderId="58" xfId="0" applyFont="1" applyBorder="1"/>
    <xf numFmtId="194" fontId="7" fillId="11" borderId="0" xfId="3" applyNumberFormat="1" applyFont="1" applyFill="1" applyBorder="1"/>
    <xf numFmtId="166" fontId="0" fillId="0" borderId="0" xfId="2" applyNumberFormat="1" applyFont="1" applyFill="1" applyBorder="1" applyProtection="1">
      <protection locked="0"/>
    </xf>
    <xf numFmtId="4" fontId="7" fillId="12" borderId="0" xfId="3" applyNumberFormat="1" applyFont="1" applyFill="1" applyBorder="1"/>
    <xf numFmtId="166" fontId="0" fillId="5" borderId="0" xfId="2" quotePrefix="1" applyNumberFormat="1" applyFont="1" applyFill="1" applyBorder="1"/>
    <xf numFmtId="178" fontId="0" fillId="0" borderId="0" xfId="2" quotePrefix="1" applyNumberFormat="1" applyFont="1" applyFill="1" applyBorder="1"/>
    <xf numFmtId="166" fontId="0" fillId="13" borderId="6" xfId="2" applyNumberFormat="1" applyFont="1" applyFill="1" applyBorder="1" applyProtection="1">
      <protection locked="0"/>
    </xf>
    <xf numFmtId="166" fontId="6" fillId="0" borderId="0" xfId="0" applyNumberFormat="1" applyFont="1" applyFill="1"/>
    <xf numFmtId="43" fontId="21" fillId="0" borderId="0" xfId="0" applyNumberFormat="1" applyFont="1"/>
    <xf numFmtId="43" fontId="0" fillId="0" borderId="0" xfId="0" applyNumberFormat="1"/>
    <xf numFmtId="165" fontId="8" fillId="0" borderId="0" xfId="2" applyFont="1" applyFill="1" applyBorder="1"/>
    <xf numFmtId="169" fontId="8" fillId="0" borderId="0" xfId="2" applyNumberFormat="1" applyFont="1" applyFill="1" applyBorder="1"/>
    <xf numFmtId="169" fontId="0" fillId="0" borderId="0" xfId="2" quotePrefix="1" applyNumberFormat="1" applyFont="1"/>
    <xf numFmtId="0" fontId="13" fillId="0" borderId="0" xfId="0" applyFont="1" applyAlignment="1">
      <alignment vertical="top" wrapText="1"/>
    </xf>
    <xf numFmtId="0" fontId="13" fillId="0" borderId="0" xfId="0" applyFont="1" applyAlignment="1">
      <alignment horizontal="left" vertical="top" wrapText="1"/>
    </xf>
    <xf numFmtId="166" fontId="0" fillId="0" borderId="0" xfId="2" applyNumberFormat="1" applyFont="1" applyFill="1" applyBorder="1"/>
    <xf numFmtId="179" fontId="4" fillId="0" borderId="0" xfId="2" applyNumberFormat="1" applyFont="1" applyFill="1" applyBorder="1" applyProtection="1"/>
    <xf numFmtId="180" fontId="0" fillId="0" borderId="0" xfId="2" quotePrefix="1" applyNumberFormat="1" applyFont="1" applyFill="1" applyBorder="1"/>
    <xf numFmtId="180" fontId="3" fillId="0" borderId="0" xfId="2" quotePrefix="1" applyNumberFormat="1" applyFont="1" applyFill="1" applyBorder="1"/>
    <xf numFmtId="165" fontId="0" fillId="0" borderId="0" xfId="2" applyFont="1" applyFill="1" applyBorder="1" applyProtection="1"/>
    <xf numFmtId="179" fontId="0" fillId="0" borderId="0" xfId="2" applyNumberFormat="1" applyFont="1" applyFill="1" applyBorder="1" applyProtection="1"/>
    <xf numFmtId="182" fontId="0" fillId="0" borderId="0" xfId="2" applyNumberFormat="1" applyFont="1" applyFill="1" applyBorder="1" applyProtection="1"/>
    <xf numFmtId="179" fontId="0" fillId="0" borderId="0" xfId="2" applyNumberFormat="1" applyFont="1" applyFill="1" applyBorder="1"/>
    <xf numFmtId="178" fontId="3" fillId="0" borderId="0" xfId="2" applyNumberFormat="1" applyFont="1" applyFill="1" applyBorder="1" applyProtection="1"/>
    <xf numFmtId="180" fontId="0" fillId="4" borderId="21" xfId="2" quotePrefix="1" applyNumberFormat="1" applyFont="1" applyFill="1" applyBorder="1"/>
    <xf numFmtId="180" fontId="3" fillId="7" borderId="21" xfId="2" quotePrefix="1" applyNumberFormat="1" applyFont="1" applyFill="1" applyBorder="1"/>
    <xf numFmtId="0" fontId="1" fillId="0" borderId="56" xfId="0" applyFont="1" applyFill="1" applyBorder="1"/>
    <xf numFmtId="0" fontId="6" fillId="0" borderId="56" xfId="0" applyFont="1" applyFill="1" applyBorder="1"/>
    <xf numFmtId="0" fontId="0" fillId="0" borderId="56" xfId="0" applyBorder="1"/>
    <xf numFmtId="0" fontId="7" fillId="0" borderId="56" xfId="0" applyFont="1" applyFill="1" applyBorder="1"/>
    <xf numFmtId="4" fontId="7" fillId="3" borderId="6" xfId="3" applyNumberFormat="1" applyFont="1" applyFill="1" applyBorder="1"/>
    <xf numFmtId="0" fontId="1" fillId="0" borderId="0" xfId="0" applyFont="1"/>
    <xf numFmtId="0" fontId="4" fillId="0" borderId="0" xfId="0" applyFont="1"/>
    <xf numFmtId="0" fontId="14" fillId="0" borderId="0" xfId="0" applyFont="1"/>
    <xf numFmtId="0" fontId="13" fillId="0" borderId="0" xfId="0" applyFont="1"/>
    <xf numFmtId="166" fontId="1" fillId="0" borderId="0" xfId="0" applyNumberFormat="1" applyFont="1"/>
    <xf numFmtId="166" fontId="4" fillId="0" borderId="0" xfId="2" applyNumberFormat="1" applyFont="1" applyBorder="1"/>
    <xf numFmtId="0" fontId="1" fillId="0" borderId="0" xfId="0" applyFont="1" applyBorder="1"/>
    <xf numFmtId="0" fontId="4" fillId="0" borderId="0" xfId="0" applyFont="1" applyBorder="1"/>
    <xf numFmtId="0" fontId="4" fillId="0" borderId="0" xfId="0" quotePrefix="1" applyFont="1"/>
    <xf numFmtId="0" fontId="13" fillId="0" borderId="0" xfId="0" applyFont="1" applyFill="1"/>
    <xf numFmtId="166" fontId="12" fillId="0" borderId="0" xfId="2" applyNumberFormat="1" applyFont="1" applyBorder="1"/>
    <xf numFmtId="0" fontId="4" fillId="0" borderId="56" xfId="0" applyFont="1" applyBorder="1"/>
    <xf numFmtId="0" fontId="4" fillId="13" borderId="0" xfId="0" applyFont="1" applyFill="1"/>
    <xf numFmtId="0" fontId="4" fillId="14" borderId="0" xfId="0" applyFont="1" applyFill="1"/>
    <xf numFmtId="0" fontId="23" fillId="16" borderId="45" xfId="0" applyFont="1" applyFill="1" applyBorder="1" applyAlignment="1">
      <alignment horizontal="center"/>
    </xf>
    <xf numFmtId="0" fontId="23" fillId="16" borderId="46" xfId="0" applyFont="1" applyFill="1" applyBorder="1" applyAlignment="1">
      <alignment horizontal="center"/>
    </xf>
    <xf numFmtId="0" fontId="23" fillId="16" borderId="47" xfId="0" applyFont="1" applyFill="1" applyBorder="1" applyAlignment="1">
      <alignment horizontal="center"/>
    </xf>
    <xf numFmtId="0" fontId="23" fillId="16" borderId="21" xfId="0" applyFont="1" applyFill="1" applyBorder="1"/>
    <xf numFmtId="0" fontId="23" fillId="16" borderId="20" xfId="0" applyFont="1" applyFill="1" applyBorder="1"/>
    <xf numFmtId="43" fontId="13" fillId="0" borderId="0" xfId="0" applyNumberFormat="1" applyFont="1"/>
    <xf numFmtId="0" fontId="23" fillId="0" borderId="0" xfId="0" applyFont="1" applyFill="1" applyBorder="1" applyAlignment="1">
      <alignment horizontal="center"/>
    </xf>
    <xf numFmtId="43" fontId="13" fillId="0" borderId="0" xfId="0" applyNumberFormat="1" applyFont="1" applyFill="1"/>
    <xf numFmtId="0" fontId="23" fillId="16" borderId="6" xfId="0" applyFont="1" applyFill="1" applyBorder="1" applyAlignment="1">
      <alignment horizontal="center"/>
    </xf>
    <xf numFmtId="0" fontId="1" fillId="0" borderId="0" xfId="0" applyFont="1" applyFill="1"/>
    <xf numFmtId="41" fontId="13" fillId="0" borderId="0" xfId="0" applyNumberFormat="1" applyFont="1"/>
    <xf numFmtId="0" fontId="13" fillId="17" borderId="18" xfId="0" applyFont="1" applyFill="1" applyBorder="1"/>
    <xf numFmtId="0" fontId="13" fillId="17" borderId="11" xfId="0" applyFont="1" applyFill="1" applyBorder="1"/>
    <xf numFmtId="0" fontId="13" fillId="17" borderId="12" xfId="0" applyFont="1" applyFill="1" applyBorder="1"/>
    <xf numFmtId="0" fontId="4" fillId="0" borderId="6" xfId="0" applyFont="1" applyBorder="1"/>
    <xf numFmtId="166" fontId="1" fillId="0" borderId="58" xfId="2" applyNumberFormat="1" applyFont="1" applyBorder="1"/>
    <xf numFmtId="0" fontId="1" fillId="14" borderId="56" xfId="0" applyFont="1" applyFill="1" applyBorder="1" applyAlignment="1">
      <alignment horizontal="right"/>
    </xf>
    <xf numFmtId="0" fontId="1" fillId="0" borderId="5" xfId="0" applyFont="1" applyBorder="1"/>
    <xf numFmtId="166" fontId="1" fillId="0" borderId="56" xfId="2" applyNumberFormat="1" applyFont="1" applyBorder="1"/>
    <xf numFmtId="166" fontId="1" fillId="0" borderId="56" xfId="2" applyNumberFormat="1" applyFont="1" applyBorder="1" applyAlignment="1">
      <alignment horizontal="right"/>
    </xf>
    <xf numFmtId="0" fontId="1" fillId="0" borderId="56" xfId="0" applyFont="1" applyBorder="1"/>
    <xf numFmtId="166" fontId="1" fillId="14" borderId="56" xfId="2" applyNumberFormat="1" applyFont="1" applyFill="1" applyBorder="1"/>
    <xf numFmtId="166" fontId="1" fillId="0" borderId="56" xfId="2" applyNumberFormat="1" applyFont="1" applyFill="1" applyBorder="1"/>
    <xf numFmtId="166" fontId="4" fillId="0" borderId="56" xfId="2" applyNumberFormat="1" applyFont="1" applyBorder="1" applyAlignment="1">
      <alignment horizontal="left"/>
    </xf>
    <xf numFmtId="166" fontId="4" fillId="14" borderId="56" xfId="2" applyNumberFormat="1" applyFont="1" applyFill="1" applyBorder="1" applyAlignment="1">
      <alignment horizontal="right"/>
    </xf>
    <xf numFmtId="166" fontId="4" fillId="0" borderId="56" xfId="2" applyNumberFormat="1" applyFont="1" applyBorder="1" applyAlignment="1">
      <alignment horizontal="right"/>
    </xf>
    <xf numFmtId="0" fontId="1" fillId="2" borderId="0" xfId="0" applyFont="1" applyFill="1"/>
    <xf numFmtId="166" fontId="14" fillId="0" borderId="56" xfId="2" applyNumberFormat="1" applyFont="1" applyBorder="1"/>
    <xf numFmtId="166" fontId="4" fillId="0" borderId="56" xfId="2" applyNumberFormat="1" applyFont="1" applyBorder="1"/>
    <xf numFmtId="165" fontId="1" fillId="0" borderId="56" xfId="2" applyNumberFormat="1" applyFont="1" applyBorder="1"/>
    <xf numFmtId="0" fontId="4" fillId="0" borderId="56" xfId="0" applyFont="1" applyFill="1" applyBorder="1"/>
    <xf numFmtId="166" fontId="12" fillId="0" borderId="56" xfId="2" applyNumberFormat="1" applyFont="1" applyFill="1" applyBorder="1"/>
    <xf numFmtId="166" fontId="4" fillId="0" borderId="56" xfId="2" applyNumberFormat="1" applyFont="1" applyFill="1" applyBorder="1"/>
    <xf numFmtId="166" fontId="12" fillId="0" borderId="56" xfId="2" applyNumberFormat="1" applyFont="1" applyBorder="1"/>
    <xf numFmtId="0" fontId="1" fillId="0" borderId="19" xfId="0" applyFont="1" applyBorder="1"/>
    <xf numFmtId="0" fontId="4" fillId="13" borderId="0" xfId="0" applyFont="1" applyFill="1" applyBorder="1"/>
    <xf numFmtId="166" fontId="1" fillId="14" borderId="0" xfId="2" applyNumberFormat="1" applyFont="1" applyFill="1" applyBorder="1"/>
    <xf numFmtId="166" fontId="1" fillId="13" borderId="0" xfId="2" applyNumberFormat="1" applyFont="1" applyFill="1" applyBorder="1"/>
    <xf numFmtId="166" fontId="1" fillId="0" borderId="0" xfId="2" applyNumberFormat="1" applyFont="1" applyFill="1" applyBorder="1"/>
    <xf numFmtId="166" fontId="1" fillId="13" borderId="6" xfId="2" applyNumberFormat="1" applyFont="1" applyFill="1" applyBorder="1"/>
    <xf numFmtId="167" fontId="1" fillId="0" borderId="0" xfId="2" applyNumberFormat="1" applyFont="1" applyFill="1" applyBorder="1"/>
    <xf numFmtId="196" fontId="1" fillId="0" borderId="0" xfId="0" applyNumberFormat="1" applyFont="1"/>
    <xf numFmtId="196" fontId="1" fillId="13" borderId="0" xfId="0" applyNumberFormat="1" applyFont="1" applyFill="1"/>
    <xf numFmtId="195" fontId="1" fillId="0" borderId="0" xfId="0" applyNumberFormat="1" applyFont="1"/>
    <xf numFmtId="165" fontId="7" fillId="18" borderId="0" xfId="2" applyNumberFormat="1" applyFont="1" applyFill="1" applyBorder="1"/>
    <xf numFmtId="0" fontId="6" fillId="18" borderId="0" xfId="0" applyFont="1" applyFill="1"/>
    <xf numFmtId="181" fontId="0" fillId="18" borderId="0" xfId="0" applyNumberFormat="1" applyFill="1"/>
    <xf numFmtId="14" fontId="7" fillId="18" borderId="0" xfId="0" applyNumberFormat="1" applyFont="1" applyFill="1"/>
    <xf numFmtId="169" fontId="0" fillId="18" borderId="0" xfId="0" applyNumberFormat="1" applyFill="1"/>
    <xf numFmtId="0" fontId="70" fillId="0" borderId="0" xfId="0" applyFont="1"/>
    <xf numFmtId="0" fontId="6" fillId="0" borderId="57" xfId="0" applyFont="1" applyBorder="1"/>
    <xf numFmtId="0" fontId="6" fillId="0" borderId="59" xfId="0" applyFont="1" applyFill="1" applyBorder="1"/>
    <xf numFmtId="0" fontId="1" fillId="0" borderId="19" xfId="0" applyFont="1" applyFill="1" applyBorder="1"/>
    <xf numFmtId="0" fontId="13" fillId="0" borderId="8" xfId="0" applyFont="1" applyBorder="1"/>
    <xf numFmtId="10" fontId="6" fillId="13" borderId="6" xfId="2" applyNumberFormat="1" applyFont="1" applyFill="1" applyBorder="1"/>
    <xf numFmtId="0" fontId="23" fillId="16" borderId="45" xfId="0" applyFont="1" applyFill="1" applyBorder="1" applyAlignment="1">
      <alignment horizontal="center"/>
    </xf>
    <xf numFmtId="0" fontId="23" fillId="16" borderId="46" xfId="0" applyFont="1" applyFill="1" applyBorder="1" applyAlignment="1">
      <alignment horizontal="center"/>
    </xf>
    <xf numFmtId="0" fontId="23" fillId="16" borderId="47" xfId="0" applyFont="1" applyFill="1" applyBorder="1" applyAlignment="1">
      <alignment horizontal="center"/>
    </xf>
    <xf numFmtId="0" fontId="23" fillId="14" borderId="18" xfId="0" applyFont="1" applyFill="1" applyBorder="1" applyAlignment="1">
      <alignment horizontal="center"/>
    </xf>
    <xf numFmtId="0" fontId="23" fillId="14" borderId="11" xfId="0" applyFont="1" applyFill="1" applyBorder="1" applyAlignment="1">
      <alignment horizontal="center"/>
    </xf>
    <xf numFmtId="0" fontId="23" fillId="14" borderId="12" xfId="0" applyFont="1" applyFill="1" applyBorder="1" applyAlignment="1">
      <alignment horizontal="center"/>
    </xf>
    <xf numFmtId="41" fontId="23" fillId="15" borderId="18" xfId="0" applyNumberFormat="1" applyFont="1" applyFill="1" applyBorder="1" applyAlignment="1">
      <alignment horizontal="center"/>
    </xf>
    <xf numFmtId="41" fontId="23" fillId="15" borderId="11" xfId="0" applyNumberFormat="1" applyFont="1" applyFill="1" applyBorder="1" applyAlignment="1">
      <alignment horizontal="center"/>
    </xf>
    <xf numFmtId="41" fontId="23" fillId="15" borderId="12" xfId="0" applyNumberFormat="1" applyFont="1" applyFill="1" applyBorder="1" applyAlignment="1">
      <alignment horizontal="center"/>
    </xf>
    <xf numFmtId="170" fontId="23" fillId="0" borderId="0" xfId="0" applyNumberFormat="1" applyFont="1" applyFill="1" applyAlignment="1">
      <alignment horizontal="left"/>
    </xf>
    <xf numFmtId="170" fontId="0" fillId="0" borderId="0" xfId="0" applyNumberFormat="1" applyFill="1" applyAlignment="1"/>
    <xf numFmtId="2" fontId="23" fillId="0" borderId="0" xfId="0" applyNumberFormat="1" applyFont="1" applyFill="1" applyAlignment="1">
      <alignment horizontal="left"/>
    </xf>
    <xf numFmtId="2" fontId="0" fillId="0" borderId="0" xfId="0" applyNumberFormat="1" applyFill="1" applyAlignment="1"/>
    <xf numFmtId="0" fontId="64" fillId="0" borderId="50" xfId="0" applyFont="1" applyBorder="1" applyAlignment="1" applyProtection="1">
      <alignment horizontal="left" vertical="top" wrapText="1" readingOrder="1"/>
      <protection locked="0"/>
    </xf>
    <xf numFmtId="0" fontId="64" fillId="0" borderId="1" xfId="0" applyFont="1" applyBorder="1" applyAlignment="1" applyProtection="1">
      <alignment horizontal="left" vertical="top" wrapText="1" readingOrder="1"/>
      <protection locked="0"/>
    </xf>
    <xf numFmtId="0" fontId="64" fillId="0" borderId="52" xfId="0" applyFont="1" applyBorder="1" applyAlignment="1" applyProtection="1">
      <alignment horizontal="left" vertical="top" wrapText="1" readingOrder="1"/>
      <protection locked="0"/>
    </xf>
    <xf numFmtId="0" fontId="64" fillId="0" borderId="53" xfId="0" applyFont="1" applyBorder="1" applyAlignment="1" applyProtection="1">
      <alignment horizontal="left" vertical="top" wrapText="1" readingOrder="1"/>
      <protection locked="0"/>
    </xf>
    <xf numFmtId="0" fontId="68" fillId="0" borderId="45" xfId="0" applyFont="1" applyBorder="1" applyAlignment="1" applyProtection="1">
      <alignment horizontal="left" vertical="top" wrapText="1" readingOrder="1"/>
      <protection locked="0"/>
    </xf>
    <xf numFmtId="0" fontId="68" fillId="0" borderId="46" xfId="0" applyFont="1" applyBorder="1" applyAlignment="1" applyProtection="1">
      <alignment horizontal="left" vertical="top" wrapText="1" readingOrder="1"/>
      <protection locked="0"/>
    </xf>
    <xf numFmtId="0" fontId="64" fillId="0" borderId="48" xfId="0" applyFont="1" applyBorder="1" applyAlignment="1" applyProtection="1">
      <alignment horizontal="left" vertical="top" wrapText="1" readingOrder="1"/>
      <protection locked="0"/>
    </xf>
    <xf numFmtId="0" fontId="64" fillId="0" borderId="5" xfId="0" applyFont="1" applyBorder="1" applyAlignment="1" applyProtection="1">
      <alignment horizontal="left" vertical="top" wrapText="1" readingOrder="1"/>
      <protection locked="0"/>
    </xf>
  </cellXfs>
  <cellStyles count="4">
    <cellStyle name="Hyperlink" xfId="1" builtinId="8"/>
    <cellStyle name="Komma" xfId="2" builtinId="3"/>
    <cellStyle name="Procent" xfId="3"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l-NL"/>
              <a:t>MSK Steunruimte in NCW</a:t>
            </a:r>
          </a:p>
        </c:rich>
      </c:tx>
      <c:layout>
        <c:manualLayout>
          <c:xMode val="edge"/>
          <c:yMode val="edge"/>
          <c:x val="0.37700865265760197"/>
          <c:y val="2.9090934917378301E-2"/>
        </c:manualLayout>
      </c:layout>
      <c:overlay val="0"/>
      <c:spPr>
        <a:noFill/>
        <a:ln w="25400">
          <a:noFill/>
        </a:ln>
      </c:spPr>
    </c:title>
    <c:autoTitleDeleted val="0"/>
    <c:plotArea>
      <c:layout>
        <c:manualLayout>
          <c:layoutTarget val="inner"/>
          <c:xMode val="edge"/>
          <c:yMode val="edge"/>
          <c:x val="9.1470951792336219E-2"/>
          <c:y val="0.16000014204558066"/>
          <c:w val="0.89493201483312734"/>
          <c:h val="0.70727335517875989"/>
        </c:manualLayout>
      </c:layout>
      <c:barChart>
        <c:barDir val="col"/>
        <c:grouping val="clustered"/>
        <c:varyColors val="0"/>
        <c:ser>
          <c:idx val="1"/>
          <c:order val="0"/>
          <c:tx>
            <c:strRef>
              <c:f>'Overzicht MSK toets'!$I$8</c:f>
              <c:strCache>
                <c:ptCount val="1"/>
                <c:pt idx="0">
                  <c:v>jaar</c:v>
                </c:pt>
              </c:strCache>
            </c:strRef>
          </c:tx>
          <c:spPr>
            <a:solidFill>
              <a:srgbClr val="993366"/>
            </a:solidFill>
            <a:ln w="12700">
              <a:solidFill>
                <a:srgbClr val="000000"/>
              </a:solidFill>
              <a:prstDash val="solid"/>
            </a:ln>
          </c:spPr>
          <c:invertIfNegative val="0"/>
          <c:val>
            <c:numRef>
              <c:f>'Overzicht MSK toets'!$I$9:$I$23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val>
          <c:extLst>
            <c:ext xmlns:c16="http://schemas.microsoft.com/office/drawing/2014/chart" uri="{C3380CC4-5D6E-409C-BE32-E72D297353CC}">
              <c16:uniqueId val="{00000000-62B5-40FA-A74A-25A04F9DBBF1}"/>
            </c:ext>
          </c:extLst>
        </c:ser>
        <c:ser>
          <c:idx val="0"/>
          <c:order val="1"/>
          <c:tx>
            <c:strRef>
              <c:f>'Overzicht MSK toets'!$J$8</c:f>
              <c:strCache>
                <c:ptCount val="1"/>
                <c:pt idx="0">
                  <c:v>SDE cumulatief</c:v>
                </c:pt>
              </c:strCache>
            </c:strRef>
          </c:tx>
          <c:spPr>
            <a:solidFill>
              <a:srgbClr val="9999FF"/>
            </a:solidFill>
            <a:ln w="12700">
              <a:solidFill>
                <a:srgbClr val="000000"/>
              </a:solidFill>
              <a:prstDash val="solid"/>
            </a:ln>
          </c:spPr>
          <c:invertIfNegative val="0"/>
          <c:val>
            <c:numRef>
              <c:f>'Overzicht MSK toets'!$J$9:$J$23</c:f>
              <c:numCache>
                <c:formatCode>_-* #,##0_-;_-* #,##0\-;_-*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2B5-40FA-A74A-25A04F9DBBF1}"/>
            </c:ext>
          </c:extLst>
        </c:ser>
        <c:dLbls>
          <c:showLegendKey val="0"/>
          <c:showVal val="0"/>
          <c:showCatName val="0"/>
          <c:showSerName val="0"/>
          <c:showPercent val="0"/>
          <c:showBubbleSize val="0"/>
        </c:dLbls>
        <c:gapWidth val="150"/>
        <c:axId val="79850496"/>
        <c:axId val="79865344"/>
      </c:barChart>
      <c:lineChart>
        <c:grouping val="standard"/>
        <c:varyColors val="0"/>
        <c:ser>
          <c:idx val="4"/>
          <c:order val="2"/>
          <c:tx>
            <c:strRef>
              <c:f>'Overzicht MSK toets'!$K$8</c:f>
              <c:strCache>
                <c:ptCount val="1"/>
                <c:pt idx="0">
                  <c:v>Max SDE totaal</c:v>
                </c:pt>
              </c:strCache>
            </c:strRef>
          </c:tx>
          <c:spPr>
            <a:ln w="12700">
              <a:solidFill>
                <a:srgbClr val="800080"/>
              </a:solidFill>
              <a:prstDash val="solid"/>
            </a:ln>
          </c:spPr>
          <c:marker>
            <c:symbol val="star"/>
            <c:size val="5"/>
            <c:spPr>
              <a:noFill/>
              <a:ln>
                <a:solidFill>
                  <a:srgbClr val="800080"/>
                </a:solidFill>
                <a:prstDash val="solid"/>
              </a:ln>
            </c:spPr>
          </c:marker>
          <c:val>
            <c:numRef>
              <c:f>'Overzicht MSK toets'!$K$9:$K$23</c:f>
              <c:numCache>
                <c:formatCode>_-* #,##0_-;_-* #,##0\-;_-*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62B5-40FA-A74A-25A04F9DBBF1}"/>
            </c:ext>
          </c:extLst>
        </c:ser>
        <c:ser>
          <c:idx val="2"/>
          <c:order val="3"/>
          <c:tx>
            <c:strRef>
              <c:f>'Overzicht MSK toets'!$L$8</c:f>
              <c:strCache>
                <c:ptCount val="1"/>
                <c:pt idx="0">
                  <c:v>bovengrens correctie</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'Overzicht MSK toets'!$L$9:$L$23</c:f>
              <c:numCache>
                <c:formatCode>_-* #,##0_-;_-* #,##0\-;_-*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62B5-40FA-A74A-25A04F9DBBF1}"/>
            </c:ext>
          </c:extLst>
        </c:ser>
        <c:dLbls>
          <c:showLegendKey val="0"/>
          <c:showVal val="0"/>
          <c:showCatName val="0"/>
          <c:showSerName val="0"/>
          <c:showPercent val="0"/>
          <c:showBubbleSize val="0"/>
        </c:dLbls>
        <c:marker val="1"/>
        <c:smooth val="0"/>
        <c:axId val="79867264"/>
        <c:axId val="79881344"/>
      </c:lineChart>
      <c:catAx>
        <c:axId val="7985049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Jaren</a:t>
                </a:r>
              </a:p>
            </c:rich>
          </c:tx>
          <c:layout>
            <c:manualLayout>
              <c:xMode val="edge"/>
              <c:yMode val="edge"/>
              <c:x val="0.5142150803461063"/>
              <c:y val="0.92363718362676106"/>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79865344"/>
        <c:crosses val="autoZero"/>
        <c:auto val="0"/>
        <c:lblAlgn val="ctr"/>
        <c:lblOffset val="100"/>
        <c:tickLblSkip val="1"/>
        <c:tickMarkSkip val="1"/>
        <c:noMultiLvlLbl val="0"/>
      </c:catAx>
      <c:valAx>
        <c:axId val="7986534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nl-NL"/>
                  <a:t>euro</a:t>
                </a:r>
              </a:p>
            </c:rich>
          </c:tx>
          <c:layout>
            <c:manualLayout>
              <c:xMode val="edge"/>
              <c:yMode val="edge"/>
              <c:x val="2.7194066749072928E-2"/>
              <c:y val="0.4872731598660865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79850496"/>
        <c:crosses val="autoZero"/>
        <c:crossBetween val="between"/>
      </c:valAx>
      <c:catAx>
        <c:axId val="79867264"/>
        <c:scaling>
          <c:orientation val="minMax"/>
        </c:scaling>
        <c:delete val="1"/>
        <c:axPos val="b"/>
        <c:majorTickMark val="out"/>
        <c:minorTickMark val="none"/>
        <c:tickLblPos val="nextTo"/>
        <c:crossAx val="79881344"/>
        <c:crosses val="autoZero"/>
        <c:auto val="0"/>
        <c:lblAlgn val="ctr"/>
        <c:lblOffset val="100"/>
        <c:noMultiLvlLbl val="0"/>
      </c:catAx>
      <c:valAx>
        <c:axId val="79881344"/>
        <c:scaling>
          <c:orientation val="minMax"/>
        </c:scaling>
        <c:delete val="1"/>
        <c:axPos val="l"/>
        <c:numFmt formatCode="_-* #,##0_-;_-* #,##0\-;_-* &quot;-&quot;??_-;_-@_-" sourceLinked="1"/>
        <c:majorTickMark val="out"/>
        <c:minorTickMark val="none"/>
        <c:tickLblPos val="nextTo"/>
        <c:crossAx val="79867264"/>
        <c:crosses val="autoZero"/>
        <c:crossBetween val="between"/>
      </c:valAx>
      <c:spPr>
        <a:solidFill>
          <a:srgbClr val="C0C0C0"/>
        </a:solidFill>
        <a:ln w="12700">
          <a:solidFill>
            <a:srgbClr val="808080"/>
          </a:solidFill>
          <a:prstDash val="solid"/>
        </a:ln>
      </c:spPr>
    </c:plotArea>
    <c:legend>
      <c:legendPos val="t"/>
      <c:legendEntry>
        <c:idx val="0"/>
        <c:delete val="1"/>
      </c:legendEntry>
      <c:layout>
        <c:manualLayout>
          <c:xMode val="edge"/>
          <c:yMode val="edge"/>
          <c:x val="0.73176761433868975"/>
          <c:y val="9.0909171616807196E-3"/>
          <c:w val="0.19530284301606923"/>
          <c:h val="0.116363739669513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oddHeader>&amp;A</c:oddHeader>
      <c:oddFooter>Page &amp;P</c:oddFooter>
    </c:headerFooter>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523875</xdr:colOff>
      <xdr:row>33</xdr:row>
      <xdr:rowOff>28575</xdr:rowOff>
    </xdr:from>
    <xdr:to>
      <xdr:col>12</xdr:col>
      <xdr:colOff>828675</xdr:colOff>
      <xdr:row>64</xdr:row>
      <xdr:rowOff>0</xdr:rowOff>
    </xdr:to>
    <xdr:graphicFrame macro="">
      <xdr:nvGraphicFramePr>
        <xdr:cNvPr id="2051" name="Grafiek 3">
          <a:extLst>
            <a:ext uri="{FF2B5EF4-FFF2-40B4-BE49-F238E27FC236}">
              <a16:creationId xmlns:a16="http://schemas.microsoft.com/office/drawing/2014/main" id="{00000000-0008-0000-04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45</xdr:row>
      <xdr:rowOff>161925</xdr:rowOff>
    </xdr:from>
    <xdr:to>
      <xdr:col>4</xdr:col>
      <xdr:colOff>47625</xdr:colOff>
      <xdr:row>50</xdr:row>
      <xdr:rowOff>66675</xdr:rowOff>
    </xdr:to>
    <xdr:sp macro="" textlink="">
      <xdr:nvSpPr>
        <xdr:cNvPr id="11278" name="Line 1038">
          <a:extLst>
            <a:ext uri="{FF2B5EF4-FFF2-40B4-BE49-F238E27FC236}">
              <a16:creationId xmlns:a16="http://schemas.microsoft.com/office/drawing/2014/main" id="{00000000-0008-0000-0800-00000E2C0000}"/>
            </a:ext>
          </a:extLst>
        </xdr:cNvPr>
        <xdr:cNvSpPr>
          <a:spLocks noChangeShapeType="1"/>
        </xdr:cNvSpPr>
      </xdr:nvSpPr>
      <xdr:spPr bwMode="auto">
        <a:xfrm flipH="1">
          <a:off x="3667125" y="7562850"/>
          <a:ext cx="18097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95250</xdr:colOff>
      <xdr:row>15</xdr:row>
      <xdr:rowOff>133350</xdr:rowOff>
    </xdr:from>
    <xdr:to>
      <xdr:col>11</xdr:col>
      <xdr:colOff>152400</xdr:colOff>
      <xdr:row>19</xdr:row>
      <xdr:rowOff>133350</xdr:rowOff>
    </xdr:to>
    <xdr:sp macro="" textlink="">
      <xdr:nvSpPr>
        <xdr:cNvPr id="11279" name="Line 1039">
          <a:extLst>
            <a:ext uri="{FF2B5EF4-FFF2-40B4-BE49-F238E27FC236}">
              <a16:creationId xmlns:a16="http://schemas.microsoft.com/office/drawing/2014/main" id="{00000000-0008-0000-0800-00000F2C0000}"/>
            </a:ext>
          </a:extLst>
        </xdr:cNvPr>
        <xdr:cNvSpPr>
          <a:spLocks noChangeShapeType="1"/>
        </xdr:cNvSpPr>
      </xdr:nvSpPr>
      <xdr:spPr bwMode="auto">
        <a:xfrm flipH="1">
          <a:off x="8905875" y="2619375"/>
          <a:ext cx="1123950"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66675</xdr:colOff>
      <xdr:row>12</xdr:row>
      <xdr:rowOff>0</xdr:rowOff>
    </xdr:from>
    <xdr:to>
      <xdr:col>14</xdr:col>
      <xdr:colOff>409575</xdr:colOff>
      <xdr:row>16</xdr:row>
      <xdr:rowOff>0</xdr:rowOff>
    </xdr:to>
    <xdr:sp macro="" textlink="">
      <xdr:nvSpPr>
        <xdr:cNvPr id="11280" name="Text Box 1040">
          <a:extLst>
            <a:ext uri="{FF2B5EF4-FFF2-40B4-BE49-F238E27FC236}">
              <a16:creationId xmlns:a16="http://schemas.microsoft.com/office/drawing/2014/main" id="{00000000-0008-0000-0800-0000102C0000}"/>
            </a:ext>
          </a:extLst>
        </xdr:cNvPr>
        <xdr:cNvSpPr txBox="1">
          <a:spLocks noChangeArrowheads="1"/>
        </xdr:cNvSpPr>
      </xdr:nvSpPr>
      <xdr:spPr bwMode="auto">
        <a:xfrm>
          <a:off x="9944100" y="2000250"/>
          <a:ext cx="1943100" cy="647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nl-NL" sz="1000" b="0" i="0" u="none" strike="noStrike" baseline="0">
              <a:solidFill>
                <a:srgbClr val="000000"/>
              </a:solidFill>
              <a:latin typeface="Times New Roman"/>
              <a:cs typeface="Times New Roman"/>
            </a:rPr>
            <a:t>aangepast: jaar 1 is het jaar dat de sde ontvangsten beginnen en niet het jaar dat de sde start datum is</a:t>
          </a:r>
          <a:endParaRPr lang="nl-N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gnl\Data%20-%20Q-schijf%20op%20Fil08\EK\MEI_IDE\Programma%20SDE\MSK%20SDE%202010-2014\Definitieve%20modellen\SDE%20MSK%20rekenmodel%20ZON%20vs5%20incl.%20gem.tari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Toelichting"/>
      <sheetName val="Stamblad"/>
      <sheetName val="Hulpberekeningen 1"/>
      <sheetName val="Hulpberekeningen 2"/>
      <sheetName val="exploitatieoverzicht wind"/>
      <sheetName val="Afwijking van gegevens aanvrag."/>
      <sheetName val="Rendement geinv. vermogen"/>
      <sheetName val="VAMIL voordeel"/>
      <sheetName val="Invoerblad  bij lease"/>
      <sheetName val="exploitatieoverzicht Biomass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J155"/>
  <sheetViews>
    <sheetView showGridLines="0" tabSelected="1" zoomScale="70" zoomScaleNormal="70" workbookViewId="0">
      <selection activeCell="E20" sqref="E20"/>
    </sheetView>
  </sheetViews>
  <sheetFormatPr defaultColWidth="0" defaultRowHeight="12.75" zeroHeight="1" x14ac:dyDescent="0.2"/>
  <cols>
    <col min="1" max="1" width="13" style="248" customWidth="1"/>
    <col min="2" max="2" width="62.5" customWidth="1"/>
    <col min="3" max="3" width="19.83203125" customWidth="1"/>
    <col min="4" max="4" width="10" customWidth="1"/>
    <col min="5" max="5" width="32.83203125" customWidth="1"/>
    <col min="6" max="6" width="7.33203125" customWidth="1"/>
    <col min="7" max="7" width="4.5" style="327" customWidth="1"/>
    <col min="8" max="8" width="19" style="1" customWidth="1"/>
    <col min="9" max="9" width="24.83203125" style="38" customWidth="1"/>
    <col min="10" max="10" width="15.33203125" style="38" customWidth="1"/>
    <col min="11" max="11" width="19" customWidth="1"/>
    <col min="12" max="26" width="17" customWidth="1"/>
    <col min="27" max="27" width="14.33203125" bestFit="1" customWidth="1"/>
  </cols>
  <sheetData>
    <row r="1" spans="1:26" ht="22.5" x14ac:dyDescent="0.3">
      <c r="A1" s="193" t="s">
        <v>437</v>
      </c>
      <c r="D1" s="440"/>
      <c r="E1" s="440"/>
      <c r="H1" s="647" t="s">
        <v>522</v>
      </c>
    </row>
    <row r="2" spans="1:26" x14ac:dyDescent="0.2">
      <c r="A2" s="246"/>
      <c r="D2" s="650"/>
      <c r="E2" s="650"/>
      <c r="L2" s="165"/>
      <c r="M2" s="293"/>
      <c r="N2" s="6"/>
    </row>
    <row r="3" spans="1:26" ht="14.25" x14ac:dyDescent="0.2">
      <c r="A3" s="246"/>
      <c r="B3" s="648" t="s">
        <v>523</v>
      </c>
      <c r="C3" s="16"/>
      <c r="D3" s="649"/>
      <c r="E3" s="580"/>
      <c r="F3" s="156"/>
      <c r="G3" s="470"/>
      <c r="H3" s="156"/>
      <c r="I3" s="142"/>
      <c r="J3" s="142"/>
      <c r="K3" s="448"/>
      <c r="L3" s="292"/>
      <c r="M3" s="6"/>
      <c r="N3" s="195"/>
    </row>
    <row r="4" spans="1:26" ht="15.75" x14ac:dyDescent="0.25">
      <c r="A4" s="246"/>
      <c r="B4" s="463" t="s">
        <v>151</v>
      </c>
      <c r="C4" s="3"/>
      <c r="D4" s="3"/>
      <c r="E4" s="3"/>
      <c r="F4" s="92"/>
      <c r="G4" s="328"/>
      <c r="H4" s="3"/>
      <c r="I4" s="26"/>
      <c r="J4" s="147"/>
      <c r="L4" s="174"/>
      <c r="M4" s="37"/>
      <c r="N4" s="37"/>
    </row>
    <row r="5" spans="1:26" ht="14.25" x14ac:dyDescent="0.2">
      <c r="A5" s="247" t="s">
        <v>218</v>
      </c>
      <c r="B5" s="3"/>
      <c r="C5" s="3"/>
      <c r="D5" s="3"/>
      <c r="E5" s="3"/>
      <c r="F5" s="92"/>
      <c r="G5" s="328"/>
      <c r="H5" s="3"/>
      <c r="I5" s="85" t="s">
        <v>91</v>
      </c>
      <c r="J5" s="147"/>
      <c r="K5" s="38"/>
      <c r="L5" s="421"/>
      <c r="M5" s="38"/>
      <c r="N5" s="37"/>
      <c r="O5" s="38"/>
    </row>
    <row r="6" spans="1:26" ht="14.25" x14ac:dyDescent="0.2">
      <c r="B6" s="3"/>
      <c r="C6" s="3"/>
      <c r="D6" s="3"/>
      <c r="E6" s="3"/>
      <c r="F6" s="92"/>
      <c r="G6" s="328"/>
      <c r="H6" s="3"/>
      <c r="I6" s="85" t="s">
        <v>26</v>
      </c>
      <c r="J6" s="147"/>
      <c r="L6" s="2"/>
      <c r="M6" s="38"/>
      <c r="N6" s="37"/>
      <c r="O6" s="38"/>
    </row>
    <row r="7" spans="1:26" ht="15.75" customHeight="1" thickBot="1" x14ac:dyDescent="0.3">
      <c r="B7" s="3" t="s">
        <v>295</v>
      </c>
      <c r="C7" s="3"/>
      <c r="D7" s="3"/>
      <c r="E7" s="3"/>
      <c r="F7" s="92"/>
      <c r="G7" s="328"/>
      <c r="H7" s="3"/>
      <c r="I7" s="26"/>
      <c r="J7" s="147"/>
      <c r="L7" s="2"/>
      <c r="M7" s="38"/>
      <c r="N7" s="37"/>
      <c r="O7" s="38"/>
    </row>
    <row r="8" spans="1:26" ht="15.75" thickBot="1" x14ac:dyDescent="0.3">
      <c r="A8" s="248">
        <v>1</v>
      </c>
      <c r="B8" s="290" t="s">
        <v>90</v>
      </c>
      <c r="C8" s="291"/>
      <c r="D8" s="3"/>
      <c r="E8" s="298"/>
      <c r="F8" s="92"/>
      <c r="G8" s="329" t="s">
        <v>6</v>
      </c>
      <c r="H8" s="3"/>
      <c r="I8" s="155"/>
      <c r="J8" s="147"/>
      <c r="K8" s="85"/>
      <c r="L8" s="421"/>
      <c r="M8" s="38"/>
      <c r="N8" s="37"/>
      <c r="O8" s="38"/>
      <c r="P8" s="38"/>
      <c r="Q8" s="38"/>
      <c r="R8" s="38"/>
      <c r="S8" s="38"/>
      <c r="T8" s="38"/>
      <c r="U8" s="38"/>
    </row>
    <row r="9" spans="1:26" ht="15.75" thickBot="1" x14ac:dyDescent="0.3">
      <c r="A9" s="248">
        <v>2</v>
      </c>
      <c r="B9" s="290" t="s">
        <v>110</v>
      </c>
      <c r="C9" s="291"/>
      <c r="D9" s="3"/>
      <c r="E9" s="298"/>
      <c r="F9" s="92"/>
      <c r="G9" s="329"/>
      <c r="H9" s="3"/>
      <c r="I9" s="155"/>
      <c r="J9" s="147"/>
      <c r="K9" s="85"/>
      <c r="L9" s="421"/>
      <c r="M9" s="38"/>
      <c r="N9" s="37"/>
      <c r="O9" s="38"/>
      <c r="P9" s="38"/>
      <c r="Q9" s="38"/>
      <c r="R9" s="38"/>
      <c r="S9" s="38"/>
      <c r="T9" s="38"/>
      <c r="U9" s="38"/>
    </row>
    <row r="10" spans="1:26" ht="15.75" thickBot="1" x14ac:dyDescent="0.3">
      <c r="B10" s="290"/>
      <c r="C10" s="291"/>
      <c r="D10" s="3"/>
      <c r="E10" s="363"/>
      <c r="F10" s="92"/>
      <c r="G10" s="329"/>
      <c r="H10" s="3"/>
      <c r="I10" s="155"/>
      <c r="J10" s="147"/>
      <c r="K10" s="85"/>
      <c r="L10" s="421"/>
      <c r="M10" s="38"/>
      <c r="N10" s="37"/>
      <c r="O10" s="38"/>
      <c r="P10" s="38"/>
      <c r="Q10" s="38"/>
      <c r="R10" s="38"/>
      <c r="S10" s="38"/>
      <c r="T10" s="38"/>
      <c r="U10" s="38"/>
    </row>
    <row r="11" spans="1:26" ht="15" x14ac:dyDescent="0.25">
      <c r="B11" s="290"/>
      <c r="C11" s="291"/>
      <c r="D11" s="3"/>
      <c r="E11" s="304"/>
      <c r="F11" s="92"/>
      <c r="G11" s="329"/>
      <c r="H11" s="3"/>
      <c r="I11" s="155"/>
      <c r="J11" s="147"/>
      <c r="K11" s="85"/>
      <c r="L11" s="2"/>
      <c r="M11" s="38"/>
      <c r="N11" s="37"/>
      <c r="O11" s="38"/>
    </row>
    <row r="12" spans="1:26" ht="15.75" thickBot="1" x14ac:dyDescent="0.3">
      <c r="B12" s="306"/>
      <c r="C12" s="303"/>
      <c r="D12" s="3"/>
      <c r="E12" s="304"/>
      <c r="F12" s="92"/>
      <c r="G12" s="329"/>
      <c r="H12" s="3"/>
      <c r="I12" s="365"/>
      <c r="J12" s="26"/>
    </row>
    <row r="13" spans="1:26" ht="15.75" thickBot="1" x14ac:dyDescent="0.3">
      <c r="A13" s="248">
        <v>5</v>
      </c>
      <c r="B13" s="305" t="s">
        <v>343</v>
      </c>
      <c r="C13" s="345" t="s">
        <v>493</v>
      </c>
      <c r="D13" s="3"/>
      <c r="E13" s="298"/>
      <c r="F13" s="189"/>
      <c r="G13" s="330" t="s">
        <v>6</v>
      </c>
      <c r="H13" s="385"/>
      <c r="I13" s="365"/>
      <c r="J13" s="26"/>
    </row>
    <row r="14" spans="1:26" ht="15.75" thickBot="1" x14ac:dyDescent="0.3">
      <c r="A14" s="355" t="s">
        <v>342</v>
      </c>
      <c r="B14" s="305" t="s">
        <v>344</v>
      </c>
      <c r="C14" s="345" t="s">
        <v>493</v>
      </c>
      <c r="D14" s="3"/>
      <c r="E14" s="298"/>
      <c r="F14" s="189"/>
      <c r="G14" s="330"/>
      <c r="H14" s="385"/>
      <c r="I14" s="365"/>
      <c r="J14" s="26"/>
      <c r="Z14" s="37"/>
    </row>
    <row r="15" spans="1:26" ht="15.75" thickBot="1" x14ac:dyDescent="0.3">
      <c r="A15" s="248">
        <v>6</v>
      </c>
      <c r="B15" s="290" t="s">
        <v>150</v>
      </c>
      <c r="C15" s="291"/>
      <c r="D15" s="3"/>
      <c r="E15" s="324">
        <v>12</v>
      </c>
      <c r="F15" s="447"/>
      <c r="G15" s="331"/>
      <c r="H15" s="385"/>
      <c r="I15" s="365"/>
      <c r="J15" s="26"/>
      <c r="K15" s="2">
        <f>IF(ISBLANK('Hulpberekeningen 2'!$E$8),1,YEAR('Hulpberekeningen 2'!$E$8))</f>
        <v>1900</v>
      </c>
      <c r="L15" s="2">
        <f>+K15+1</f>
        <v>1901</v>
      </c>
      <c r="M15" s="2">
        <f t="shared" ref="M15:X15" si="0">+L15+1</f>
        <v>1902</v>
      </c>
      <c r="N15" s="2">
        <f t="shared" si="0"/>
        <v>1903</v>
      </c>
      <c r="O15" s="2">
        <f t="shared" si="0"/>
        <v>1904</v>
      </c>
      <c r="P15" s="2">
        <f t="shared" si="0"/>
        <v>1905</v>
      </c>
      <c r="Q15" s="2">
        <f t="shared" si="0"/>
        <v>1906</v>
      </c>
      <c r="R15" s="2">
        <f t="shared" si="0"/>
        <v>1907</v>
      </c>
      <c r="S15" s="2">
        <f t="shared" si="0"/>
        <v>1908</v>
      </c>
      <c r="T15" s="2">
        <f t="shared" si="0"/>
        <v>1909</v>
      </c>
      <c r="U15" s="2">
        <f t="shared" si="0"/>
        <v>1910</v>
      </c>
      <c r="V15" s="2">
        <f t="shared" si="0"/>
        <v>1911</v>
      </c>
      <c r="W15" s="2">
        <f t="shared" si="0"/>
        <v>1912</v>
      </c>
      <c r="X15" s="2">
        <f t="shared" si="0"/>
        <v>1913</v>
      </c>
      <c r="Y15" s="174"/>
      <c r="Z15" s="174"/>
    </row>
    <row r="16" spans="1:26" ht="15.75" thickBot="1" x14ac:dyDescent="0.3">
      <c r="A16" s="248">
        <v>7</v>
      </c>
      <c r="B16" s="290" t="s">
        <v>118</v>
      </c>
      <c r="C16" s="291"/>
      <c r="D16" s="3"/>
      <c r="E16" s="298"/>
      <c r="F16" s="189"/>
      <c r="G16" s="331"/>
      <c r="H16" s="385"/>
      <c r="I16" s="376"/>
      <c r="J16" s="147"/>
      <c r="K16" s="427">
        <f>+$E$16*'Hulpberekeningen 2'!E31</f>
        <v>0</v>
      </c>
      <c r="L16" s="427">
        <f>+$E$16*'Hulpberekeningen 2'!F31</f>
        <v>0</v>
      </c>
      <c r="M16" s="427">
        <f>+$E$16*'Hulpberekeningen 2'!G31</f>
        <v>0</v>
      </c>
      <c r="N16" s="427">
        <f>+$E$16*'Hulpberekeningen 2'!H31</f>
        <v>0</v>
      </c>
      <c r="O16" s="427">
        <f>+$E$16*'Hulpberekeningen 2'!I31</f>
        <v>0</v>
      </c>
      <c r="P16" s="427">
        <f>+$E$16*'Hulpberekeningen 2'!J31</f>
        <v>0</v>
      </c>
      <c r="Q16" s="427">
        <f>+$E$16*'Hulpberekeningen 2'!K31</f>
        <v>0</v>
      </c>
      <c r="R16" s="427">
        <f>+$E$16*'Hulpberekeningen 2'!L31</f>
        <v>0</v>
      </c>
      <c r="S16" s="427">
        <f>+$E$16*'Hulpberekeningen 2'!M31</f>
        <v>0</v>
      </c>
      <c r="T16" s="427">
        <f>+$E$16*'Hulpberekeningen 2'!N31</f>
        <v>0</v>
      </c>
      <c r="U16" s="427">
        <f>+$E$16*'Hulpberekeningen 2'!O31</f>
        <v>0</v>
      </c>
      <c r="V16" s="427">
        <f>+$E$16*'Hulpberekeningen 2'!P31</f>
        <v>0</v>
      </c>
      <c r="W16" s="427">
        <f>+$E$16*'Hulpberekeningen 2'!Q31</f>
        <v>0</v>
      </c>
      <c r="X16" s="427">
        <f>+$E$16*'Hulpberekeningen 2'!R24</f>
        <v>0</v>
      </c>
      <c r="Y16" s="568"/>
      <c r="Z16" s="568"/>
    </row>
    <row r="17" spans="1:36" ht="15.75" thickBot="1" x14ac:dyDescent="0.3">
      <c r="A17" s="355" t="s">
        <v>277</v>
      </c>
      <c r="B17" s="290" t="s">
        <v>276</v>
      </c>
      <c r="C17" s="291"/>
      <c r="D17" s="3"/>
      <c r="E17" s="298"/>
      <c r="F17" s="189"/>
      <c r="G17" s="331"/>
      <c r="H17" s="385"/>
      <c r="I17" s="376"/>
      <c r="J17" s="147"/>
      <c r="K17" s="428">
        <f>$E$17*'Hulpberekeningen 2'!E31</f>
        <v>0</v>
      </c>
      <c r="L17" s="428">
        <f>$E$17*'Hulpberekeningen 2'!F31</f>
        <v>0</v>
      </c>
      <c r="M17" s="428">
        <f>$E$17*'Hulpberekeningen 2'!G31</f>
        <v>0</v>
      </c>
      <c r="N17" s="428">
        <f>$E$17*'Hulpberekeningen 2'!H31</f>
        <v>0</v>
      </c>
      <c r="O17" s="428">
        <f>$E$17*'Hulpberekeningen 2'!I31</f>
        <v>0</v>
      </c>
      <c r="P17" s="428">
        <f>$E$17*'Hulpberekeningen 2'!J31</f>
        <v>0</v>
      </c>
      <c r="Q17" s="428">
        <f>$E$17*'Hulpberekeningen 2'!K31</f>
        <v>0</v>
      </c>
      <c r="R17" s="428">
        <f>$E$17*'Hulpberekeningen 2'!L31</f>
        <v>0</v>
      </c>
      <c r="S17" s="428">
        <f>$E$17*'Hulpberekeningen 2'!M31</f>
        <v>0</v>
      </c>
      <c r="T17" s="428">
        <f>$E$17*'Hulpberekeningen 2'!N31</f>
        <v>0</v>
      </c>
      <c r="U17" s="428">
        <f>$E$17*'Hulpberekeningen 2'!O31</f>
        <v>0</v>
      </c>
      <c r="V17" s="428">
        <f>$E$17*'Hulpberekeningen 2'!P31</f>
        <v>0</v>
      </c>
      <c r="W17" s="428">
        <f>$E$17*'Hulpberekeningen 2'!Q31</f>
        <v>0</v>
      </c>
      <c r="X17" s="428">
        <f>$E$17*'Hulpberekeningen 2'!R24</f>
        <v>0</v>
      </c>
      <c r="Y17" s="568"/>
      <c r="Z17" s="568"/>
    </row>
    <row r="18" spans="1:36" ht="15.75" thickBot="1" x14ac:dyDescent="0.3">
      <c r="B18" s="290"/>
      <c r="C18" s="291"/>
      <c r="D18" s="3"/>
      <c r="E18" s="26"/>
      <c r="F18" s="34"/>
      <c r="G18" s="332"/>
      <c r="H18" s="34"/>
      <c r="I18" s="34"/>
      <c r="J18" s="147"/>
      <c r="K18" s="421"/>
      <c r="L18" s="421"/>
      <c r="M18" s="38"/>
      <c r="N18" s="38"/>
      <c r="O18" s="38"/>
      <c r="P18" s="38"/>
      <c r="Q18" s="38"/>
      <c r="R18" s="38"/>
      <c r="S18" s="38"/>
      <c r="T18" s="38"/>
      <c r="U18" s="38"/>
      <c r="V18" s="38"/>
      <c r="W18" s="38"/>
      <c r="X18" s="38"/>
      <c r="Y18" s="37"/>
      <c r="Z18" s="37"/>
    </row>
    <row r="19" spans="1:36" ht="15.75" thickBot="1" x14ac:dyDescent="0.3">
      <c r="A19" s="248">
        <v>8</v>
      </c>
      <c r="B19" s="290" t="s">
        <v>447</v>
      </c>
      <c r="C19" s="344"/>
      <c r="D19" s="3"/>
      <c r="E19" s="4"/>
      <c r="F19" s="26"/>
      <c r="G19" s="330"/>
      <c r="H19" s="543">
        <f>AVERAGE(K19:X19)</f>
        <v>0</v>
      </c>
      <c r="I19" s="26"/>
      <c r="J19" s="147"/>
      <c r="K19" s="429">
        <f>+K16*$E$13</f>
        <v>0</v>
      </c>
      <c r="L19" s="429">
        <f t="shared" ref="L19:X19" si="1">+L16*$E$13</f>
        <v>0</v>
      </c>
      <c r="M19" s="429">
        <f t="shared" si="1"/>
        <v>0</v>
      </c>
      <c r="N19" s="429">
        <f t="shared" si="1"/>
        <v>0</v>
      </c>
      <c r="O19" s="429">
        <f t="shared" si="1"/>
        <v>0</v>
      </c>
      <c r="P19" s="429">
        <f t="shared" si="1"/>
        <v>0</v>
      </c>
      <c r="Q19" s="429">
        <f t="shared" si="1"/>
        <v>0</v>
      </c>
      <c r="R19" s="429">
        <f t="shared" si="1"/>
        <v>0</v>
      </c>
      <c r="S19" s="429">
        <f t="shared" si="1"/>
        <v>0</v>
      </c>
      <c r="T19" s="429">
        <f t="shared" si="1"/>
        <v>0</v>
      </c>
      <c r="U19" s="429">
        <f t="shared" si="1"/>
        <v>0</v>
      </c>
      <c r="V19" s="429">
        <f t="shared" si="1"/>
        <v>0</v>
      </c>
      <c r="W19" s="429">
        <f t="shared" si="1"/>
        <v>0</v>
      </c>
      <c r="X19" s="429">
        <f t="shared" si="1"/>
        <v>0</v>
      </c>
      <c r="Y19" s="555"/>
      <c r="Z19" s="555"/>
    </row>
    <row r="20" spans="1:36" ht="15.75" thickBot="1" x14ac:dyDescent="0.3">
      <c r="A20" s="467" t="s">
        <v>486</v>
      </c>
      <c r="B20" s="290" t="s">
        <v>448</v>
      </c>
      <c r="C20" s="291"/>
      <c r="D20" s="3"/>
      <c r="E20" s="212"/>
      <c r="F20" s="265"/>
      <c r="G20" s="332"/>
      <c r="H20" s="543">
        <f>AVERAGE(K20:X20)</f>
        <v>0</v>
      </c>
      <c r="I20" s="34"/>
      <c r="J20" s="147"/>
      <c r="K20" s="429">
        <f>+K17*$E$14</f>
        <v>0</v>
      </c>
      <c r="L20" s="429">
        <f t="shared" ref="L20:X20" si="2">+L17*$E$14</f>
        <v>0</v>
      </c>
      <c r="M20" s="429">
        <f t="shared" si="2"/>
        <v>0</v>
      </c>
      <c r="N20" s="429">
        <f t="shared" si="2"/>
        <v>0</v>
      </c>
      <c r="O20" s="429">
        <f t="shared" si="2"/>
        <v>0</v>
      </c>
      <c r="P20" s="429">
        <f t="shared" si="2"/>
        <v>0</v>
      </c>
      <c r="Q20" s="429">
        <f t="shared" si="2"/>
        <v>0</v>
      </c>
      <c r="R20" s="429">
        <f t="shared" si="2"/>
        <v>0</v>
      </c>
      <c r="S20" s="429">
        <f t="shared" si="2"/>
        <v>0</v>
      </c>
      <c r="T20" s="429">
        <f t="shared" si="2"/>
        <v>0</v>
      </c>
      <c r="U20" s="429">
        <f t="shared" si="2"/>
        <v>0</v>
      </c>
      <c r="V20" s="429">
        <f t="shared" si="2"/>
        <v>0</v>
      </c>
      <c r="W20" s="429">
        <f t="shared" si="2"/>
        <v>0</v>
      </c>
      <c r="X20" s="429">
        <f t="shared" si="2"/>
        <v>0</v>
      </c>
      <c r="Y20" s="555"/>
      <c r="Z20" s="555"/>
    </row>
    <row r="21" spans="1:36" ht="15.75" thickBot="1" x14ac:dyDescent="0.3">
      <c r="A21" s="467" t="s">
        <v>487</v>
      </c>
      <c r="B21" s="552" t="s">
        <v>443</v>
      </c>
      <c r="C21" s="553"/>
      <c r="D21" s="3"/>
      <c r="E21" s="212"/>
      <c r="F21" s="265"/>
      <c r="G21" s="332"/>
      <c r="H21" s="554"/>
      <c r="I21" s="34"/>
      <c r="J21" s="147"/>
      <c r="K21" s="559"/>
      <c r="L21" s="559"/>
      <c r="M21" s="559"/>
      <c r="N21" s="559"/>
      <c r="O21" s="559"/>
      <c r="P21" s="559"/>
      <c r="Q21" s="559"/>
      <c r="R21" s="559"/>
      <c r="S21" s="559"/>
      <c r="T21" s="559"/>
      <c r="U21" s="559"/>
      <c r="V21" s="559"/>
      <c r="W21" s="559"/>
      <c r="X21" s="559"/>
      <c r="Y21" s="555"/>
      <c r="Z21" s="555"/>
    </row>
    <row r="22" spans="1:36" ht="15.75" thickBot="1" x14ac:dyDescent="0.3">
      <c r="A22" s="467" t="s">
        <v>488</v>
      </c>
      <c r="B22" s="552" t="s">
        <v>444</v>
      </c>
      <c r="C22" s="553"/>
      <c r="D22" s="3"/>
      <c r="E22" s="212"/>
      <c r="F22" s="265"/>
      <c r="G22" s="332"/>
      <c r="H22" s="554"/>
      <c r="I22" s="34"/>
      <c r="J22" s="147"/>
      <c r="K22" s="559"/>
      <c r="L22" s="559"/>
      <c r="M22" s="559"/>
      <c r="N22" s="559"/>
      <c r="O22" s="559"/>
      <c r="P22" s="559"/>
      <c r="Q22" s="559"/>
      <c r="R22" s="559"/>
      <c r="S22" s="559"/>
      <c r="T22" s="559"/>
      <c r="U22" s="559"/>
      <c r="V22" s="559"/>
      <c r="W22" s="559"/>
      <c r="X22" s="559"/>
      <c r="Y22" s="555"/>
      <c r="Z22" s="555"/>
    </row>
    <row r="23" spans="1:36" ht="15.75" thickBot="1" x14ac:dyDescent="0.3">
      <c r="B23" s="290"/>
      <c r="C23" s="291"/>
      <c r="D23" s="3"/>
      <c r="E23" s="4"/>
      <c r="F23" s="265"/>
      <c r="G23" s="332"/>
      <c r="H23" s="34"/>
      <c r="I23" s="375"/>
      <c r="J23" s="147"/>
      <c r="K23" s="38"/>
      <c r="L23" s="38"/>
      <c r="M23" s="38"/>
      <c r="N23" s="38"/>
      <c r="O23" s="38"/>
      <c r="P23" s="38"/>
      <c r="Q23" s="38"/>
      <c r="R23" s="38"/>
      <c r="S23" s="38"/>
      <c r="T23" s="38"/>
      <c r="U23" s="38"/>
      <c r="V23" s="38"/>
      <c r="W23" s="38"/>
      <c r="X23" s="38"/>
      <c r="Y23" s="38"/>
      <c r="Z23" s="37"/>
    </row>
    <row r="24" spans="1:36" ht="15.75" thickBot="1" x14ac:dyDescent="0.3">
      <c r="A24" s="248">
        <v>9</v>
      </c>
      <c r="B24" s="290" t="s">
        <v>293</v>
      </c>
      <c r="C24" s="291"/>
      <c r="D24" s="3"/>
      <c r="E24" s="449"/>
      <c r="F24" s="446"/>
      <c r="G24" s="330" t="s">
        <v>6</v>
      </c>
      <c r="H24" s="34"/>
      <c r="I24" s="642"/>
      <c r="J24" s="643"/>
      <c r="K24" s="644"/>
      <c r="L24" s="38"/>
      <c r="M24" s="38"/>
      <c r="N24" s="38"/>
      <c r="O24" s="38"/>
      <c r="P24" s="38"/>
      <c r="Q24" s="38"/>
      <c r="R24" s="38"/>
      <c r="S24" s="38"/>
      <c r="T24" s="38"/>
      <c r="U24" s="38"/>
      <c r="V24" s="38"/>
      <c r="W24" s="38"/>
      <c r="X24" s="38"/>
      <c r="Y24" s="38"/>
      <c r="Z24" s="37"/>
    </row>
    <row r="25" spans="1:36" ht="15.75" thickBot="1" x14ac:dyDescent="0.3">
      <c r="A25" s="248">
        <v>10</v>
      </c>
      <c r="B25" s="290" t="s">
        <v>116</v>
      </c>
      <c r="C25" s="291"/>
      <c r="D25" s="3"/>
      <c r="E25" s="449"/>
      <c r="F25" s="213"/>
      <c r="G25" s="330" t="s">
        <v>6</v>
      </c>
      <c r="H25" s="34"/>
      <c r="I25" s="642" t="s">
        <v>521</v>
      </c>
      <c r="J25" s="645"/>
      <c r="K25" s="646"/>
      <c r="Z25" s="37"/>
    </row>
    <row r="26" spans="1:36" ht="15.75" thickBot="1" x14ac:dyDescent="0.3">
      <c r="A26" s="248">
        <v>11</v>
      </c>
      <c r="B26" s="290" t="s">
        <v>117</v>
      </c>
      <c r="C26" s="291"/>
      <c r="D26" s="3"/>
      <c r="E26" s="449"/>
      <c r="F26" s="213"/>
      <c r="G26" s="330" t="s">
        <v>6</v>
      </c>
      <c r="H26" s="5"/>
      <c r="I26" s="375"/>
      <c r="J26" s="147"/>
      <c r="Z26" s="37"/>
    </row>
    <row r="27" spans="1:36" ht="15" x14ac:dyDescent="0.25">
      <c r="B27" s="209"/>
      <c r="C27" s="209"/>
      <c r="D27" s="3"/>
      <c r="E27" s="266"/>
      <c r="F27" s="265"/>
      <c r="G27" s="333"/>
      <c r="H27" s="5"/>
      <c r="I27" s="375"/>
      <c r="J27" s="147"/>
      <c r="Z27" s="37"/>
    </row>
    <row r="28" spans="1:36" ht="15" x14ac:dyDescent="0.25">
      <c r="B28" s="142"/>
      <c r="C28" s="142"/>
      <c r="D28" s="3"/>
      <c r="E28" s="163"/>
      <c r="F28" s="5"/>
      <c r="G28" s="333"/>
      <c r="H28" s="5"/>
      <c r="I28" s="26"/>
      <c r="J28" s="147"/>
      <c r="Z28" s="37"/>
    </row>
    <row r="29" spans="1:36" ht="15.75" thickBot="1" x14ac:dyDescent="0.3">
      <c r="A29" s="249"/>
      <c r="B29" s="142" t="s">
        <v>296</v>
      </c>
      <c r="C29" s="142"/>
      <c r="D29" s="3"/>
      <c r="E29" s="210"/>
      <c r="F29" s="34"/>
      <c r="G29" s="332"/>
      <c r="H29" s="5"/>
      <c r="I29" s="207"/>
      <c r="J29" s="142"/>
      <c r="K29" s="207"/>
      <c r="L29" s="207"/>
      <c r="M29" s="207"/>
      <c r="N29" s="207"/>
      <c r="O29" s="207"/>
      <c r="P29" s="207"/>
      <c r="Q29" s="207"/>
      <c r="R29" s="207"/>
      <c r="S29" s="207"/>
      <c r="T29" s="207"/>
      <c r="U29" s="207"/>
      <c r="V29" s="207"/>
      <c r="W29" s="207"/>
      <c r="X29" s="207"/>
      <c r="Y29" s="207"/>
      <c r="Z29" s="207"/>
      <c r="AA29" s="6"/>
      <c r="AB29" s="6"/>
      <c r="AC29" s="6"/>
      <c r="AD29" s="6"/>
      <c r="AE29" s="6"/>
      <c r="AF29" s="6"/>
      <c r="AG29" s="6"/>
      <c r="AH29" s="6"/>
      <c r="AI29" s="6"/>
      <c r="AJ29" s="6"/>
    </row>
    <row r="30" spans="1:36" ht="15.75" thickBot="1" x14ac:dyDescent="0.3">
      <c r="A30" s="248">
        <v>12</v>
      </c>
      <c r="B30" s="290" t="s">
        <v>299</v>
      </c>
      <c r="C30" s="291"/>
      <c r="D30" s="3"/>
      <c r="E30" s="6"/>
      <c r="F30" s="34"/>
      <c r="G30" s="330" t="s">
        <v>6</v>
      </c>
      <c r="H30" s="34"/>
      <c r="I30" s="146">
        <f>NPV($E$75,K30:Y30)*'Hulpberekeningen 2'!$E$39*'Hulpberekeningen 2'!$E$46</f>
        <v>0</v>
      </c>
      <c r="J30" s="142"/>
      <c r="K30" s="268"/>
      <c r="L30" s="268"/>
      <c r="M30" s="268"/>
      <c r="N30" s="268"/>
      <c r="O30" s="268"/>
      <c r="P30" s="268"/>
      <c r="Q30" s="268"/>
      <c r="R30" s="268"/>
      <c r="S30" s="268"/>
      <c r="T30" s="268"/>
      <c r="U30" s="268"/>
      <c r="V30" s="268"/>
      <c r="W30" s="268"/>
      <c r="X30" s="341"/>
      <c r="Y30" s="341"/>
      <c r="Z30" s="347"/>
    </row>
    <row r="31" spans="1:36" ht="15" x14ac:dyDescent="0.25">
      <c r="B31" s="4"/>
      <c r="C31" s="4"/>
      <c r="D31" s="3"/>
      <c r="E31" s="6"/>
      <c r="F31" s="34"/>
      <c r="G31" s="330"/>
      <c r="H31" s="34"/>
      <c r="I31" s="207"/>
      <c r="J31" s="142"/>
      <c r="K31" s="346"/>
      <c r="L31" s="346"/>
      <c r="M31" s="346"/>
      <c r="N31" s="346"/>
      <c r="O31" s="346"/>
      <c r="P31" s="346"/>
      <c r="Q31" s="346"/>
      <c r="R31" s="346"/>
      <c r="S31" s="346"/>
      <c r="T31" s="346"/>
      <c r="U31" s="346"/>
      <c r="V31" s="346"/>
      <c r="W31" s="346"/>
      <c r="X31" s="347"/>
      <c r="Y31" s="347"/>
      <c r="Z31" s="347"/>
    </row>
    <row r="32" spans="1:36" ht="15.75" x14ac:dyDescent="0.25">
      <c r="A32" s="215"/>
      <c r="B32" s="137"/>
      <c r="C32" s="137"/>
      <c r="D32" s="3"/>
      <c r="E32" s="171"/>
      <c r="F32" s="188"/>
      <c r="G32" s="334"/>
      <c r="H32" s="3"/>
      <c r="I32" s="174"/>
      <c r="J32" s="147"/>
      <c r="K32" s="172"/>
      <c r="L32" s="171"/>
      <c r="M32" s="171"/>
      <c r="N32" s="171"/>
      <c r="O32" s="171"/>
      <c r="P32" s="171"/>
      <c r="Q32" s="171"/>
      <c r="R32" s="171"/>
      <c r="S32" s="171"/>
      <c r="T32" s="171"/>
      <c r="U32" s="171"/>
      <c r="V32" s="171"/>
      <c r="W32" s="171"/>
      <c r="X32" s="37"/>
      <c r="Z32" s="37"/>
    </row>
    <row r="33" spans="1:26" ht="15.75" thickBot="1" x14ac:dyDescent="0.3">
      <c r="A33" s="215"/>
      <c r="B33" s="147" t="s">
        <v>92</v>
      </c>
      <c r="C33" s="147"/>
      <c r="D33" s="3"/>
      <c r="E33" s="2"/>
      <c r="F33" s="6"/>
      <c r="G33" s="335"/>
      <c r="H33" s="188"/>
      <c r="I33" s="174"/>
      <c r="J33" s="147"/>
      <c r="K33" s="169"/>
      <c r="L33" s="169"/>
      <c r="M33" s="170"/>
      <c r="N33" s="170"/>
      <c r="O33" s="170"/>
      <c r="P33" s="170"/>
      <c r="Q33" s="170"/>
      <c r="R33" s="170"/>
      <c r="S33" s="170"/>
      <c r="T33" s="170"/>
      <c r="U33" s="170"/>
      <c r="V33" s="170"/>
      <c r="W33" s="170"/>
      <c r="X33" s="37"/>
      <c r="Z33" s="37"/>
    </row>
    <row r="34" spans="1:26" ht="15.75" thickBot="1" x14ac:dyDescent="0.3">
      <c r="A34" s="250">
        <v>13</v>
      </c>
      <c r="B34" s="290" t="s">
        <v>124</v>
      </c>
      <c r="C34" s="291"/>
      <c r="D34" s="3"/>
      <c r="E34" s="269"/>
      <c r="F34" s="189"/>
      <c r="G34" s="330" t="s">
        <v>6</v>
      </c>
      <c r="H34" s="107"/>
      <c r="I34" s="374"/>
      <c r="J34" s="168"/>
      <c r="K34" s="173"/>
      <c r="L34" s="173"/>
      <c r="M34" s="173"/>
      <c r="N34" s="173"/>
      <c r="O34" s="173"/>
      <c r="P34" s="173"/>
      <c r="Q34" s="173"/>
      <c r="R34" s="173"/>
      <c r="S34" s="173"/>
      <c r="T34" s="173"/>
      <c r="U34" s="173"/>
      <c r="V34" s="173"/>
      <c r="W34" s="173"/>
      <c r="X34" s="37"/>
    </row>
    <row r="35" spans="1:26" ht="15.75" thickBot="1" x14ac:dyDescent="0.3">
      <c r="A35" s="250">
        <v>14</v>
      </c>
      <c r="B35" s="290" t="s">
        <v>119</v>
      </c>
      <c r="C35" s="291"/>
      <c r="D35" s="3"/>
      <c r="E35" s="139"/>
      <c r="F35" s="189"/>
      <c r="G35" s="330" t="s">
        <v>6</v>
      </c>
      <c r="H35" s="107"/>
      <c r="I35" s="206"/>
      <c r="J35" s="147"/>
      <c r="K35" s="171"/>
      <c r="L35" s="171"/>
      <c r="M35" s="171"/>
      <c r="N35" s="171"/>
      <c r="O35" s="171"/>
      <c r="P35" s="171"/>
      <c r="Q35" s="171"/>
      <c r="R35" s="171"/>
      <c r="S35" s="171"/>
      <c r="T35" s="171"/>
      <c r="U35" s="171"/>
      <c r="V35" s="171"/>
      <c r="W35" s="171"/>
      <c r="X35" s="37"/>
    </row>
    <row r="36" spans="1:26" ht="15" x14ac:dyDescent="0.25">
      <c r="A36" s="250"/>
      <c r="B36" s="209"/>
      <c r="C36" s="209"/>
      <c r="D36" s="3"/>
      <c r="E36" s="195"/>
      <c r="F36" s="265"/>
      <c r="G36" s="336"/>
      <c r="H36" s="544"/>
      <c r="I36" s="206"/>
      <c r="J36" s="147"/>
      <c r="K36" s="171"/>
      <c r="L36" s="171"/>
      <c r="M36" s="171"/>
      <c r="N36" s="171"/>
      <c r="O36" s="171"/>
      <c r="P36" s="171"/>
      <c r="Q36" s="171"/>
      <c r="R36" s="171"/>
      <c r="S36" s="171"/>
      <c r="T36" s="171"/>
      <c r="U36" s="171"/>
      <c r="V36" s="171"/>
      <c r="W36" s="171"/>
      <c r="X36" s="37"/>
    </row>
    <row r="37" spans="1:26" ht="14.25" x14ac:dyDescent="0.2">
      <c r="A37" s="250"/>
      <c r="B37" s="2"/>
      <c r="C37" s="2"/>
      <c r="D37" s="3"/>
      <c r="E37" s="2"/>
      <c r="F37" s="2"/>
      <c r="G37" s="337"/>
      <c r="H37" s="544"/>
      <c r="I37" s="174"/>
      <c r="J37" s="147"/>
      <c r="K37" s="173"/>
      <c r="L37" s="171"/>
      <c r="M37" s="169"/>
      <c r="N37" s="171"/>
      <c r="O37" s="169"/>
      <c r="P37" s="171"/>
      <c r="Q37" s="171"/>
      <c r="R37" s="171"/>
      <c r="S37" s="171"/>
      <c r="T37" s="171"/>
      <c r="U37" s="171"/>
      <c r="V37" s="171"/>
      <c r="W37" s="171"/>
      <c r="X37" s="37"/>
    </row>
    <row r="38" spans="1:26" ht="15" thickBot="1" x14ac:dyDescent="0.25">
      <c r="A38" s="250"/>
      <c r="B38" s="147" t="s">
        <v>53</v>
      </c>
      <c r="C38" s="147"/>
      <c r="D38" s="3"/>
      <c r="E38" s="2"/>
      <c r="F38" s="2"/>
      <c r="G38" s="337"/>
      <c r="H38" s="2"/>
      <c r="I38" s="174"/>
      <c r="J38" s="147"/>
      <c r="K38" s="174"/>
      <c r="L38" s="37"/>
      <c r="M38" s="174"/>
      <c r="N38" s="37"/>
      <c r="O38" s="174"/>
      <c r="P38" s="37"/>
      <c r="Q38" s="37"/>
      <c r="R38" s="37"/>
      <c r="S38" s="37"/>
      <c r="T38" s="37"/>
      <c r="U38" s="37"/>
      <c r="V38" s="37"/>
      <c r="W38" s="37"/>
      <c r="X38" s="37"/>
    </row>
    <row r="39" spans="1:26" ht="15.75" thickBot="1" x14ac:dyDescent="0.3">
      <c r="A39" s="250">
        <v>15</v>
      </c>
      <c r="B39" s="552" t="s">
        <v>524</v>
      </c>
      <c r="C39" s="291"/>
      <c r="D39" s="3"/>
      <c r="E39" s="270"/>
      <c r="F39" s="189"/>
      <c r="G39" s="330" t="s">
        <v>6</v>
      </c>
      <c r="H39" s="2"/>
      <c r="I39" s="372"/>
      <c r="J39" s="147"/>
    </row>
    <row r="40" spans="1:26" ht="15.75" thickBot="1" x14ac:dyDescent="0.3">
      <c r="A40" s="250">
        <v>16</v>
      </c>
      <c r="B40" s="552" t="s">
        <v>524</v>
      </c>
      <c r="C40" s="291"/>
      <c r="D40" s="3"/>
      <c r="E40" s="270"/>
      <c r="F40" s="189"/>
      <c r="G40" s="330" t="s">
        <v>6</v>
      </c>
      <c r="H40" s="36"/>
      <c r="I40" s="372"/>
      <c r="J40" s="147"/>
    </row>
    <row r="41" spans="1:26" ht="15.75" thickBot="1" x14ac:dyDescent="0.3">
      <c r="A41" s="250">
        <v>17</v>
      </c>
      <c r="B41" s="552" t="s">
        <v>524</v>
      </c>
      <c r="C41" s="291"/>
      <c r="D41" s="3"/>
      <c r="E41" s="270"/>
      <c r="F41" s="189"/>
      <c r="G41" s="330" t="s">
        <v>6</v>
      </c>
      <c r="H41" s="36"/>
      <c r="I41" s="372"/>
      <c r="J41" s="147"/>
    </row>
    <row r="42" spans="1:26" ht="15.75" thickBot="1" x14ac:dyDescent="0.3">
      <c r="A42" s="250">
        <v>18</v>
      </c>
      <c r="B42" s="290" t="s">
        <v>135</v>
      </c>
      <c r="C42" s="291"/>
      <c r="D42" s="3"/>
      <c r="E42" s="271"/>
      <c r="F42" s="189"/>
      <c r="G42" s="330" t="s">
        <v>6</v>
      </c>
      <c r="H42" s="36"/>
      <c r="I42" s="372"/>
      <c r="J42" s="147"/>
    </row>
    <row r="43" spans="1:26" ht="15.75" thickBot="1" x14ac:dyDescent="0.3">
      <c r="A43" s="250">
        <v>19</v>
      </c>
      <c r="B43" s="290" t="s">
        <v>147</v>
      </c>
      <c r="C43" s="291"/>
      <c r="D43" s="3"/>
      <c r="E43" s="271"/>
      <c r="F43" s="202"/>
      <c r="G43" s="330" t="s">
        <v>6</v>
      </c>
      <c r="H43" s="36"/>
      <c r="I43" s="26"/>
      <c r="J43" s="147"/>
    </row>
    <row r="44" spans="1:26" ht="15.75" thickBot="1" x14ac:dyDescent="0.3">
      <c r="A44" s="250">
        <v>20</v>
      </c>
      <c r="B44" s="290" t="s">
        <v>27</v>
      </c>
      <c r="C44" s="291"/>
      <c r="D44" s="3"/>
      <c r="E44" s="278">
        <f>SUM(E39:E43)</f>
        <v>0</v>
      </c>
      <c r="F44" s="26"/>
      <c r="G44" s="332"/>
      <c r="H44" s="34"/>
      <c r="I44" s="26"/>
      <c r="J44" s="147"/>
    </row>
    <row r="45" spans="1:26" ht="15" x14ac:dyDescent="0.25">
      <c r="A45" s="250"/>
      <c r="B45" s="34"/>
      <c r="C45" s="34"/>
      <c r="D45" s="3"/>
      <c r="E45" s="149"/>
      <c r="F45" s="26"/>
      <c r="G45" s="332"/>
      <c r="H45" s="34"/>
      <c r="I45" s="26"/>
      <c r="J45" s="147"/>
      <c r="K45" s="38"/>
      <c r="L45" s="38"/>
      <c r="M45" s="38"/>
      <c r="N45" s="38"/>
    </row>
    <row r="46" spans="1:26" ht="15" x14ac:dyDescent="0.25">
      <c r="A46" s="250"/>
      <c r="B46" s="26"/>
      <c r="C46" s="26"/>
      <c r="D46" s="3"/>
      <c r="E46" s="26"/>
      <c r="F46" s="26"/>
      <c r="G46" s="332"/>
      <c r="H46" s="34"/>
      <c r="I46" s="26"/>
      <c r="J46" s="147" t="s">
        <v>386</v>
      </c>
      <c r="K46" s="430"/>
      <c r="L46" s="38"/>
      <c r="M46" s="38"/>
      <c r="N46" s="38"/>
    </row>
    <row r="47" spans="1:26" ht="15.75" thickBot="1" x14ac:dyDescent="0.3">
      <c r="A47" s="250"/>
      <c r="B47" s="85" t="s">
        <v>54</v>
      </c>
      <c r="C47" s="85"/>
      <c r="D47" s="3"/>
      <c r="E47" s="47"/>
      <c r="F47" s="47"/>
      <c r="G47" s="338"/>
      <c r="H47" s="34"/>
      <c r="I47" s="373" t="s">
        <v>95</v>
      </c>
      <c r="J47" s="147"/>
      <c r="K47" s="421"/>
      <c r="L47" s="421"/>
      <c r="M47" s="431"/>
      <c r="N47" s="431"/>
      <c r="O47" s="151"/>
      <c r="P47" s="151"/>
      <c r="Q47" s="151"/>
      <c r="R47" s="151"/>
      <c r="S47" s="151"/>
      <c r="T47" s="151"/>
      <c r="U47" s="151"/>
      <c r="V47" s="151"/>
      <c r="W47" s="151"/>
      <c r="X47" s="151"/>
      <c r="Y47" s="151"/>
      <c r="Z47" s="319"/>
    </row>
    <row r="48" spans="1:26" ht="15.75" thickBot="1" x14ac:dyDescent="0.3">
      <c r="A48" s="250">
        <v>21</v>
      </c>
      <c r="B48" s="290" t="s">
        <v>181</v>
      </c>
      <c r="C48" s="291"/>
      <c r="D48" s="3"/>
      <c r="E48" s="141"/>
      <c r="F48" s="213"/>
      <c r="G48" s="330" t="s">
        <v>6</v>
      </c>
      <c r="H48" s="34"/>
      <c r="I48" s="354"/>
      <c r="J48" s="147"/>
      <c r="K48" s="46"/>
      <c r="L48" s="2"/>
      <c r="M48" s="151"/>
      <c r="N48" s="151"/>
      <c r="O48" s="151"/>
      <c r="P48" s="151"/>
      <c r="Q48" s="151"/>
      <c r="R48" s="151"/>
      <c r="S48" s="151"/>
      <c r="T48" s="151"/>
      <c r="U48" s="151"/>
      <c r="V48" s="151"/>
      <c r="W48" s="151"/>
      <c r="Z48" s="37"/>
    </row>
    <row r="49" spans="1:29" ht="15.75" thickBot="1" x14ac:dyDescent="0.3">
      <c r="A49" s="250">
        <v>22</v>
      </c>
      <c r="B49" s="290" t="s">
        <v>235</v>
      </c>
      <c r="C49" s="291"/>
      <c r="D49" s="3"/>
      <c r="E49" s="141"/>
      <c r="F49" s="257"/>
      <c r="G49" s="330" t="s">
        <v>6</v>
      </c>
      <c r="H49" s="34"/>
      <c r="I49" s="354"/>
      <c r="J49" s="147"/>
      <c r="K49" s="2">
        <f>K15</f>
        <v>1900</v>
      </c>
      <c r="L49" s="2">
        <f>+K49+1</f>
        <v>1901</v>
      </c>
      <c r="M49" s="2">
        <f t="shared" ref="M49:Y49" si="3">+L49+1</f>
        <v>1902</v>
      </c>
      <c r="N49" s="2">
        <f t="shared" si="3"/>
        <v>1903</v>
      </c>
      <c r="O49" s="2">
        <f t="shared" si="3"/>
        <v>1904</v>
      </c>
      <c r="P49" s="2">
        <f t="shared" si="3"/>
        <v>1905</v>
      </c>
      <c r="Q49" s="2">
        <f t="shared" si="3"/>
        <v>1906</v>
      </c>
      <c r="R49" s="2">
        <f t="shared" si="3"/>
        <v>1907</v>
      </c>
      <c r="S49" s="2">
        <f t="shared" si="3"/>
        <v>1908</v>
      </c>
      <c r="T49" s="2">
        <f t="shared" si="3"/>
        <v>1909</v>
      </c>
      <c r="U49" s="2">
        <f t="shared" si="3"/>
        <v>1910</v>
      </c>
      <c r="V49" s="2">
        <f t="shared" si="3"/>
        <v>1911</v>
      </c>
      <c r="W49" s="2">
        <f t="shared" si="3"/>
        <v>1912</v>
      </c>
      <c r="X49" s="2">
        <f t="shared" si="3"/>
        <v>1913</v>
      </c>
      <c r="Y49" s="2">
        <f t="shared" si="3"/>
        <v>1914</v>
      </c>
      <c r="Z49" s="174"/>
    </row>
    <row r="50" spans="1:29" ht="15.75" thickBot="1" x14ac:dyDescent="0.3">
      <c r="A50" s="250">
        <v>23</v>
      </c>
      <c r="B50" s="290" t="s">
        <v>136</v>
      </c>
      <c r="C50" s="291"/>
      <c r="D50" s="3"/>
      <c r="E50" s="270"/>
      <c r="F50" s="213"/>
      <c r="G50" s="330" t="s">
        <v>6</v>
      </c>
      <c r="H50" s="34"/>
      <c r="I50" s="354"/>
      <c r="J50" s="147"/>
      <c r="K50" t="s">
        <v>33</v>
      </c>
      <c r="Z50" s="37"/>
    </row>
    <row r="51" spans="1:29" ht="15.75" thickBot="1" x14ac:dyDescent="0.3">
      <c r="A51" s="250">
        <v>24</v>
      </c>
      <c r="B51" s="290" t="s">
        <v>102</v>
      </c>
      <c r="C51" s="291"/>
      <c r="D51" s="3"/>
      <c r="E51" s="273">
        <f>E50*E49</f>
        <v>0</v>
      </c>
      <c r="F51" s="213"/>
      <c r="G51" s="330" t="s">
        <v>6</v>
      </c>
      <c r="I51" s="146">
        <f>NPV($E$75,K51:Y51)*'Hulpberekeningen 2'!$E$39</f>
        <v>0</v>
      </c>
      <c r="J51" s="147"/>
      <c r="K51" s="267">
        <f>E51</f>
        <v>0</v>
      </c>
      <c r="L51" s="267"/>
      <c r="M51" s="267"/>
      <c r="N51" s="267"/>
      <c r="O51" s="267"/>
      <c r="P51" s="267"/>
      <c r="Q51" s="267"/>
      <c r="R51" s="267"/>
      <c r="S51" s="267"/>
      <c r="T51" s="267"/>
      <c r="U51" s="267"/>
      <c r="V51" s="267"/>
      <c r="W51" s="267"/>
      <c r="X51" s="318"/>
      <c r="Y51" s="318"/>
      <c r="Z51" s="569"/>
    </row>
    <row r="52" spans="1:29" ht="15.75" thickBot="1" x14ac:dyDescent="0.3">
      <c r="A52" s="250">
        <v>25</v>
      </c>
      <c r="B52" s="290" t="s">
        <v>34</v>
      </c>
      <c r="C52" s="291"/>
      <c r="D52" s="3"/>
      <c r="E52" s="274">
        <f>NPV($E$75,$K$51:$W$51)*E48*'Hulpberekeningen 2'!E39</f>
        <v>0</v>
      </c>
      <c r="F52" s="134"/>
      <c r="G52" s="330" t="s">
        <v>6</v>
      </c>
      <c r="H52" s="34"/>
      <c r="I52" s="26"/>
      <c r="J52" s="147"/>
      <c r="K52" s="26"/>
      <c r="L52" s="26"/>
      <c r="M52" s="26"/>
      <c r="N52" s="26"/>
      <c r="O52" s="26"/>
      <c r="P52" s="26"/>
      <c r="Q52" s="26"/>
      <c r="R52" s="26"/>
      <c r="S52" s="26"/>
      <c r="T52" s="26"/>
      <c r="U52" s="26"/>
      <c r="V52" s="26"/>
      <c r="W52" s="26"/>
      <c r="X52" s="26"/>
      <c r="Y52" s="26"/>
      <c r="Z52" s="26"/>
      <c r="AA52" s="26"/>
      <c r="AB52" s="26"/>
      <c r="AC52" s="26"/>
    </row>
    <row r="53" spans="1:29" ht="15.75" thickBot="1" x14ac:dyDescent="0.3">
      <c r="A53" s="250"/>
      <c r="B53" s="290"/>
      <c r="C53" s="291"/>
      <c r="D53" s="3"/>
      <c r="E53" s="259"/>
      <c r="F53" s="26"/>
      <c r="G53" s="332"/>
      <c r="H53" s="545"/>
      <c r="I53" s="26"/>
      <c r="J53" s="147"/>
      <c r="K53" s="21" t="s">
        <v>32</v>
      </c>
      <c r="Z53" s="37"/>
    </row>
    <row r="54" spans="1:29" ht="15.75" thickBot="1" x14ac:dyDescent="0.3">
      <c r="A54" s="250">
        <v>26</v>
      </c>
      <c r="B54" s="290" t="s">
        <v>281</v>
      </c>
      <c r="C54" s="291"/>
      <c r="D54" s="3"/>
      <c r="E54" s="270"/>
      <c r="F54" s="213"/>
      <c r="G54" s="330" t="s">
        <v>6</v>
      </c>
      <c r="H54" s="34"/>
      <c r="I54" s="146">
        <f>NPV($E$75,K54:Y54)*'Hulpberekeningen 2'!$E$39</f>
        <v>0</v>
      </c>
      <c r="J54" s="147"/>
      <c r="K54" s="267">
        <f>E54</f>
        <v>0</v>
      </c>
      <c r="L54" s="267"/>
      <c r="M54" s="267"/>
      <c r="N54" s="267"/>
      <c r="O54" s="267"/>
      <c r="P54" s="267"/>
      <c r="Q54" s="267"/>
      <c r="R54" s="267"/>
      <c r="S54" s="267"/>
      <c r="T54" s="267"/>
      <c r="U54" s="267"/>
      <c r="V54" s="267"/>
      <c r="W54" s="267"/>
      <c r="X54" s="318"/>
      <c r="Y54" s="318"/>
      <c r="Z54" s="569"/>
    </row>
    <row r="55" spans="1:29" ht="15.75" thickBot="1" x14ac:dyDescent="0.3">
      <c r="A55" s="250">
        <v>27</v>
      </c>
      <c r="B55" s="290" t="s">
        <v>282</v>
      </c>
      <c r="C55" s="291"/>
      <c r="D55" s="3"/>
      <c r="E55" s="461">
        <f>IF(+'VAMIL voordeel'!C14&lt;0,0,+'VAMIL voordeel'!C14)</f>
        <v>0</v>
      </c>
      <c r="G55" s="330" t="s">
        <v>6</v>
      </c>
      <c r="I55" s="47"/>
      <c r="J55" s="147"/>
      <c r="K55" s="18"/>
      <c r="L55" s="47"/>
      <c r="M55" s="47"/>
      <c r="N55" s="47"/>
      <c r="O55" s="47"/>
      <c r="P55" s="47"/>
      <c r="Q55" s="47"/>
      <c r="R55" s="47"/>
      <c r="S55" s="47"/>
      <c r="T55" s="47"/>
      <c r="Z55" s="37"/>
    </row>
    <row r="56" spans="1:29" ht="15.75" thickBot="1" x14ac:dyDescent="0.3">
      <c r="A56" s="250"/>
      <c r="B56" s="290"/>
      <c r="C56" s="291"/>
      <c r="D56" s="3"/>
      <c r="E56" s="258"/>
      <c r="G56" s="338"/>
      <c r="H56" s="545"/>
      <c r="I56" s="47"/>
      <c r="J56" s="147"/>
      <c r="K56" s="18" t="s">
        <v>35</v>
      </c>
      <c r="L56" s="47"/>
      <c r="M56" s="47"/>
      <c r="N56" s="47"/>
      <c r="O56" s="47"/>
      <c r="P56" s="47"/>
      <c r="Q56" s="47"/>
      <c r="R56" s="47"/>
      <c r="S56" s="47"/>
      <c r="T56" s="47"/>
      <c r="Z56" s="37"/>
    </row>
    <row r="57" spans="1:29" ht="15.75" thickBot="1" x14ac:dyDescent="0.3">
      <c r="A57" s="250">
        <v>28</v>
      </c>
      <c r="B57" s="290" t="s">
        <v>137</v>
      </c>
      <c r="C57" s="291"/>
      <c r="D57" s="3"/>
      <c r="E57" s="270"/>
      <c r="F57" s="213"/>
      <c r="G57" s="330" t="s">
        <v>6</v>
      </c>
      <c r="H57" s="34"/>
      <c r="I57" s="146">
        <f>NPV($E$75,K57:Y57)*'Hulpberekeningen 2'!$E$39</f>
        <v>0</v>
      </c>
      <c r="J57" s="147"/>
      <c r="K57" s="267">
        <f>E59</f>
        <v>0</v>
      </c>
      <c r="L57" s="267"/>
      <c r="M57" s="267"/>
      <c r="N57" s="267"/>
      <c r="O57" s="267"/>
      <c r="P57" s="267"/>
      <c r="Q57" s="267"/>
      <c r="R57" s="267"/>
      <c r="S57" s="267"/>
      <c r="T57" s="267"/>
      <c r="U57" s="267"/>
      <c r="V57" s="267"/>
      <c r="W57" s="267"/>
      <c r="X57" s="318"/>
      <c r="Y57" s="318"/>
      <c r="Z57" s="569"/>
    </row>
    <row r="58" spans="1:29" ht="15.75" thickBot="1" x14ac:dyDescent="0.3">
      <c r="A58" s="250">
        <v>29</v>
      </c>
      <c r="B58" s="290" t="s">
        <v>37</v>
      </c>
      <c r="C58" s="291"/>
      <c r="D58" s="3"/>
      <c r="E58" s="272"/>
      <c r="F58" s="213"/>
      <c r="G58" s="330" t="s">
        <v>6</v>
      </c>
      <c r="I58" s="47"/>
      <c r="J58" s="147"/>
      <c r="K58" s="18"/>
      <c r="L58" s="47"/>
      <c r="M58" s="47"/>
      <c r="N58" s="47"/>
      <c r="O58" s="47"/>
      <c r="P58" s="47"/>
      <c r="Q58" s="47"/>
      <c r="R58" s="47"/>
      <c r="S58" s="47"/>
      <c r="T58" s="47"/>
      <c r="Z58" s="37"/>
    </row>
    <row r="59" spans="1:29" ht="15.75" thickBot="1" x14ac:dyDescent="0.3">
      <c r="A59" s="250">
        <v>30</v>
      </c>
      <c r="B59" s="290" t="s">
        <v>52</v>
      </c>
      <c r="C59" s="291"/>
      <c r="D59" s="3"/>
      <c r="E59" s="275">
        <f>E57*E58</f>
        <v>0</v>
      </c>
      <c r="F59" s="47"/>
      <c r="G59" s="330" t="s">
        <v>6</v>
      </c>
      <c r="H59" s="34"/>
      <c r="I59" s="47"/>
      <c r="J59" s="147"/>
      <c r="K59" s="18"/>
      <c r="L59" s="47"/>
      <c r="M59" s="47"/>
      <c r="N59" s="47"/>
      <c r="O59" s="47"/>
      <c r="P59" s="47"/>
      <c r="Q59" s="47"/>
      <c r="R59" s="47"/>
      <c r="S59" s="47"/>
      <c r="T59" s="47"/>
      <c r="Z59" s="37"/>
    </row>
    <row r="60" spans="1:29" ht="15.75" thickBot="1" x14ac:dyDescent="0.3">
      <c r="A60" s="250">
        <v>31</v>
      </c>
      <c r="B60" s="290" t="s">
        <v>36</v>
      </c>
      <c r="C60" s="291"/>
      <c r="D60" s="3"/>
      <c r="E60" s="276">
        <f>NPV($E$75,K57:W57)*E48*'Hulpberekeningen 2'!E39</f>
        <v>0</v>
      </c>
      <c r="F60" s="135"/>
      <c r="G60" s="330" t="s">
        <v>6</v>
      </c>
      <c r="H60" s="34"/>
      <c r="I60" s="47"/>
      <c r="J60" s="147"/>
      <c r="K60" s="47"/>
      <c r="L60" s="47"/>
      <c r="M60" s="47"/>
      <c r="N60" s="47"/>
      <c r="O60" s="47"/>
      <c r="P60" s="47"/>
      <c r="Z60" s="37"/>
    </row>
    <row r="61" spans="1:29" ht="15.75" thickBot="1" x14ac:dyDescent="0.3">
      <c r="A61" s="250">
        <v>32</v>
      </c>
      <c r="B61" s="290" t="s">
        <v>239</v>
      </c>
      <c r="C61" s="291"/>
      <c r="D61" s="3"/>
      <c r="E61" s="277">
        <f>+E60+E55+E52</f>
        <v>0</v>
      </c>
      <c r="F61" s="47"/>
      <c r="G61" s="338"/>
      <c r="H61" s="545"/>
      <c r="I61" s="47"/>
      <c r="J61" s="147"/>
      <c r="K61" s="47"/>
      <c r="L61" s="47"/>
      <c r="M61" s="47"/>
      <c r="N61" s="47"/>
      <c r="O61" s="47"/>
      <c r="P61" s="47"/>
      <c r="Z61" s="37"/>
    </row>
    <row r="62" spans="1:29" ht="15" x14ac:dyDescent="0.25">
      <c r="A62" s="250"/>
      <c r="B62" s="85"/>
      <c r="C62" s="85"/>
      <c r="D62" s="3"/>
      <c r="E62" s="149"/>
      <c r="F62" s="47"/>
      <c r="G62" s="338"/>
      <c r="H62" s="34"/>
      <c r="I62" s="47"/>
      <c r="J62" s="147"/>
      <c r="K62" s="47"/>
      <c r="L62" s="47"/>
      <c r="M62" s="47"/>
      <c r="N62" s="47"/>
      <c r="O62" s="47"/>
      <c r="P62" s="47"/>
      <c r="Z62" s="37"/>
    </row>
    <row r="63" spans="1:29" ht="15" x14ac:dyDescent="0.25">
      <c r="A63" s="250"/>
      <c r="B63" s="85"/>
      <c r="C63" s="85"/>
      <c r="D63" s="3"/>
      <c r="E63" s="149"/>
      <c r="F63" s="47"/>
      <c r="G63" s="338"/>
      <c r="H63" s="34"/>
      <c r="I63" s="47"/>
      <c r="J63" s="147"/>
      <c r="K63" s="47"/>
      <c r="L63" s="47"/>
      <c r="M63" s="47"/>
      <c r="N63" s="47"/>
      <c r="O63" s="47"/>
      <c r="P63" s="47"/>
    </row>
    <row r="64" spans="1:29" ht="15.75" thickBot="1" x14ac:dyDescent="0.3">
      <c r="A64" s="250"/>
      <c r="B64" s="85" t="s">
        <v>93</v>
      </c>
      <c r="C64" s="85"/>
      <c r="D64" s="3"/>
      <c r="E64" s="47"/>
      <c r="F64" s="47"/>
      <c r="G64" s="338"/>
      <c r="H64" s="34"/>
      <c r="I64" s="47"/>
      <c r="J64" s="147"/>
      <c r="K64" s="47"/>
      <c r="L64" s="47"/>
      <c r="M64" s="47"/>
      <c r="N64" s="47"/>
      <c r="O64" s="47"/>
      <c r="P64" s="47"/>
    </row>
    <row r="65" spans="1:26" ht="15.75" thickBot="1" x14ac:dyDescent="0.3">
      <c r="A65" s="260">
        <v>33</v>
      </c>
      <c r="B65" s="290" t="s">
        <v>121</v>
      </c>
      <c r="C65" s="291"/>
      <c r="D65" s="3"/>
      <c r="E65" s="281">
        <f>+E34-E44</f>
        <v>0</v>
      </c>
      <c r="F65" s="26"/>
      <c r="G65" s="330" t="s">
        <v>6</v>
      </c>
      <c r="H65" s="34"/>
      <c r="I65" s="26"/>
      <c r="J65" s="147"/>
      <c r="K65" s="47"/>
      <c r="L65" s="47"/>
      <c r="M65" s="47"/>
      <c r="N65" s="47"/>
      <c r="O65" s="47"/>
      <c r="P65" s="47"/>
    </row>
    <row r="66" spans="1:26" ht="15.75" thickBot="1" x14ac:dyDescent="0.3">
      <c r="A66" s="261">
        <v>34</v>
      </c>
      <c r="B66" s="290" t="s">
        <v>138</v>
      </c>
      <c r="C66" s="291"/>
      <c r="D66" s="3"/>
      <c r="E66" s="282">
        <f>+E34-E44-E61</f>
        <v>0</v>
      </c>
      <c r="F66" s="47"/>
      <c r="G66" s="330" t="s">
        <v>6</v>
      </c>
      <c r="H66" s="34"/>
      <c r="I66" s="26"/>
      <c r="J66" s="147"/>
    </row>
    <row r="67" spans="1:26" ht="15.75" thickBot="1" x14ac:dyDescent="0.3">
      <c r="A67" s="261">
        <v>35</v>
      </c>
      <c r="B67" s="290" t="s">
        <v>19</v>
      </c>
      <c r="C67" s="291"/>
      <c r="D67" s="3"/>
      <c r="E67" s="326">
        <v>0.222</v>
      </c>
      <c r="F67" s="213"/>
      <c r="G67" s="330" t="s">
        <v>6</v>
      </c>
      <c r="H67" s="34"/>
      <c r="I67" s="26"/>
      <c r="J67" s="147"/>
      <c r="Q67" s="38"/>
    </row>
    <row r="68" spans="1:26" ht="15.75" thickBot="1" x14ac:dyDescent="0.3">
      <c r="A68" s="261">
        <v>36</v>
      </c>
      <c r="B68" s="290" t="s">
        <v>20</v>
      </c>
      <c r="C68" s="291"/>
      <c r="D68" s="3"/>
      <c r="E68" s="325">
        <f>(1-E67)</f>
        <v>0.77800000000000002</v>
      </c>
      <c r="F68" s="213"/>
      <c r="G68" s="330" t="s">
        <v>6</v>
      </c>
      <c r="H68" s="34"/>
      <c r="I68" s="26"/>
      <c r="J68" s="147"/>
      <c r="K68" s="165"/>
    </row>
    <row r="69" spans="1:26" ht="15.75" thickBot="1" x14ac:dyDescent="0.3">
      <c r="A69" s="261">
        <v>37</v>
      </c>
      <c r="B69" s="290" t="s">
        <v>19</v>
      </c>
      <c r="C69" s="291"/>
      <c r="D69" s="3"/>
      <c r="E69" s="280">
        <f>E66*E67</f>
        <v>0</v>
      </c>
      <c r="F69" s="26"/>
      <c r="G69" s="332"/>
      <c r="H69" s="34"/>
      <c r="I69" s="26"/>
      <c r="J69" s="147"/>
    </row>
    <row r="70" spans="1:26" ht="15.75" thickBot="1" x14ac:dyDescent="0.3">
      <c r="A70" s="261">
        <v>38</v>
      </c>
      <c r="B70" s="290" t="s">
        <v>14</v>
      </c>
      <c r="C70" s="291"/>
      <c r="D70" s="3"/>
      <c r="E70" s="279">
        <f>E66*E68</f>
        <v>0</v>
      </c>
      <c r="F70" s="136"/>
      <c r="G70" s="339"/>
      <c r="H70" s="34"/>
      <c r="I70" s="134"/>
      <c r="J70" s="147"/>
      <c r="K70" s="165"/>
    </row>
    <row r="71" spans="1:26" ht="15.75" thickBot="1" x14ac:dyDescent="0.3">
      <c r="A71" s="261">
        <v>39</v>
      </c>
      <c r="B71" s="290" t="s">
        <v>139</v>
      </c>
      <c r="C71" s="291"/>
      <c r="D71" s="3"/>
      <c r="E71" s="269"/>
      <c r="F71" s="213"/>
      <c r="G71" s="330" t="s">
        <v>6</v>
      </c>
      <c r="H71" s="155"/>
      <c r="I71" s="26"/>
      <c r="J71" s="147"/>
    </row>
    <row r="72" spans="1:26" ht="15.75" thickBot="1" x14ac:dyDescent="0.3">
      <c r="A72" s="261">
        <v>40</v>
      </c>
      <c r="B72" s="290" t="s">
        <v>319</v>
      </c>
      <c r="C72" s="291"/>
      <c r="D72" s="3"/>
      <c r="E72" s="279">
        <f>+'Rendement geinv. vermogen'!B29</f>
        <v>0</v>
      </c>
      <c r="F72" s="26"/>
      <c r="G72" s="330" t="s">
        <v>6</v>
      </c>
      <c r="H72" s="34"/>
      <c r="I72" s="26"/>
      <c r="J72" s="147"/>
    </row>
    <row r="73" spans="1:26" ht="15.75" thickBot="1" x14ac:dyDescent="0.3">
      <c r="A73" s="261">
        <v>41</v>
      </c>
      <c r="B73" s="290" t="s">
        <v>64</v>
      </c>
      <c r="C73" s="291"/>
      <c r="D73" s="3"/>
      <c r="E73" s="652">
        <v>0.06</v>
      </c>
      <c r="F73" s="26"/>
      <c r="G73" s="330" t="s">
        <v>6</v>
      </c>
      <c r="H73" s="34"/>
      <c r="I73" s="26"/>
      <c r="J73" s="147"/>
    </row>
    <row r="74" spans="1:26" ht="15.75" thickBot="1" x14ac:dyDescent="0.3">
      <c r="A74" s="261">
        <v>42</v>
      </c>
      <c r="B74" s="290" t="s">
        <v>13</v>
      </c>
      <c r="C74" s="291"/>
      <c r="D74" s="3"/>
      <c r="E74" s="342">
        <f>E15</f>
        <v>12</v>
      </c>
      <c r="F74" s="26"/>
      <c r="G74" s="330" t="s">
        <v>6</v>
      </c>
      <c r="H74" s="34"/>
      <c r="I74" s="26"/>
      <c r="J74" s="147"/>
    </row>
    <row r="75" spans="1:26" ht="15.75" thickBot="1" x14ac:dyDescent="0.3">
      <c r="A75" s="261">
        <v>43</v>
      </c>
      <c r="B75" s="290" t="s">
        <v>120</v>
      </c>
      <c r="C75" s="291"/>
      <c r="D75" s="3"/>
      <c r="E75" s="348"/>
      <c r="F75" s="213"/>
      <c r="G75" s="330" t="s">
        <v>6</v>
      </c>
      <c r="H75" s="34"/>
      <c r="I75" s="26"/>
      <c r="J75" s="147"/>
    </row>
    <row r="76" spans="1:26" ht="15" x14ac:dyDescent="0.25">
      <c r="B76" s="209"/>
      <c r="C76" s="209"/>
      <c r="D76" s="3"/>
      <c r="E76" s="152"/>
      <c r="F76" s="26"/>
      <c r="G76" s="332"/>
      <c r="H76" s="34"/>
      <c r="I76" s="26"/>
      <c r="J76" s="147"/>
      <c r="K76" s="2"/>
      <c r="L76" s="2"/>
      <c r="M76" s="151"/>
      <c r="N76" s="151"/>
      <c r="O76" s="151"/>
      <c r="P76" s="151"/>
      <c r="Q76" s="151"/>
      <c r="R76" s="151"/>
      <c r="S76" s="151"/>
      <c r="T76" s="151"/>
      <c r="U76" s="151"/>
      <c r="V76" s="151"/>
      <c r="W76" s="151"/>
      <c r="X76" s="151"/>
      <c r="Y76" s="151"/>
      <c r="Z76" s="151"/>
    </row>
    <row r="77" spans="1:26" ht="15" x14ac:dyDescent="0.25">
      <c r="B77" s="209"/>
      <c r="C77" s="209"/>
      <c r="D77" s="3"/>
      <c r="E77" s="152"/>
      <c r="F77" s="26"/>
      <c r="G77" s="332"/>
      <c r="H77" s="34"/>
      <c r="I77" s="26"/>
      <c r="J77" s="147"/>
      <c r="K77" s="2"/>
      <c r="L77" s="2"/>
      <c r="M77" s="151"/>
      <c r="N77" s="151"/>
      <c r="O77" s="151"/>
      <c r="P77" s="151"/>
      <c r="Q77" s="151"/>
      <c r="R77" s="151"/>
      <c r="S77" s="151"/>
      <c r="T77" s="151"/>
      <c r="U77" s="151"/>
      <c r="V77" s="151"/>
      <c r="W77" s="151"/>
      <c r="X77" s="151"/>
      <c r="Y77" s="151"/>
      <c r="Z77" s="319"/>
    </row>
    <row r="78" spans="1:26" ht="15.75" thickBot="1" x14ac:dyDescent="0.3">
      <c r="A78" s="246"/>
      <c r="B78" s="142" t="s">
        <v>210</v>
      </c>
      <c r="C78" s="142"/>
      <c r="D78" s="3"/>
      <c r="E78" s="4"/>
      <c r="F78" s="26"/>
      <c r="G78" s="330" t="s">
        <v>6</v>
      </c>
      <c r="H78" s="34"/>
      <c r="I78" s="26"/>
      <c r="J78" s="147"/>
      <c r="K78" s="2">
        <f>K15</f>
        <v>1900</v>
      </c>
      <c r="L78" s="2">
        <f>+K78+1</f>
        <v>1901</v>
      </c>
      <c r="M78" s="2">
        <f t="shared" ref="M78:Y78" si="4">+L78+1</f>
        <v>1902</v>
      </c>
      <c r="N78" s="2">
        <f t="shared" si="4"/>
        <v>1903</v>
      </c>
      <c r="O78" s="2">
        <f t="shared" si="4"/>
        <v>1904</v>
      </c>
      <c r="P78" s="2">
        <f t="shared" si="4"/>
        <v>1905</v>
      </c>
      <c r="Q78" s="2">
        <f t="shared" si="4"/>
        <v>1906</v>
      </c>
      <c r="R78" s="2">
        <f t="shared" si="4"/>
        <v>1907</v>
      </c>
      <c r="S78" s="2">
        <f t="shared" si="4"/>
        <v>1908</v>
      </c>
      <c r="T78" s="2">
        <f t="shared" si="4"/>
        <v>1909</v>
      </c>
      <c r="U78" s="2">
        <f t="shared" si="4"/>
        <v>1910</v>
      </c>
      <c r="V78" s="2">
        <f t="shared" si="4"/>
        <v>1911</v>
      </c>
      <c r="W78" s="2">
        <f t="shared" si="4"/>
        <v>1912</v>
      </c>
      <c r="X78" s="2">
        <f t="shared" si="4"/>
        <v>1913</v>
      </c>
      <c r="Y78" s="2">
        <f t="shared" si="4"/>
        <v>1914</v>
      </c>
      <c r="Z78" s="174"/>
    </row>
    <row r="79" spans="1:26" ht="15.75" thickBot="1" x14ac:dyDescent="0.3">
      <c r="A79" s="251">
        <v>44</v>
      </c>
      <c r="B79" s="290" t="s">
        <v>176</v>
      </c>
      <c r="C79" s="291"/>
      <c r="D79" s="3"/>
      <c r="E79" s="4"/>
      <c r="F79" s="26"/>
      <c r="G79" s="332"/>
      <c r="H79" s="34"/>
      <c r="I79" s="26"/>
      <c r="J79" s="147"/>
      <c r="K79" s="432"/>
      <c r="L79" s="432"/>
      <c r="M79" s="432"/>
      <c r="N79" s="432"/>
      <c r="O79" s="432"/>
      <c r="P79" s="432"/>
      <c r="Q79" s="432"/>
      <c r="R79" s="432"/>
      <c r="S79" s="432"/>
      <c r="T79" s="432"/>
      <c r="U79" s="432"/>
      <c r="V79" s="432"/>
      <c r="W79" s="432"/>
      <c r="X79" s="432"/>
      <c r="Y79" s="577"/>
      <c r="Z79" s="570"/>
    </row>
    <row r="80" spans="1:26" ht="15.75" thickBot="1" x14ac:dyDescent="0.3">
      <c r="A80" s="251">
        <v>45</v>
      </c>
      <c r="B80" s="290" t="s">
        <v>449</v>
      </c>
      <c r="C80" s="291"/>
      <c r="D80" s="3"/>
      <c r="E80" s="4"/>
      <c r="F80" s="26"/>
      <c r="G80" s="332"/>
      <c r="H80" s="546"/>
      <c r="I80" s="26"/>
      <c r="J80" s="147"/>
      <c r="K80" s="432"/>
      <c r="L80" s="432"/>
      <c r="M80" s="432"/>
      <c r="N80" s="432"/>
      <c r="O80" s="432"/>
      <c r="P80" s="432"/>
      <c r="Q80" s="432"/>
      <c r="R80" s="432"/>
      <c r="S80" s="432"/>
      <c r="T80" s="432"/>
      <c r="U80" s="432"/>
      <c r="V80" s="432"/>
      <c r="W80" s="432"/>
      <c r="X80" s="432"/>
      <c r="Y80" s="577"/>
      <c r="Z80" s="570"/>
    </row>
    <row r="81" spans="1:28" ht="15.75" thickBot="1" x14ac:dyDescent="0.3">
      <c r="A81" s="251">
        <v>46</v>
      </c>
      <c r="B81" s="290" t="s">
        <v>178</v>
      </c>
      <c r="C81" s="291"/>
      <c r="D81" s="3"/>
      <c r="E81" s="4"/>
      <c r="F81" s="26"/>
      <c r="G81" s="332"/>
      <c r="H81" s="583">
        <f>AVERAGE(K81:Y81)</f>
        <v>0</v>
      </c>
      <c r="I81" s="26"/>
      <c r="J81" s="147"/>
      <c r="K81" s="432"/>
      <c r="L81" s="432">
        <f>K81*1.02</f>
        <v>0</v>
      </c>
      <c r="M81" s="432">
        <f t="shared" ref="M81:Y81" si="5">L81*1.02</f>
        <v>0</v>
      </c>
      <c r="N81" s="432">
        <f t="shared" si="5"/>
        <v>0</v>
      </c>
      <c r="O81" s="432">
        <f t="shared" si="5"/>
        <v>0</v>
      </c>
      <c r="P81" s="432">
        <f t="shared" si="5"/>
        <v>0</v>
      </c>
      <c r="Q81" s="432">
        <f t="shared" si="5"/>
        <v>0</v>
      </c>
      <c r="R81" s="432">
        <f t="shared" si="5"/>
        <v>0</v>
      </c>
      <c r="S81" s="432">
        <f t="shared" si="5"/>
        <v>0</v>
      </c>
      <c r="T81" s="432">
        <f t="shared" si="5"/>
        <v>0</v>
      </c>
      <c r="U81" s="432">
        <f t="shared" si="5"/>
        <v>0</v>
      </c>
      <c r="V81" s="432">
        <f t="shared" si="5"/>
        <v>0</v>
      </c>
      <c r="W81" s="432">
        <f t="shared" si="5"/>
        <v>0</v>
      </c>
      <c r="X81" s="432">
        <f t="shared" si="5"/>
        <v>0</v>
      </c>
      <c r="Y81" s="577">
        <f t="shared" si="5"/>
        <v>0</v>
      </c>
      <c r="Z81" s="570"/>
    </row>
    <row r="82" spans="1:28" ht="15.75" thickBot="1" x14ac:dyDescent="0.3">
      <c r="A82" s="251">
        <v>47</v>
      </c>
      <c r="B82" s="290" t="s">
        <v>179</v>
      </c>
      <c r="C82" s="291"/>
      <c r="D82" s="3"/>
      <c r="E82" s="4"/>
      <c r="F82" s="26"/>
      <c r="G82" s="332"/>
      <c r="H82" s="546"/>
      <c r="I82" s="26"/>
      <c r="J82" s="147"/>
      <c r="K82" s="432"/>
      <c r="L82" s="432"/>
      <c r="M82" s="432"/>
      <c r="N82" s="432"/>
      <c r="O82" s="432"/>
      <c r="P82" s="432"/>
      <c r="Q82" s="432"/>
      <c r="R82" s="432"/>
      <c r="S82" s="432"/>
      <c r="T82" s="432"/>
      <c r="U82" s="432"/>
      <c r="V82" s="432"/>
      <c r="W82" s="432"/>
      <c r="X82" s="432"/>
      <c r="Y82" s="577"/>
      <c r="Z82" s="570"/>
    </row>
    <row r="83" spans="1:28" ht="15.75" thickBot="1" x14ac:dyDescent="0.3">
      <c r="A83" s="251">
        <v>48</v>
      </c>
      <c r="B83" s="290" t="s">
        <v>180</v>
      </c>
      <c r="C83" s="291"/>
      <c r="D83" s="3"/>
      <c r="E83" s="4"/>
      <c r="F83" s="26"/>
      <c r="G83" s="332"/>
      <c r="H83" s="583"/>
      <c r="I83" s="26"/>
      <c r="J83" s="147"/>
      <c r="K83" s="432"/>
      <c r="L83" s="432"/>
      <c r="M83" s="432"/>
      <c r="N83" s="432"/>
      <c r="O83" s="432"/>
      <c r="P83" s="432"/>
      <c r="Q83" s="432"/>
      <c r="R83" s="432"/>
      <c r="S83" s="432"/>
      <c r="T83" s="432"/>
      <c r="U83" s="432"/>
      <c r="V83" s="432"/>
      <c r="W83" s="432"/>
      <c r="X83" s="432"/>
      <c r="Y83" s="577"/>
      <c r="Z83" s="570"/>
    </row>
    <row r="84" spans="1:28" ht="15.75" thickBot="1" x14ac:dyDescent="0.3">
      <c r="A84" s="251">
        <v>49</v>
      </c>
      <c r="B84" s="290" t="s">
        <v>196</v>
      </c>
      <c r="C84" s="291"/>
      <c r="D84" s="3"/>
      <c r="E84" s="143"/>
      <c r="F84" s="189"/>
      <c r="G84" s="332"/>
      <c r="H84" s="583">
        <f>AVERAGE(K84:Y84)</f>
        <v>0</v>
      </c>
      <c r="I84" s="206"/>
      <c r="J84" s="147"/>
      <c r="K84" s="294">
        <f>+K79-K80</f>
        <v>0</v>
      </c>
      <c r="L84" s="294">
        <f t="shared" ref="L84:V84" si="6">+L79-L80</f>
        <v>0</v>
      </c>
      <c r="M84" s="294">
        <f t="shared" si="6"/>
        <v>0</v>
      </c>
      <c r="N84" s="294">
        <f t="shared" si="6"/>
        <v>0</v>
      </c>
      <c r="O84" s="294">
        <f t="shared" si="6"/>
        <v>0</v>
      </c>
      <c r="P84" s="294">
        <f t="shared" si="6"/>
        <v>0</v>
      </c>
      <c r="Q84" s="294">
        <f t="shared" si="6"/>
        <v>0</v>
      </c>
      <c r="R84" s="294">
        <f t="shared" si="6"/>
        <v>0</v>
      </c>
      <c r="S84" s="294">
        <f t="shared" si="6"/>
        <v>0</v>
      </c>
      <c r="T84" s="294">
        <f t="shared" si="6"/>
        <v>0</v>
      </c>
      <c r="U84" s="294">
        <f t="shared" si="6"/>
        <v>0</v>
      </c>
      <c r="V84" s="294">
        <f t="shared" si="6"/>
        <v>0</v>
      </c>
      <c r="W84" s="294">
        <f>+W79-W80</f>
        <v>0</v>
      </c>
      <c r="X84" s="294">
        <f t="shared" ref="X84" si="7">+X79-X80</f>
        <v>0</v>
      </c>
      <c r="Y84" s="294">
        <f>+Y79-Y80</f>
        <v>0</v>
      </c>
      <c r="Z84" s="570"/>
    </row>
    <row r="85" spans="1:28" ht="15.75" thickBot="1" x14ac:dyDescent="0.3">
      <c r="A85" s="251">
        <v>50</v>
      </c>
      <c r="B85" s="290" t="s">
        <v>8</v>
      </c>
      <c r="C85" s="291"/>
      <c r="D85" s="3"/>
      <c r="E85" s="204"/>
      <c r="F85" s="205"/>
      <c r="G85" s="332"/>
      <c r="H85" s="583">
        <f>AVERAGE(K85:Y85)</f>
        <v>0</v>
      </c>
      <c r="I85" s="206"/>
      <c r="J85" s="142"/>
      <c r="K85" s="295">
        <f>+K79-K81</f>
        <v>0</v>
      </c>
      <c r="L85" s="295">
        <f t="shared" ref="L85:V85" si="8">+L79-L81</f>
        <v>0</v>
      </c>
      <c r="M85" s="295">
        <f t="shared" si="8"/>
        <v>0</v>
      </c>
      <c r="N85" s="295">
        <f t="shared" si="8"/>
        <v>0</v>
      </c>
      <c r="O85" s="295">
        <f t="shared" si="8"/>
        <v>0</v>
      </c>
      <c r="P85" s="295">
        <f t="shared" si="8"/>
        <v>0</v>
      </c>
      <c r="Q85" s="295">
        <f t="shared" si="8"/>
        <v>0</v>
      </c>
      <c r="R85" s="295">
        <f t="shared" si="8"/>
        <v>0</v>
      </c>
      <c r="S85" s="295">
        <f t="shared" si="8"/>
        <v>0</v>
      </c>
      <c r="T85" s="295">
        <f t="shared" si="8"/>
        <v>0</v>
      </c>
      <c r="U85" s="295">
        <f t="shared" si="8"/>
        <v>0</v>
      </c>
      <c r="V85" s="295">
        <f t="shared" si="8"/>
        <v>0</v>
      </c>
      <c r="W85" s="295">
        <f>+W79-W81</f>
        <v>0</v>
      </c>
      <c r="X85" s="295">
        <f t="shared" ref="X85" si="9">+X79-X81</f>
        <v>0</v>
      </c>
      <c r="Y85" s="295">
        <f>+Y79-Y81</f>
        <v>0</v>
      </c>
      <c r="Z85" s="570"/>
    </row>
    <row r="86" spans="1:28" ht="15" x14ac:dyDescent="0.25">
      <c r="A86" s="433"/>
      <c r="B86" s="209"/>
      <c r="C86" s="209"/>
      <c r="D86" s="3"/>
      <c r="E86" s="204"/>
      <c r="F86" s="26"/>
      <c r="G86" s="332"/>
      <c r="H86" s="546"/>
      <c r="I86" s="206"/>
      <c r="J86" s="147"/>
      <c r="K86" s="147"/>
      <c r="L86" s="147"/>
      <c r="M86" s="147"/>
      <c r="N86" s="147"/>
      <c r="O86" s="147"/>
      <c r="P86" s="147"/>
      <c r="Q86" s="147"/>
      <c r="R86" s="147"/>
      <c r="S86" s="147"/>
      <c r="T86" s="147"/>
      <c r="U86" s="147"/>
      <c r="V86" s="147"/>
      <c r="W86" s="147"/>
      <c r="X86" s="147"/>
      <c r="Y86" s="147"/>
      <c r="Z86" s="142"/>
    </row>
    <row r="87" spans="1:28" ht="15" x14ac:dyDescent="0.25">
      <c r="A87" s="434"/>
      <c r="B87" s="209"/>
      <c r="C87" s="209"/>
      <c r="D87" s="3"/>
      <c r="E87" s="143"/>
      <c r="F87" s="26"/>
      <c r="G87" s="332"/>
      <c r="H87" s="546"/>
      <c r="I87" s="26"/>
      <c r="J87" s="147"/>
      <c r="Z87" s="37"/>
    </row>
    <row r="88" spans="1:28" ht="15.75" thickBot="1" x14ac:dyDescent="0.3">
      <c r="A88" s="251"/>
      <c r="B88" s="4"/>
      <c r="C88" s="4"/>
      <c r="D88" s="156"/>
      <c r="E88" s="304"/>
      <c r="F88" s="265"/>
      <c r="G88" s="332"/>
      <c r="H88" s="546"/>
      <c r="I88" s="206"/>
      <c r="J88" s="147"/>
      <c r="Z88" s="37"/>
    </row>
    <row r="89" spans="1:28" ht="15.75" thickBot="1" x14ac:dyDescent="0.3">
      <c r="A89" s="245" t="s">
        <v>125</v>
      </c>
      <c r="B89" s="290" t="s">
        <v>140</v>
      </c>
      <c r="C89" s="291"/>
      <c r="D89" s="3"/>
      <c r="E89" s="216"/>
      <c r="F89" s="189"/>
      <c r="G89" s="330" t="s">
        <v>6</v>
      </c>
      <c r="H89" s="550">
        <f>SUM($K89:$W89)/$E$15</f>
        <v>0</v>
      </c>
      <c r="I89" s="206"/>
      <c r="J89" s="147"/>
      <c r="K89" s="364">
        <f>K81</f>
        <v>0</v>
      </c>
      <c r="L89" s="364">
        <f t="shared" ref="L89:X89" si="10">L81</f>
        <v>0</v>
      </c>
      <c r="M89" s="364">
        <f t="shared" si="10"/>
        <v>0</v>
      </c>
      <c r="N89" s="364">
        <f t="shared" si="10"/>
        <v>0</v>
      </c>
      <c r="O89" s="364">
        <f t="shared" si="10"/>
        <v>0</v>
      </c>
      <c r="P89" s="364">
        <f t="shared" si="10"/>
        <v>0</v>
      </c>
      <c r="Q89" s="364">
        <f t="shared" si="10"/>
        <v>0</v>
      </c>
      <c r="R89" s="364">
        <f t="shared" si="10"/>
        <v>0</v>
      </c>
      <c r="S89" s="364">
        <f t="shared" si="10"/>
        <v>0</v>
      </c>
      <c r="T89" s="364">
        <f t="shared" si="10"/>
        <v>0</v>
      </c>
      <c r="U89" s="364">
        <f t="shared" si="10"/>
        <v>0</v>
      </c>
      <c r="V89" s="364">
        <f t="shared" si="10"/>
        <v>0</v>
      </c>
      <c r="W89" s="364">
        <f t="shared" si="10"/>
        <v>0</v>
      </c>
      <c r="X89" s="364">
        <f t="shared" si="10"/>
        <v>0</v>
      </c>
      <c r="Y89" s="578">
        <f>IF(Y81="",Y80,Y81)</f>
        <v>0</v>
      </c>
      <c r="Z89" s="571"/>
    </row>
    <row r="90" spans="1:28" ht="15.75" thickBot="1" x14ac:dyDescent="0.3">
      <c r="A90" s="245" t="s">
        <v>126</v>
      </c>
      <c r="B90" s="290" t="s">
        <v>113</v>
      </c>
      <c r="C90" s="291"/>
      <c r="D90" s="3"/>
      <c r="E90" s="216"/>
      <c r="F90" s="189"/>
      <c r="G90" s="330" t="s">
        <v>6</v>
      </c>
      <c r="H90" s="550">
        <f>SUM($K90:$W90)/$E$15</f>
        <v>0</v>
      </c>
      <c r="I90" s="206"/>
      <c r="J90" s="147"/>
      <c r="K90" s="364">
        <f>+K79-K89</f>
        <v>0</v>
      </c>
      <c r="L90" s="364">
        <f t="shared" ref="L90:W90" si="11">+L79-L89</f>
        <v>0</v>
      </c>
      <c r="M90" s="364">
        <f t="shared" si="11"/>
        <v>0</v>
      </c>
      <c r="N90" s="364">
        <f t="shared" si="11"/>
        <v>0</v>
      </c>
      <c r="O90" s="364">
        <f t="shared" si="11"/>
        <v>0</v>
      </c>
      <c r="P90" s="364">
        <f t="shared" si="11"/>
        <v>0</v>
      </c>
      <c r="Q90" s="364">
        <f t="shared" si="11"/>
        <v>0</v>
      </c>
      <c r="R90" s="364">
        <f t="shared" si="11"/>
        <v>0</v>
      </c>
      <c r="S90" s="364">
        <f t="shared" si="11"/>
        <v>0</v>
      </c>
      <c r="T90" s="364">
        <f t="shared" si="11"/>
        <v>0</v>
      </c>
      <c r="U90" s="364">
        <f t="shared" si="11"/>
        <v>0</v>
      </c>
      <c r="V90" s="364">
        <f t="shared" si="11"/>
        <v>0</v>
      </c>
      <c r="W90" s="364">
        <f t="shared" si="11"/>
        <v>0</v>
      </c>
      <c r="X90" s="364">
        <f>IF(X89=0,0,+X79-X89)</f>
        <v>0</v>
      </c>
      <c r="Y90" s="578">
        <f>IF(Y89=0,0,+Y79-Y89)</f>
        <v>0</v>
      </c>
      <c r="Z90" s="571"/>
    </row>
    <row r="91" spans="1:28" ht="15.75" thickBot="1" x14ac:dyDescent="0.3">
      <c r="A91" s="245">
        <v>53</v>
      </c>
      <c r="B91" s="290" t="s">
        <v>208</v>
      </c>
      <c r="C91" s="291"/>
      <c r="D91" s="3"/>
      <c r="E91" s="8"/>
      <c r="F91" s="199"/>
      <c r="G91" s="330" t="s">
        <v>6</v>
      </c>
      <c r="H91" s="550">
        <f>SUM($K91:$X91)/$E$15</f>
        <v>0</v>
      </c>
      <c r="I91" s="540">
        <f>NPV($E$75,K91:Y91)*'Hulpberekeningen 2'!$E$39*'Hulpberekeningen 2'!$E$46*'Hulpberekeningen 2'!$E$57</f>
        <v>0</v>
      </c>
      <c r="J91" s="147"/>
      <c r="K91" s="320">
        <f>(K20*80%)*K90</f>
        <v>0</v>
      </c>
      <c r="L91" s="320">
        <f>(L20*80%)*L90+(K20*20%)*K90</f>
        <v>0</v>
      </c>
      <c r="M91" s="320">
        <f t="shared" ref="M91:W91" si="12">(M20*80%)*M90+(L20*20%)*L90</f>
        <v>0</v>
      </c>
      <c r="N91" s="320">
        <f t="shared" si="12"/>
        <v>0</v>
      </c>
      <c r="O91" s="320">
        <f t="shared" si="12"/>
        <v>0</v>
      </c>
      <c r="P91" s="320">
        <f t="shared" si="12"/>
        <v>0</v>
      </c>
      <c r="Q91" s="320">
        <f t="shared" si="12"/>
        <v>0</v>
      </c>
      <c r="R91" s="320">
        <f t="shared" si="12"/>
        <v>0</v>
      </c>
      <c r="S91" s="320">
        <f t="shared" si="12"/>
        <v>0</v>
      </c>
      <c r="T91" s="320">
        <f t="shared" si="12"/>
        <v>0</v>
      </c>
      <c r="U91" s="320">
        <f t="shared" si="12"/>
        <v>0</v>
      </c>
      <c r="V91" s="320">
        <f t="shared" si="12"/>
        <v>0</v>
      </c>
      <c r="W91" s="320">
        <f t="shared" si="12"/>
        <v>0</v>
      </c>
      <c r="X91" s="320">
        <f>(W20*20%)*W90</f>
        <v>0</v>
      </c>
      <c r="Y91" s="320">
        <v>0</v>
      </c>
      <c r="Z91" s="558"/>
      <c r="AA91" s="371"/>
    </row>
    <row r="92" spans="1:28" ht="15.75" thickBot="1" x14ac:dyDescent="0.3">
      <c r="A92" s="245" t="s">
        <v>484</v>
      </c>
      <c r="B92" s="290" t="s">
        <v>445</v>
      </c>
      <c r="C92" s="291"/>
      <c r="D92" s="3"/>
      <c r="E92" s="8"/>
      <c r="F92" s="199"/>
      <c r="G92" s="330"/>
      <c r="H92" s="556"/>
      <c r="I92" s="557">
        <f>NPV($E$75,K92:Y92)*'Hulpberekeningen 2'!$E$39*'Hulpberekeningen 2'!$E$46*'Hulpberekeningen 2'!$E$57</f>
        <v>0</v>
      </c>
      <c r="J92" s="147"/>
      <c r="K92" s="320">
        <f>J21*(J79-J81)</f>
        <v>0</v>
      </c>
      <c r="L92" s="320">
        <f>K21*(K79-K81)</f>
        <v>0</v>
      </c>
      <c r="M92" s="320">
        <f t="shared" ref="M92:Y92" si="13">L21*(L79-L81)</f>
        <v>0</v>
      </c>
      <c r="N92" s="320">
        <f t="shared" si="13"/>
        <v>0</v>
      </c>
      <c r="O92" s="320">
        <f t="shared" si="13"/>
        <v>0</v>
      </c>
      <c r="P92" s="320">
        <f t="shared" si="13"/>
        <v>0</v>
      </c>
      <c r="Q92" s="320">
        <f t="shared" si="13"/>
        <v>0</v>
      </c>
      <c r="R92" s="320">
        <f t="shared" si="13"/>
        <v>0</v>
      </c>
      <c r="S92" s="320">
        <f t="shared" si="13"/>
        <v>0</v>
      </c>
      <c r="T92" s="320">
        <f t="shared" si="13"/>
        <v>0</v>
      </c>
      <c r="U92" s="320">
        <f t="shared" si="13"/>
        <v>0</v>
      </c>
      <c r="V92" s="320">
        <f t="shared" si="13"/>
        <v>0</v>
      </c>
      <c r="W92" s="320">
        <f t="shared" si="13"/>
        <v>0</v>
      </c>
      <c r="X92" s="320">
        <f t="shared" si="13"/>
        <v>0</v>
      </c>
      <c r="Y92" s="320">
        <f t="shared" si="13"/>
        <v>0</v>
      </c>
      <c r="Z92" s="558"/>
      <c r="AA92" s="371"/>
    </row>
    <row r="93" spans="1:28" ht="15.75" thickBot="1" x14ac:dyDescent="0.3">
      <c r="A93" s="245" t="s">
        <v>485</v>
      </c>
      <c r="B93" s="290" t="s">
        <v>446</v>
      </c>
      <c r="C93" s="291"/>
      <c r="D93" s="3"/>
      <c r="E93" s="8"/>
      <c r="F93" s="199"/>
      <c r="G93" s="330"/>
      <c r="H93" s="556"/>
      <c r="I93" s="557">
        <f>NPV($E$75,K93:Y93)*'Hulpberekeningen 2'!$E$39*'Hulpberekeningen 2'!$E$46*'Hulpberekeningen 2'!$E$57</f>
        <v>0</v>
      </c>
      <c r="J93" s="147"/>
      <c r="K93" s="320">
        <f>J22*(J79-J81)</f>
        <v>0</v>
      </c>
      <c r="L93" s="320">
        <f>K22*(K79-K81)</f>
        <v>0</v>
      </c>
      <c r="M93" s="320">
        <f t="shared" ref="M93:Y93" si="14">L22*(L79-L81)</f>
        <v>0</v>
      </c>
      <c r="N93" s="320">
        <f t="shared" si="14"/>
        <v>0</v>
      </c>
      <c r="O93" s="320">
        <f t="shared" si="14"/>
        <v>0</v>
      </c>
      <c r="P93" s="320">
        <f t="shared" si="14"/>
        <v>0</v>
      </c>
      <c r="Q93" s="320">
        <f t="shared" si="14"/>
        <v>0</v>
      </c>
      <c r="R93" s="320">
        <f t="shared" si="14"/>
        <v>0</v>
      </c>
      <c r="S93" s="320">
        <f t="shared" si="14"/>
        <v>0</v>
      </c>
      <c r="T93" s="320">
        <f t="shared" si="14"/>
        <v>0</v>
      </c>
      <c r="U93" s="320">
        <f t="shared" si="14"/>
        <v>0</v>
      </c>
      <c r="V93" s="320">
        <f t="shared" si="14"/>
        <v>0</v>
      </c>
      <c r="W93" s="320">
        <f t="shared" si="14"/>
        <v>0</v>
      </c>
      <c r="X93" s="320">
        <f t="shared" si="14"/>
        <v>0</v>
      </c>
      <c r="Y93" s="320">
        <f t="shared" si="14"/>
        <v>0</v>
      </c>
      <c r="Z93" s="558"/>
      <c r="AA93" s="371"/>
    </row>
    <row r="94" spans="1:28" ht="15.75" thickBot="1" x14ac:dyDescent="0.3">
      <c r="A94" s="251"/>
      <c r="B94" s="209"/>
      <c r="C94" s="209"/>
      <c r="D94" s="3"/>
      <c r="E94" s="8"/>
      <c r="F94" s="199"/>
      <c r="G94" s="332"/>
      <c r="H94" s="546"/>
      <c r="I94" s="207"/>
      <c r="J94" s="147"/>
      <c r="K94" s="264"/>
      <c r="L94" s="264"/>
      <c r="M94" s="264"/>
      <c r="N94" s="264"/>
      <c r="O94" s="264"/>
      <c r="P94" s="264"/>
      <c r="Q94" s="264"/>
      <c r="R94" s="264"/>
      <c r="S94" s="264"/>
      <c r="T94" s="264"/>
      <c r="U94" s="264"/>
      <c r="V94" s="264"/>
      <c r="W94" s="264"/>
      <c r="X94" s="264"/>
      <c r="Y94" s="264"/>
      <c r="Z94" s="207"/>
    </row>
    <row r="95" spans="1:28" ht="15.75" x14ac:dyDescent="0.25">
      <c r="A95" s="215" t="s">
        <v>94</v>
      </c>
      <c r="B95" s="211"/>
      <c r="C95" s="211"/>
      <c r="D95" s="3"/>
      <c r="E95" s="343"/>
      <c r="G95" s="334"/>
      <c r="H95" s="547"/>
      <c r="I95" s="34"/>
      <c r="J95" s="26"/>
      <c r="K95" s="85" t="s">
        <v>470</v>
      </c>
      <c r="L95" s="26"/>
      <c r="M95" s="26"/>
      <c r="N95" s="26"/>
      <c r="O95" s="26"/>
      <c r="P95" s="26"/>
      <c r="Q95" s="26"/>
      <c r="R95" s="26"/>
      <c r="S95" s="26"/>
      <c r="T95" s="26"/>
      <c r="U95" s="26"/>
      <c r="V95" s="26"/>
      <c r="W95" s="26"/>
      <c r="X95" s="26"/>
      <c r="Y95" s="26"/>
      <c r="Z95" s="26"/>
      <c r="AA95" s="26"/>
      <c r="AB95" s="26"/>
    </row>
    <row r="96" spans="1:28" ht="15.75" x14ac:dyDescent="0.25">
      <c r="A96" s="215"/>
      <c r="B96" s="343"/>
      <c r="C96" s="262"/>
      <c r="D96" s="3"/>
      <c r="E96" s="155"/>
      <c r="F96" s="214"/>
      <c r="G96" s="334"/>
      <c r="H96" s="547"/>
      <c r="I96" s="34"/>
      <c r="J96" s="26"/>
      <c r="K96" s="2"/>
      <c r="L96" s="2"/>
      <c r="M96" s="151"/>
      <c r="N96" s="151"/>
      <c r="O96" s="151"/>
      <c r="P96" s="151"/>
      <c r="Q96" s="151"/>
      <c r="R96" s="151"/>
      <c r="S96" s="151"/>
      <c r="T96" s="151"/>
      <c r="U96" s="151"/>
      <c r="V96" s="151"/>
      <c r="W96" s="151"/>
      <c r="X96" s="319">
        <v>14</v>
      </c>
      <c r="Y96" s="319">
        <v>15</v>
      </c>
      <c r="Z96" s="319"/>
      <c r="AA96" s="26"/>
      <c r="AB96" s="26"/>
    </row>
    <row r="97" spans="1:28" ht="15" x14ac:dyDescent="0.25">
      <c r="A97" s="246"/>
      <c r="D97" s="3"/>
      <c r="E97" s="161"/>
      <c r="G97" s="334"/>
      <c r="H97" s="547"/>
      <c r="I97" s="26"/>
      <c r="J97" s="26"/>
      <c r="K97" s="2"/>
      <c r="L97" s="2"/>
      <c r="M97" s="151"/>
      <c r="N97" s="151"/>
      <c r="O97" s="151"/>
      <c r="P97" s="151"/>
      <c r="Q97" s="151"/>
      <c r="R97" s="151"/>
      <c r="S97" s="151"/>
      <c r="T97" s="151"/>
      <c r="U97" s="151"/>
      <c r="V97" s="151"/>
      <c r="W97" s="151"/>
      <c r="X97" s="319"/>
      <c r="Y97" s="319"/>
      <c r="Z97" s="319"/>
      <c r="AA97" s="26"/>
      <c r="AB97" s="26"/>
    </row>
    <row r="98" spans="1:28" ht="15.75" thickBot="1" x14ac:dyDescent="0.3">
      <c r="A98" s="252"/>
      <c r="B98" s="156" t="s">
        <v>148</v>
      </c>
      <c r="C98" s="156"/>
      <c r="D98" s="3"/>
      <c r="E98" s="161"/>
      <c r="G98" s="334"/>
      <c r="H98" s="547"/>
      <c r="I98" s="26"/>
      <c r="J98" s="26"/>
      <c r="K98" s="2">
        <f>K15</f>
        <v>1900</v>
      </c>
      <c r="L98" s="2">
        <f>+K98+1</f>
        <v>1901</v>
      </c>
      <c r="M98" s="2">
        <f t="shared" ref="M98:Y98" si="15">+L98+1</f>
        <v>1902</v>
      </c>
      <c r="N98" s="2">
        <f t="shared" si="15"/>
        <v>1903</v>
      </c>
      <c r="O98" s="2">
        <f t="shared" si="15"/>
        <v>1904</v>
      </c>
      <c r="P98" s="2">
        <f t="shared" si="15"/>
        <v>1905</v>
      </c>
      <c r="Q98" s="2">
        <f t="shared" si="15"/>
        <v>1906</v>
      </c>
      <c r="R98" s="2">
        <f t="shared" si="15"/>
        <v>1907</v>
      </c>
      <c r="S98" s="2">
        <f t="shared" si="15"/>
        <v>1908</v>
      </c>
      <c r="T98" s="2">
        <f t="shared" si="15"/>
        <v>1909</v>
      </c>
      <c r="U98" s="2">
        <f t="shared" si="15"/>
        <v>1910</v>
      </c>
      <c r="V98" s="2">
        <f t="shared" si="15"/>
        <v>1911</v>
      </c>
      <c r="W98" s="2">
        <f t="shared" si="15"/>
        <v>1912</v>
      </c>
      <c r="X98" s="2">
        <f t="shared" si="15"/>
        <v>1913</v>
      </c>
      <c r="Y98" s="2">
        <f t="shared" si="15"/>
        <v>1914</v>
      </c>
      <c r="Z98" s="174"/>
      <c r="AA98" s="26"/>
      <c r="AB98" s="26"/>
    </row>
    <row r="99" spans="1:28" ht="15.75" thickBot="1" x14ac:dyDescent="0.3">
      <c r="A99" s="246">
        <v>54</v>
      </c>
      <c r="B99" s="290" t="s">
        <v>471</v>
      </c>
      <c r="C99" s="344"/>
      <c r="D99" s="3"/>
      <c r="E99" s="150"/>
      <c r="F99" s="189"/>
      <c r="G99" s="330" t="s">
        <v>6</v>
      </c>
      <c r="H99" s="550">
        <f>SUM($K99:$W99)/$E$15</f>
        <v>0</v>
      </c>
      <c r="I99" s="155"/>
      <c r="J99" s="26"/>
      <c r="K99" s="370">
        <f>K19</f>
        <v>0</v>
      </c>
      <c r="L99" s="370">
        <f t="shared" ref="L99:Y99" si="16">L19</f>
        <v>0</v>
      </c>
      <c r="M99" s="370">
        <f t="shared" si="16"/>
        <v>0</v>
      </c>
      <c r="N99" s="370">
        <f t="shared" si="16"/>
        <v>0</v>
      </c>
      <c r="O99" s="370">
        <f t="shared" si="16"/>
        <v>0</v>
      </c>
      <c r="P99" s="370">
        <f t="shared" si="16"/>
        <v>0</v>
      </c>
      <c r="Q99" s="370">
        <f t="shared" si="16"/>
        <v>0</v>
      </c>
      <c r="R99" s="370">
        <f t="shared" si="16"/>
        <v>0</v>
      </c>
      <c r="S99" s="370">
        <f t="shared" si="16"/>
        <v>0</v>
      </c>
      <c r="T99" s="370">
        <f t="shared" si="16"/>
        <v>0</v>
      </c>
      <c r="U99" s="370">
        <f t="shared" si="16"/>
        <v>0</v>
      </c>
      <c r="V99" s="370">
        <f t="shared" si="16"/>
        <v>0</v>
      </c>
      <c r="W99" s="370">
        <f t="shared" si="16"/>
        <v>0</v>
      </c>
      <c r="X99" s="370">
        <f t="shared" si="16"/>
        <v>0</v>
      </c>
      <c r="Y99" s="370">
        <f t="shared" si="16"/>
        <v>0</v>
      </c>
      <c r="Z99" s="572"/>
      <c r="AA99" s="26"/>
      <c r="AB99" s="26"/>
    </row>
    <row r="100" spans="1:28" ht="15.75" thickBot="1" x14ac:dyDescent="0.3">
      <c r="A100" s="467" t="s">
        <v>345</v>
      </c>
      <c r="B100" s="290" t="s">
        <v>472</v>
      </c>
      <c r="C100" s="344"/>
      <c r="D100" s="3"/>
      <c r="E100" s="150"/>
      <c r="F100" s="189"/>
      <c r="G100" s="330" t="s">
        <v>6</v>
      </c>
      <c r="H100" s="550">
        <f>SUM($K100:$W100)/$E$15</f>
        <v>0</v>
      </c>
      <c r="I100" s="155"/>
      <c r="J100" s="26"/>
      <c r="K100" s="459"/>
      <c r="L100" s="459"/>
      <c r="M100" s="459"/>
      <c r="N100" s="459"/>
      <c r="O100" s="459"/>
      <c r="P100" s="459"/>
      <c r="Q100" s="459"/>
      <c r="R100" s="459"/>
      <c r="S100" s="459"/>
      <c r="T100" s="459"/>
      <c r="U100" s="459"/>
      <c r="V100" s="459"/>
      <c r="W100" s="459"/>
      <c r="X100" s="459"/>
      <c r="Y100" s="459"/>
      <c r="Z100" s="572"/>
      <c r="AA100" s="26"/>
      <c r="AB100" s="26"/>
    </row>
    <row r="101" spans="1:28" ht="15" x14ac:dyDescent="0.25">
      <c r="A101" s="246"/>
      <c r="B101" s="209"/>
      <c r="C101" s="209"/>
      <c r="D101" s="3"/>
      <c r="G101" s="334"/>
      <c r="H101" s="547"/>
      <c r="I101" s="26"/>
      <c r="J101" s="26"/>
      <c r="K101" s="85"/>
      <c r="L101" s="26"/>
      <c r="M101" s="26"/>
      <c r="N101" s="26"/>
      <c r="O101" s="26"/>
      <c r="P101" s="26"/>
      <c r="Q101" s="26"/>
      <c r="R101" s="26"/>
      <c r="S101" s="26"/>
      <c r="T101" s="26"/>
      <c r="U101" s="26"/>
      <c r="V101" s="26"/>
      <c r="W101" s="26"/>
      <c r="X101" s="26"/>
      <c r="Y101" s="26"/>
      <c r="Z101" s="26"/>
    </row>
    <row r="102" spans="1:28" ht="15.75" thickBot="1" x14ac:dyDescent="0.3">
      <c r="A102" s="246"/>
      <c r="B102" s="142" t="s">
        <v>214</v>
      </c>
      <c r="C102" s="142"/>
      <c r="D102" s="3"/>
      <c r="F102" s="4"/>
      <c r="G102" s="335"/>
      <c r="H102" s="541"/>
      <c r="I102" s="26"/>
      <c r="J102" s="26"/>
      <c r="K102" s="2"/>
      <c r="L102" s="2"/>
      <c r="M102" s="2"/>
      <c r="N102" s="2"/>
      <c r="O102" s="2"/>
      <c r="P102" s="2"/>
      <c r="Q102" s="2"/>
      <c r="R102" s="2"/>
      <c r="S102" s="2"/>
      <c r="T102" s="2"/>
      <c r="U102" s="2"/>
      <c r="V102" s="2"/>
      <c r="W102" s="2"/>
      <c r="X102" s="2"/>
      <c r="Y102" s="2"/>
      <c r="Z102" s="174"/>
    </row>
    <row r="103" spans="1:28" ht="15.75" thickBot="1" x14ac:dyDescent="0.3">
      <c r="A103" s="433">
        <v>55</v>
      </c>
      <c r="B103" s="290" t="s">
        <v>346</v>
      </c>
      <c r="C103" s="256"/>
      <c r="D103" s="147"/>
      <c r="E103" s="38"/>
      <c r="F103" s="209"/>
      <c r="G103" s="353"/>
      <c r="H103" s="583">
        <f>AVERAGE(K103:Y103)</f>
        <v>0</v>
      </c>
      <c r="I103" s="26"/>
      <c r="J103" s="26"/>
      <c r="K103" s="435">
        <f>K89</f>
        <v>0</v>
      </c>
      <c r="L103" s="435">
        <f t="shared" ref="L103:Y103" si="17">L89</f>
        <v>0</v>
      </c>
      <c r="M103" s="435">
        <f t="shared" si="17"/>
        <v>0</v>
      </c>
      <c r="N103" s="435">
        <f t="shared" si="17"/>
        <v>0</v>
      </c>
      <c r="O103" s="435">
        <f t="shared" si="17"/>
        <v>0</v>
      </c>
      <c r="P103" s="435">
        <f t="shared" si="17"/>
        <v>0</v>
      </c>
      <c r="Q103" s="435">
        <f t="shared" si="17"/>
        <v>0</v>
      </c>
      <c r="R103" s="435">
        <f t="shared" si="17"/>
        <v>0</v>
      </c>
      <c r="S103" s="435">
        <f t="shared" si="17"/>
        <v>0</v>
      </c>
      <c r="T103" s="435">
        <f t="shared" si="17"/>
        <v>0</v>
      </c>
      <c r="U103" s="435">
        <f t="shared" si="17"/>
        <v>0</v>
      </c>
      <c r="V103" s="435">
        <f t="shared" si="17"/>
        <v>0</v>
      </c>
      <c r="W103" s="435">
        <f t="shared" si="17"/>
        <v>0</v>
      </c>
      <c r="X103" s="435">
        <f t="shared" si="17"/>
        <v>0</v>
      </c>
      <c r="Y103" s="435">
        <f t="shared" si="17"/>
        <v>0</v>
      </c>
      <c r="Z103" s="573"/>
    </row>
    <row r="104" spans="1:28" ht="15.75" thickBot="1" x14ac:dyDescent="0.3">
      <c r="A104" s="251">
        <v>56</v>
      </c>
      <c r="B104" s="290" t="s">
        <v>280</v>
      </c>
      <c r="C104" s="291"/>
      <c r="D104" s="3"/>
      <c r="E104" s="164"/>
      <c r="F104" s="189"/>
      <c r="G104" s="330" t="s">
        <v>6</v>
      </c>
      <c r="H104" s="583" t="e">
        <f>AVERAGE(K104:Y104)</f>
        <v>#DIV/0!</v>
      </c>
      <c r="I104" s="26"/>
      <c r="J104" s="26"/>
      <c r="K104" s="460"/>
      <c r="L104" s="460"/>
      <c r="M104" s="460"/>
      <c r="N104" s="460"/>
      <c r="O104" s="460"/>
      <c r="P104" s="460"/>
      <c r="Q104" s="460"/>
      <c r="R104" s="460"/>
      <c r="S104" s="460"/>
      <c r="T104" s="460"/>
      <c r="U104" s="460"/>
      <c r="V104" s="460"/>
      <c r="W104" s="460"/>
      <c r="X104" s="460"/>
      <c r="Y104" s="460"/>
      <c r="Z104" s="574"/>
    </row>
    <row r="105" spans="1:28" ht="15" x14ac:dyDescent="0.25">
      <c r="A105" s="246"/>
      <c r="B105" s="85"/>
      <c r="C105" s="85"/>
      <c r="D105" s="3"/>
      <c r="E105" s="26"/>
      <c r="G105" s="334"/>
      <c r="H105" s="542"/>
      <c r="I105" s="85"/>
      <c r="J105" s="26"/>
      <c r="K105" s="2"/>
      <c r="L105" s="2"/>
      <c r="M105" s="2"/>
      <c r="N105" s="2"/>
      <c r="O105" s="2"/>
      <c r="P105" s="2"/>
      <c r="Q105" s="2"/>
      <c r="R105" s="2"/>
      <c r="S105" s="2"/>
      <c r="T105" s="2"/>
      <c r="U105" s="2"/>
      <c r="V105" s="2"/>
      <c r="W105" s="2"/>
      <c r="X105" s="2"/>
      <c r="Y105" s="2"/>
      <c r="Z105" s="174"/>
    </row>
    <row r="106" spans="1:28" ht="15.75" thickBot="1" x14ac:dyDescent="0.3">
      <c r="A106" s="246"/>
      <c r="B106" s="85" t="s">
        <v>320</v>
      </c>
      <c r="C106" s="85"/>
      <c r="D106" s="3"/>
      <c r="E106" s="26"/>
      <c r="F106" s="4"/>
      <c r="G106" s="335"/>
      <c r="H106" s="547"/>
      <c r="I106" s="26"/>
      <c r="J106" s="26"/>
      <c r="K106" s="2"/>
      <c r="L106" s="2"/>
      <c r="M106" s="2"/>
      <c r="N106" s="2"/>
      <c r="O106" s="2"/>
      <c r="P106" s="2"/>
      <c r="Q106" s="2"/>
      <c r="R106" s="2"/>
      <c r="S106" s="2"/>
      <c r="T106" s="2"/>
      <c r="U106" s="2"/>
      <c r="V106" s="2"/>
      <c r="W106" s="2"/>
      <c r="X106" s="2"/>
      <c r="Y106" s="2"/>
      <c r="Z106" s="174"/>
    </row>
    <row r="107" spans="1:28" ht="15.75" thickBot="1" x14ac:dyDescent="0.3">
      <c r="A107" s="253">
        <v>57</v>
      </c>
      <c r="B107" s="290" t="s">
        <v>347</v>
      </c>
      <c r="C107" s="291"/>
      <c r="D107" s="3"/>
      <c r="E107" s="26"/>
      <c r="F107" s="4"/>
      <c r="G107" s="330" t="s">
        <v>6</v>
      </c>
      <c r="H107" s="550">
        <f>SUM($K107:$W107)/$E$15</f>
        <v>0</v>
      </c>
      <c r="I107" s="146">
        <f>NPV($E$75,K107:Y107)*'Hulpberekeningen 2'!$E$39*'Hulpberekeningen 2'!$E$46*'Hulpberekeningen 2'!$E$57</f>
        <v>0</v>
      </c>
      <c r="J107" s="136"/>
      <c r="K107" s="283">
        <f>K99*K103</f>
        <v>0</v>
      </c>
      <c r="L107" s="283">
        <f t="shared" ref="L107:Y107" si="18">L99*L103</f>
        <v>0</v>
      </c>
      <c r="M107" s="283">
        <f t="shared" si="18"/>
        <v>0</v>
      </c>
      <c r="N107" s="283">
        <f t="shared" si="18"/>
        <v>0</v>
      </c>
      <c r="O107" s="283">
        <f t="shared" si="18"/>
        <v>0</v>
      </c>
      <c r="P107" s="283">
        <f t="shared" si="18"/>
        <v>0</v>
      </c>
      <c r="Q107" s="283">
        <f t="shared" si="18"/>
        <v>0</v>
      </c>
      <c r="R107" s="283">
        <f t="shared" si="18"/>
        <v>0</v>
      </c>
      <c r="S107" s="283">
        <f t="shared" si="18"/>
        <v>0</v>
      </c>
      <c r="T107" s="283">
        <f t="shared" si="18"/>
        <v>0</v>
      </c>
      <c r="U107" s="283">
        <f t="shared" si="18"/>
        <v>0</v>
      </c>
      <c r="V107" s="283">
        <f t="shared" si="18"/>
        <v>0</v>
      </c>
      <c r="W107" s="283">
        <f t="shared" si="18"/>
        <v>0</v>
      </c>
      <c r="X107" s="283">
        <f t="shared" si="18"/>
        <v>0</v>
      </c>
      <c r="Y107" s="283">
        <f t="shared" si="18"/>
        <v>0</v>
      </c>
      <c r="Z107" s="575"/>
    </row>
    <row r="108" spans="1:28" ht="15.75" thickBot="1" x14ac:dyDescent="0.3">
      <c r="A108" s="253">
        <v>58</v>
      </c>
      <c r="B108" s="290" t="s">
        <v>323</v>
      </c>
      <c r="C108" s="291"/>
      <c r="D108" s="3"/>
      <c r="E108" s="26"/>
      <c r="F108" s="4"/>
      <c r="G108" s="330"/>
      <c r="H108" s="550">
        <f>SUM($K108:$W108)/$E$15</f>
        <v>0</v>
      </c>
      <c r="I108" s="146">
        <f>NPV($E$75,K108:Y108)*'Hulpberekeningen 2'!$E$39*'Hulpberekeningen 2'!$E$46*'Hulpberekeningen 2'!$E$57</f>
        <v>0</v>
      </c>
      <c r="J108" s="136"/>
      <c r="K108" s="283">
        <f>K104*K100</f>
        <v>0</v>
      </c>
      <c r="L108" s="283">
        <f t="shared" ref="L108:Y108" si="19">L104*L100</f>
        <v>0</v>
      </c>
      <c r="M108" s="283">
        <f t="shared" si="19"/>
        <v>0</v>
      </c>
      <c r="N108" s="283">
        <f t="shared" si="19"/>
        <v>0</v>
      </c>
      <c r="O108" s="283">
        <f t="shared" si="19"/>
        <v>0</v>
      </c>
      <c r="P108" s="283">
        <f t="shared" si="19"/>
        <v>0</v>
      </c>
      <c r="Q108" s="283">
        <f t="shared" si="19"/>
        <v>0</v>
      </c>
      <c r="R108" s="283">
        <f t="shared" si="19"/>
        <v>0</v>
      </c>
      <c r="S108" s="283">
        <f t="shared" si="19"/>
        <v>0</v>
      </c>
      <c r="T108" s="283">
        <f t="shared" si="19"/>
        <v>0</v>
      </c>
      <c r="U108" s="283">
        <f t="shared" si="19"/>
        <v>0</v>
      </c>
      <c r="V108" s="283">
        <f t="shared" si="19"/>
        <v>0</v>
      </c>
      <c r="W108" s="283">
        <f t="shared" si="19"/>
        <v>0</v>
      </c>
      <c r="X108" s="283">
        <f t="shared" si="19"/>
        <v>0</v>
      </c>
      <c r="Y108" s="283">
        <f t="shared" si="19"/>
        <v>0</v>
      </c>
      <c r="Z108" s="575"/>
    </row>
    <row r="109" spans="1:28" ht="15.75" thickBot="1" x14ac:dyDescent="0.3">
      <c r="A109" s="253">
        <v>59</v>
      </c>
      <c r="B109" s="290" t="s">
        <v>324</v>
      </c>
      <c r="C109" s="291"/>
      <c r="D109" s="3"/>
      <c r="E109" s="26"/>
      <c r="F109" s="4"/>
      <c r="G109" s="330"/>
      <c r="H109" s="542"/>
      <c r="I109" s="146">
        <f>NPV($E$75,K109:Y109)*'Hulpberekeningen 2'!$E$39*'Hulpberekeningen 2'!$E$46*'Hulpberekeningen 2'!$E$57</f>
        <v>0</v>
      </c>
      <c r="J109" s="136"/>
      <c r="K109" s="436"/>
      <c r="L109" s="436"/>
      <c r="M109" s="436"/>
      <c r="N109" s="436"/>
      <c r="O109" s="436"/>
      <c r="P109" s="436"/>
      <c r="Q109" s="436"/>
      <c r="R109" s="436"/>
      <c r="S109" s="436"/>
      <c r="T109" s="436"/>
      <c r="U109" s="436"/>
      <c r="V109" s="436"/>
      <c r="W109" s="436"/>
      <c r="X109" s="436"/>
      <c r="Y109" s="436"/>
      <c r="Z109" s="575"/>
    </row>
    <row r="110" spans="1:28" ht="15.75" thickBot="1" x14ac:dyDescent="0.3">
      <c r="A110" s="253">
        <v>60</v>
      </c>
      <c r="B110" s="290" t="s">
        <v>325</v>
      </c>
      <c r="C110" s="291"/>
      <c r="D110" s="3"/>
      <c r="E110" s="26"/>
      <c r="F110" s="4"/>
      <c r="G110" s="330"/>
      <c r="H110" s="542"/>
      <c r="I110" s="146">
        <f>NPV($E$75,K110:Y110)*'Hulpberekeningen 2'!$E$39*'Hulpberekeningen 2'!$E$46*'Hulpberekeningen 2'!$E$57</f>
        <v>0</v>
      </c>
      <c r="J110" s="136"/>
      <c r="K110" s="436"/>
      <c r="L110" s="436"/>
      <c r="M110" s="436"/>
      <c r="N110" s="436"/>
      <c r="O110" s="436"/>
      <c r="P110" s="436"/>
      <c r="Q110" s="436"/>
      <c r="R110" s="436"/>
      <c r="S110" s="436"/>
      <c r="T110" s="436"/>
      <c r="U110" s="436"/>
      <c r="V110" s="436"/>
      <c r="W110" s="436"/>
      <c r="X110" s="436"/>
      <c r="Y110" s="436"/>
      <c r="Z110" s="575"/>
    </row>
    <row r="111" spans="1:28" ht="15.75" thickBot="1" x14ac:dyDescent="0.3">
      <c r="A111" s="253">
        <v>61</v>
      </c>
      <c r="B111" s="290" t="s">
        <v>326</v>
      </c>
      <c r="C111" s="291"/>
      <c r="D111" s="3"/>
      <c r="E111" s="26"/>
      <c r="F111" s="4"/>
      <c r="G111" s="330"/>
      <c r="H111" s="542"/>
      <c r="I111" s="146">
        <f>NPV($E$75,K111:Y111)*'Hulpberekeningen 2'!$E$39*'Hulpberekeningen 2'!$E$46*'Hulpberekeningen 2'!$E$57</f>
        <v>0</v>
      </c>
      <c r="J111" s="136"/>
      <c r="K111" s="436"/>
      <c r="L111" s="436"/>
      <c r="M111" s="436"/>
      <c r="N111" s="436"/>
      <c r="O111" s="436"/>
      <c r="P111" s="436"/>
      <c r="Q111" s="436"/>
      <c r="R111" s="436"/>
      <c r="S111" s="436"/>
      <c r="T111" s="436"/>
      <c r="U111" s="436"/>
      <c r="V111" s="436"/>
      <c r="W111" s="436"/>
      <c r="X111" s="436"/>
      <c r="Y111" s="436"/>
      <c r="Z111" s="575"/>
    </row>
    <row r="112" spans="1:28" ht="15.75" thickBot="1" x14ac:dyDescent="0.3">
      <c r="A112" s="253">
        <v>62</v>
      </c>
      <c r="B112" s="290" t="s">
        <v>327</v>
      </c>
      <c r="C112" s="291"/>
      <c r="D112" s="3"/>
      <c r="E112" s="26"/>
      <c r="F112" s="4"/>
      <c r="G112" s="330"/>
      <c r="H112" s="542"/>
      <c r="I112" s="146">
        <f>NPV($E$75,K112:Y112)*'Hulpberekeningen 2'!$E$39*'Hulpberekeningen 2'!$E$46*'Hulpberekeningen 2'!$E$57</f>
        <v>0</v>
      </c>
      <c r="J112" s="136"/>
      <c r="K112" s="436"/>
      <c r="L112" s="436"/>
      <c r="M112" s="436"/>
      <c r="N112" s="436"/>
      <c r="O112" s="436"/>
      <c r="P112" s="436"/>
      <c r="Q112" s="436"/>
      <c r="R112" s="436"/>
      <c r="S112" s="436"/>
      <c r="T112" s="436"/>
      <c r="U112" s="436"/>
      <c r="V112" s="436"/>
      <c r="W112" s="436"/>
      <c r="X112" s="436"/>
      <c r="Y112" s="436"/>
      <c r="Z112" s="575"/>
    </row>
    <row r="113" spans="1:26" ht="15.75" thickBot="1" x14ac:dyDescent="0.3">
      <c r="A113" s="253">
        <v>63</v>
      </c>
      <c r="B113" s="290" t="s">
        <v>328</v>
      </c>
      <c r="C113" s="291"/>
      <c r="D113" s="3"/>
      <c r="E113" s="26"/>
      <c r="F113" s="4"/>
      <c r="G113" s="330"/>
      <c r="H113" s="542"/>
      <c r="I113" s="146">
        <f>NPV($E$75,K113:Y113)*'Hulpberekeningen 2'!$E$39*'Hulpberekeningen 2'!$E$46*'Hulpberekeningen 2'!$E$57</f>
        <v>0</v>
      </c>
      <c r="J113" s="136"/>
      <c r="K113" s="436"/>
      <c r="L113" s="436"/>
      <c r="M113" s="436"/>
      <c r="N113" s="436"/>
      <c r="O113" s="436"/>
      <c r="P113" s="436"/>
      <c r="Q113" s="436"/>
      <c r="R113" s="436"/>
      <c r="S113" s="436"/>
      <c r="T113" s="436"/>
      <c r="U113" s="436"/>
      <c r="V113" s="436"/>
      <c r="W113" s="436"/>
      <c r="X113" s="436"/>
      <c r="Y113" s="436"/>
      <c r="Z113" s="575"/>
    </row>
    <row r="114" spans="1:26" ht="15" x14ac:dyDescent="0.25">
      <c r="A114" s="254"/>
      <c r="B114" s="263"/>
      <c r="C114" s="263"/>
      <c r="D114" s="3"/>
      <c r="E114" s="26"/>
      <c r="F114" s="4"/>
      <c r="G114" s="335"/>
      <c r="H114" s="542"/>
      <c r="I114" s="207"/>
      <c r="J114" s="26"/>
      <c r="Z114" s="37"/>
    </row>
    <row r="115" spans="1:26" ht="15" x14ac:dyDescent="0.25">
      <c r="A115" s="254"/>
      <c r="B115" s="263"/>
      <c r="C115" s="263"/>
      <c r="D115" s="3"/>
      <c r="E115" s="26"/>
      <c r="F115" s="26"/>
      <c r="G115" s="332"/>
      <c r="H115" s="546"/>
      <c r="I115" s="26"/>
      <c r="J115" s="26"/>
      <c r="K115" s="8"/>
      <c r="L115" s="8"/>
      <c r="Z115" s="37"/>
    </row>
    <row r="116" spans="1:26" ht="15.75" thickBot="1" x14ac:dyDescent="0.3">
      <c r="A116" s="255"/>
      <c r="B116" s="142" t="s">
        <v>149</v>
      </c>
      <c r="C116" s="142"/>
      <c r="D116" s="3"/>
      <c r="E116" s="26"/>
      <c r="F116" s="26"/>
      <c r="G116" s="332"/>
      <c r="H116" s="546"/>
      <c r="I116" s="26"/>
      <c r="J116" s="26"/>
      <c r="K116" s="7"/>
      <c r="L116" s="7"/>
      <c r="Z116" s="37"/>
    </row>
    <row r="117" spans="1:26" ht="15.75" thickBot="1" x14ac:dyDescent="0.3">
      <c r="A117" s="253">
        <v>67</v>
      </c>
      <c r="B117" s="290"/>
      <c r="C117" s="291"/>
      <c r="D117" s="3"/>
      <c r="E117" s="164"/>
      <c r="F117" s="189"/>
      <c r="G117" s="330" t="s">
        <v>6</v>
      </c>
      <c r="H117" s="546"/>
      <c r="I117" s="146">
        <f>NPV($E$75,K117:Y117)*'Hulpberekeningen 2'!$E$39*'Hulpberekeningen 2'!$E$46*'Hulpberekeningen 2'!$E$57</f>
        <v>0</v>
      </c>
      <c r="J117" s="26"/>
      <c r="K117" s="551"/>
      <c r="L117" s="551"/>
      <c r="M117" s="551"/>
      <c r="N117" s="551"/>
      <c r="O117" s="551"/>
      <c r="P117" s="551"/>
      <c r="Q117" s="551"/>
      <c r="R117" s="551"/>
      <c r="S117" s="551"/>
      <c r="T117" s="551"/>
      <c r="U117" s="551"/>
      <c r="V117" s="551"/>
      <c r="W117" s="551"/>
      <c r="X117" s="551"/>
      <c r="Y117" s="437"/>
      <c r="Z117" s="576"/>
    </row>
    <row r="118" spans="1:26" ht="15.75" thickBot="1" x14ac:dyDescent="0.3">
      <c r="A118" s="253">
        <v>68</v>
      </c>
      <c r="B118" s="290"/>
      <c r="C118" s="291"/>
      <c r="D118" s="3"/>
      <c r="E118" s="164"/>
      <c r="F118" s="189"/>
      <c r="G118" s="330" t="s">
        <v>6</v>
      </c>
      <c r="H118" s="546"/>
      <c r="I118" s="146">
        <f>NPV($E$75,K118:Y118)*'Hulpberekeningen 2'!$E$39*'Hulpberekeningen 2'!$E$46*'Hulpberekeningen 2'!$E$57</f>
        <v>0</v>
      </c>
      <c r="J118" s="26"/>
      <c r="K118" s="437"/>
      <c r="L118" s="437"/>
      <c r="M118" s="437"/>
      <c r="N118" s="437"/>
      <c r="O118" s="437"/>
      <c r="P118" s="437"/>
      <c r="Q118" s="437"/>
      <c r="R118" s="437"/>
      <c r="S118" s="437"/>
      <c r="T118" s="437"/>
      <c r="U118" s="437"/>
      <c r="V118" s="437"/>
      <c r="W118" s="437"/>
      <c r="X118" s="437"/>
      <c r="Y118" s="437"/>
      <c r="Z118" s="576"/>
    </row>
    <row r="119" spans="1:26" ht="15.75" thickBot="1" x14ac:dyDescent="0.3">
      <c r="A119" s="253">
        <v>69</v>
      </c>
      <c r="B119" s="290"/>
      <c r="C119" s="291"/>
      <c r="D119" s="3"/>
      <c r="E119" s="164"/>
      <c r="F119" s="189"/>
      <c r="G119" s="330" t="s">
        <v>6</v>
      </c>
      <c r="H119" s="546"/>
      <c r="I119" s="146">
        <f>NPV($E$75,K119:Y119)*'Hulpberekeningen 2'!$E$39*'Hulpberekeningen 2'!$E$46*'Hulpberekeningen 2'!$E$57</f>
        <v>0</v>
      </c>
      <c r="J119" s="26"/>
      <c r="K119" s="462"/>
      <c r="L119" s="462"/>
      <c r="M119" s="462"/>
      <c r="N119" s="462"/>
      <c r="O119" s="462"/>
      <c r="P119" s="462"/>
      <c r="Q119" s="462"/>
      <c r="R119" s="462"/>
      <c r="S119" s="462"/>
      <c r="T119" s="462"/>
      <c r="U119" s="462"/>
      <c r="V119" s="462"/>
      <c r="W119" s="462"/>
      <c r="X119" s="462"/>
      <c r="Y119" s="462"/>
      <c r="Z119" s="576"/>
    </row>
    <row r="120" spans="1:26" ht="15.75" thickBot="1" x14ac:dyDescent="0.3">
      <c r="A120" s="253">
        <v>70</v>
      </c>
      <c r="B120" s="290"/>
      <c r="C120" s="291"/>
      <c r="D120" s="3"/>
      <c r="E120" s="164"/>
      <c r="F120" s="189"/>
      <c r="G120" s="330" t="s">
        <v>6</v>
      </c>
      <c r="H120" s="546"/>
      <c r="I120" s="146">
        <f>NPV($E$75,K120:Y120)*'Hulpberekeningen 2'!$E$39*'Hulpberekeningen 2'!$E$46*'Hulpberekeningen 2'!$E$57</f>
        <v>0</v>
      </c>
      <c r="J120" s="26"/>
      <c r="K120" s="437"/>
      <c r="L120" s="437"/>
      <c r="M120" s="437"/>
      <c r="N120" s="437"/>
      <c r="O120" s="437"/>
      <c r="P120" s="437"/>
      <c r="Q120" s="437"/>
      <c r="R120" s="437"/>
      <c r="S120" s="437"/>
      <c r="T120" s="437"/>
      <c r="U120" s="437"/>
      <c r="V120" s="437"/>
      <c r="W120" s="437"/>
      <c r="X120" s="437"/>
      <c r="Y120" s="437"/>
      <c r="Z120" s="576"/>
    </row>
    <row r="121" spans="1:26" s="38" customFormat="1" ht="15.75" thickBot="1" x14ac:dyDescent="0.3">
      <c r="A121" s="253">
        <v>71</v>
      </c>
      <c r="B121" s="290" t="s">
        <v>123</v>
      </c>
      <c r="C121" s="344"/>
      <c r="D121" s="147"/>
      <c r="E121" s="351"/>
      <c r="F121" s="205"/>
      <c r="G121" s="352" t="s">
        <v>6</v>
      </c>
      <c r="H121" s="550">
        <f>SUM($K121:$W121)/$E$15</f>
        <v>0</v>
      </c>
      <c r="I121" s="146">
        <f>NPV($E$75,K121:Y121)*'Hulpberekeningen 2'!$E$39*'Hulpberekeningen 2'!$E$46*'Hulpberekeningen 2'!$E$57</f>
        <v>0</v>
      </c>
      <c r="J121" s="26"/>
      <c r="K121" s="437"/>
      <c r="L121" s="437"/>
      <c r="M121" s="437"/>
      <c r="N121" s="437"/>
      <c r="O121" s="437"/>
      <c r="P121" s="437"/>
      <c r="Q121" s="437"/>
      <c r="R121" s="437"/>
      <c r="S121" s="437"/>
      <c r="T121" s="437"/>
      <c r="U121" s="437"/>
      <c r="V121" s="437"/>
      <c r="W121" s="437"/>
      <c r="X121" s="437"/>
      <c r="Y121" s="437"/>
      <c r="Z121" s="576"/>
    </row>
    <row r="122" spans="1:26" ht="15.75" thickBot="1" x14ac:dyDescent="0.3">
      <c r="A122" s="253">
        <v>72</v>
      </c>
      <c r="B122" s="290" t="s">
        <v>122</v>
      </c>
      <c r="C122" s="291"/>
      <c r="D122" s="3"/>
      <c r="E122" s="164"/>
      <c r="F122" s="189"/>
      <c r="G122" s="330" t="s">
        <v>6</v>
      </c>
      <c r="H122" s="550">
        <f>SUM($K122:$W122)/$E$15</f>
        <v>0</v>
      </c>
      <c r="I122" s="146">
        <f>NPV($E$75,K122:Y122)*'Hulpberekeningen 2'!$E$39*'Hulpberekeningen 2'!$E$46*'Hulpberekeningen 2'!$E$57</f>
        <v>0</v>
      </c>
      <c r="J122" s="26"/>
      <c r="K122" s="437"/>
      <c r="L122" s="437"/>
      <c r="M122" s="437"/>
      <c r="N122" s="437"/>
      <c r="O122" s="437"/>
      <c r="P122" s="437"/>
      <c r="Q122" s="437"/>
      <c r="R122" s="437"/>
      <c r="S122" s="437"/>
      <c r="T122" s="437"/>
      <c r="U122" s="437"/>
      <c r="V122" s="437"/>
      <c r="W122" s="437"/>
      <c r="X122" s="437"/>
      <c r="Y122" s="437"/>
      <c r="Z122" s="576"/>
    </row>
    <row r="123" spans="1:26" x14ac:dyDescent="0.2">
      <c r="Z123" s="37"/>
    </row>
    <row r="124" spans="1:26" x14ac:dyDescent="0.2">
      <c r="Z124" s="37"/>
    </row>
    <row r="125" spans="1:26" x14ac:dyDescent="0.2">
      <c r="Z125" s="37"/>
    </row>
    <row r="126" spans="1:26" x14ac:dyDescent="0.2">
      <c r="Z126" s="37"/>
    </row>
    <row r="127" spans="1:26" x14ac:dyDescent="0.2">
      <c r="Z127" s="37"/>
    </row>
    <row r="128" spans="1:26" x14ac:dyDescent="0.2"/>
    <row r="129" x14ac:dyDescent="0.2"/>
    <row r="130" x14ac:dyDescent="0.2"/>
    <row r="131" x14ac:dyDescent="0.2"/>
    <row r="132" x14ac:dyDescent="0.2"/>
    <row r="133" x14ac:dyDescent="0.2"/>
    <row r="134" x14ac:dyDescent="0.2"/>
    <row r="135" x14ac:dyDescent="0.2"/>
    <row r="136" x14ac:dyDescent="0.2"/>
    <row r="137" ht="11.25" customHeight="1" x14ac:dyDescent="0.2"/>
    <row r="138" hidden="1" x14ac:dyDescent="0.2"/>
    <row r="139" hidden="1" x14ac:dyDescent="0.2"/>
    <row r="140" hidden="1" x14ac:dyDescent="0.2"/>
    <row r="141" hidden="1" x14ac:dyDescent="0.2"/>
    <row r="142" ht="6.75" hidden="1" customHeight="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x14ac:dyDescent="0.2"/>
  </sheetData>
  <sheetProtection selectLockedCells="1"/>
  <customSheetViews>
    <customSheetView guid="{D98A0717-74D0-4F54-BB8F-A337A1A9E4DF}" scale="75" showGridLines="0" fitToPage="1" hiddenRows="1" hiddenColumns="1" showRuler="0">
      <selection activeCell="E4" sqref="E4"/>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D986420-B83B-47C8-8160-784F77FFC196}" scale="75" showGridLines="0" fitToPage="1" hiddenRows="1" hiddenColumns="1" showRuler="0">
      <selection activeCell="K20" sqref="K20"/>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C9029B8D-126A-43F1-8BE9-BB8A7DE12FBF}" scale="75" showGridLines="0" fitToPage="1" hiddenRows="1" hiddenColumns="1" showRuler="0" topLeftCell="A40">
      <selection activeCell="K87" sqref="K8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4284377C-91E6-4152-887E-8DA87560FDD6}" scale="75" showGridLines="0" fitToPage="1" hiddenRows="1" hiddenColumns="1" showRuler="0">
      <selection activeCell="K12" sqref="K12"/>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46B9E27-05F9-47A7-B161-BCC56D613799}" scale="75" showGridLines="0" fitToPage="1" hiddenRows="1" hiddenColumns="1" showRuler="0">
      <selection activeCell="E17" sqref="E1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s>
  <phoneticPr fontId="0" type="noConversion"/>
  <dataValidations xWindow="619" yWindow="278" count="5">
    <dataValidation allowBlank="1" showInputMessage="1" showErrorMessage="1" prompt="De onkostenvergoeding OV MEP hoeft niet opgevoerd te worden. Deze dient terugbetaald te worden bij verkrijging van SDE." sqref="E42" xr:uid="{00000000-0002-0000-0000-000000000000}"/>
    <dataValidation type="custom" errorStyle="warning" allowBlank="1" showErrorMessage="1" error="de draaiuren / vollasturen kunnen niet hoger zijn dan 8760 per jaar. pas de produktie (regel 5) of het vermogen aan (regel 2)" sqref="K16:Z17" xr:uid="{00000000-0002-0000-0000-000001000000}">
      <formula1>K16&lt;8761</formula1>
    </dataValidation>
    <dataValidation allowBlank="1" showErrorMessage="1" prompt="Let op MIA kan niet in combinatie met EIA op dezelfde voorziening" sqref="E57" xr:uid="{00000000-0002-0000-0000-000002000000}"/>
    <dataValidation type="custom" allowBlank="1" showErrorMessage="1" error="draaiuren / vollasturen kunnen niet meer dan 8760 bedragen (zie regel 4)_x000a_" prompt="vul in hoeveel produktie er is in het eerste  kalenderjaar voor dat deel dat in de SDE periode valt." sqref="K19:Z19" xr:uid="{00000000-0002-0000-0000-000003000000}">
      <formula1>IF(VALUE($E13)=0,0,K19/$E13)&lt;8761</formula1>
    </dataValidation>
    <dataValidation type="decimal" operator="greaterThan" allowBlank="1" showInputMessage="1" showErrorMessage="1" sqref="E13:E14" xr:uid="{00000000-0002-0000-0000-000004000000}">
      <formula1>0</formula1>
    </dataValidation>
  </dataValidations>
  <hyperlinks>
    <hyperlink ref="G26" location="Toelichting!A33" display="Info" xr:uid="{00000000-0004-0000-0000-000000000000}"/>
    <hyperlink ref="G13" location="Toelichting!A29" display="Info" xr:uid="{00000000-0004-0000-0000-000001000000}"/>
    <hyperlink ref="G24" location="Toelichting!A31" display="Info" xr:uid="{00000000-0004-0000-0000-000002000000}"/>
    <hyperlink ref="G25" location="Toelichting!A32" display="Info" xr:uid="{00000000-0004-0000-0000-000003000000}"/>
    <hyperlink ref="G35" location="Toelichting!A45" display="Info" xr:uid="{00000000-0004-0000-0000-000004000000}"/>
    <hyperlink ref="G34" location="Toelichting!A35" display="Info" xr:uid="{00000000-0004-0000-0000-000005000000}"/>
    <hyperlink ref="G39" location="Toelichting!A54" display="Info" xr:uid="{00000000-0004-0000-0000-000006000000}"/>
    <hyperlink ref="G8" location="Toelichting!A25" display="Info" xr:uid="{00000000-0004-0000-0000-000007000000}"/>
    <hyperlink ref="G48:G50" location="Toelichting!A32" display="Info" xr:uid="{00000000-0004-0000-0000-000008000000}"/>
    <hyperlink ref="G54" location="Toelichting!A70" display="Info" xr:uid="{00000000-0004-0000-0000-000009000000}"/>
    <hyperlink ref="G57:G58" location="Toelichting!A32" display="Info" xr:uid="{00000000-0004-0000-0000-00000A000000}"/>
    <hyperlink ref="G48" location="Toelichting!A60" display="Info" xr:uid="{00000000-0004-0000-0000-00000B000000}"/>
    <hyperlink ref="G49" location="Toelichting!A69" display="Info" xr:uid="{00000000-0004-0000-0000-00000C000000}"/>
    <hyperlink ref="G50" location="Toelichting!A70" display="Info" xr:uid="{00000000-0004-0000-0000-00000D000000}"/>
    <hyperlink ref="G57" location="Toelichting!A70" display="Info" xr:uid="{00000000-0004-0000-0000-00000E000000}"/>
    <hyperlink ref="G58" location="Toelichting!A81" display="Info" xr:uid="{00000000-0004-0000-0000-00000F000000}"/>
    <hyperlink ref="G67" location="Toelichting!A89" display="Info" xr:uid="{00000000-0004-0000-0000-000010000000}"/>
    <hyperlink ref="G71" location="Toelichting!A98" display="Info" xr:uid="{00000000-0004-0000-0000-000011000000}"/>
    <hyperlink ref="G30" location="Toelichting!A34" display="Info" xr:uid="{00000000-0004-0000-0000-000012000000}"/>
    <hyperlink ref="G51" location="Toelichting!A72" display="Info" xr:uid="{00000000-0004-0000-0000-000013000000}"/>
    <hyperlink ref="G55" location="Toelichting!A76" display="Info" xr:uid="{00000000-0004-0000-0000-000014000000}"/>
    <hyperlink ref="G59" location="Toelichting!A82" display="Info" xr:uid="{00000000-0004-0000-0000-000015000000}"/>
    <hyperlink ref="G65" location="Toelichting!A86" display="Info" xr:uid="{00000000-0004-0000-0000-000016000000}"/>
    <hyperlink ref="G66" location="Toelichting!A87" display="Info" xr:uid="{00000000-0004-0000-0000-000017000000}"/>
    <hyperlink ref="G73" location="Toelichting!A110" display="Info" xr:uid="{00000000-0004-0000-0000-000018000000}"/>
    <hyperlink ref="G74:G75" location="Toelichting!A103" display="Info" xr:uid="{00000000-0004-0000-0000-000019000000}"/>
    <hyperlink ref="G74" location="Toelichting!A111" display="Info" xr:uid="{00000000-0004-0000-0000-00001A000000}"/>
    <hyperlink ref="G75" location="Toelichting!A112" display="Info" xr:uid="{00000000-0004-0000-0000-00001B000000}"/>
    <hyperlink ref="G40" location="Toelichting!A54" display="Info" xr:uid="{00000000-0004-0000-0000-00001C000000}"/>
    <hyperlink ref="G41" location="Toelichting!A54" display="Info" xr:uid="{00000000-0004-0000-0000-00001D000000}"/>
    <hyperlink ref="G42" location="Toelichting!A54" display="Info" xr:uid="{00000000-0004-0000-0000-00001E000000}"/>
    <hyperlink ref="G43" location="Toelichting!A54" display="Info" xr:uid="{00000000-0004-0000-0000-00001F000000}"/>
    <hyperlink ref="G52" location="Toelichting!A72" display="Info" xr:uid="{00000000-0004-0000-0000-000020000000}"/>
    <hyperlink ref="G60" location="Toelichting!A82" display="Info" xr:uid="{00000000-0004-0000-0000-000021000000}"/>
    <hyperlink ref="G68" location="Toelichting!A89" display="Info" xr:uid="{00000000-0004-0000-0000-000022000000}"/>
    <hyperlink ref="G72" location="Toelichting!A98" display="Info" xr:uid="{00000000-0004-0000-0000-000023000000}"/>
    <hyperlink ref="G89" location="Toelichting!A142" display="Info" xr:uid="{00000000-0004-0000-0000-000024000000}"/>
    <hyperlink ref="G78" location="Toelichting!A141" display="Info" xr:uid="{00000000-0004-0000-0000-000025000000}"/>
    <hyperlink ref="G90" location="Toelichting!A144" display="Info" xr:uid="{00000000-0004-0000-0000-000026000000}"/>
    <hyperlink ref="G91" location="Toelichting!A145" display="Info" xr:uid="{00000000-0004-0000-0000-000027000000}"/>
    <hyperlink ref="G119" location="Toelichting!A161" display="Info" xr:uid="{00000000-0004-0000-0000-000028000000}"/>
    <hyperlink ref="G99" location="Toelichting!A150" display="Info" xr:uid="{00000000-0004-0000-0000-000029000000}"/>
    <hyperlink ref="G104" location="Toelichting!A152" display="Info" xr:uid="{00000000-0004-0000-0000-00002A000000}"/>
    <hyperlink ref="G107" location="Toelichting!A155" display="Info" xr:uid="{00000000-0004-0000-0000-00002B000000}"/>
    <hyperlink ref="G120" location="Toelichting!A162" display="Info" xr:uid="{00000000-0004-0000-0000-00002C000000}"/>
    <hyperlink ref="G100" location="Toelichting!A150" display="Info" xr:uid="{00000000-0004-0000-0000-00002D000000}"/>
    <hyperlink ref="G117" location="Toelichting!A161" display="Info" xr:uid="{00000000-0004-0000-0000-00002E000000}"/>
    <hyperlink ref="G118" location="Toelichting!A161" display="Info" xr:uid="{00000000-0004-0000-0000-00002F000000}"/>
    <hyperlink ref="B4" location="Toelichting!A1" display=" Lees ook de toelichting." xr:uid="{00000000-0004-0000-0000-000030000000}"/>
  </hyperlinks>
  <pageMargins left="0.35433070866141736" right="0.39370078740157483" top="0.42" bottom="0.68" header="0.51181102362204722" footer="0.51181102362204722"/>
  <pageSetup paperSize="8" scale="33" orientation="portrait" r:id="rId1"/>
  <headerFooter alignWithMargins="0">
    <oddFooter>&amp;L&amp;D,&amp;T,&amp;Z&amp;F,&amp;F,&amp;A</oddFooter>
  </headerFooter>
  <rowBreaks count="1" manualBreakCount="1">
    <brk id="115" max="16383" man="1"/>
  </rowBreaks>
  <cellWatches>
    <cellWatch r="N19"/>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4">
    <pageSetUpPr fitToPage="1"/>
  </sheetPr>
  <dimension ref="A1:G372"/>
  <sheetViews>
    <sheetView topLeftCell="A67" workbookViewId="0">
      <selection activeCell="D14" sqref="D14"/>
    </sheetView>
  </sheetViews>
  <sheetFormatPr defaultColWidth="9.33203125" defaultRowHeight="12.75" x14ac:dyDescent="0.2"/>
  <cols>
    <col min="1" max="1" width="2.1640625" style="480" customWidth="1"/>
    <col min="2" max="2" width="16.1640625" style="480" customWidth="1"/>
    <col min="3" max="3" width="8" style="480" customWidth="1"/>
    <col min="4" max="4" width="60.1640625" style="480" customWidth="1"/>
    <col min="5" max="5" width="14.83203125" style="480" customWidth="1"/>
    <col min="6" max="6" width="18" style="480" customWidth="1"/>
    <col min="7" max="16384" width="9.33203125" style="480"/>
  </cols>
  <sheetData>
    <row r="1" spans="1:7" x14ac:dyDescent="0.2">
      <c r="A1" s="477"/>
      <c r="B1" s="478" t="s">
        <v>442</v>
      </c>
      <c r="C1" s="479"/>
      <c r="D1" s="479"/>
      <c r="E1" s="479"/>
      <c r="F1" s="479"/>
    </row>
    <row r="2" spans="1:7" ht="13.5" thickBot="1" x14ac:dyDescent="0.25">
      <c r="A2" s="477"/>
      <c r="B2" s="481"/>
      <c r="C2" s="481"/>
      <c r="D2" s="481"/>
      <c r="E2" s="481"/>
      <c r="F2" s="481"/>
    </row>
    <row r="3" spans="1:7" x14ac:dyDescent="0.2">
      <c r="A3" s="482"/>
      <c r="B3" s="483" t="s">
        <v>81</v>
      </c>
      <c r="C3" s="484"/>
      <c r="D3" s="484"/>
      <c r="E3" s="484"/>
      <c r="F3" s="485"/>
      <c r="G3" s="486"/>
    </row>
    <row r="4" spans="1:7" x14ac:dyDescent="0.2">
      <c r="A4" s="482"/>
      <c r="B4" s="487" t="s">
        <v>10</v>
      </c>
      <c r="C4" s="479" t="s">
        <v>43</v>
      </c>
      <c r="D4" s="479"/>
      <c r="E4" s="488"/>
      <c r="F4" s="489">
        <f>+Invoerblad!E34</f>
        <v>0</v>
      </c>
      <c r="G4" s="486"/>
    </row>
    <row r="5" spans="1:7" x14ac:dyDescent="0.2">
      <c r="A5" s="482"/>
      <c r="B5" s="487" t="s">
        <v>11</v>
      </c>
      <c r="C5" s="479" t="s">
        <v>322</v>
      </c>
      <c r="D5" s="479"/>
      <c r="E5" s="488"/>
      <c r="F5" s="489"/>
      <c r="G5" s="486"/>
    </row>
    <row r="6" spans="1:7" x14ac:dyDescent="0.2">
      <c r="A6" s="482"/>
      <c r="B6" s="487"/>
      <c r="C6" s="479"/>
      <c r="D6" s="479" t="s">
        <v>308</v>
      </c>
      <c r="E6" s="488">
        <f>IF(LEFT(Invoerblad!F15,5)="apr09",0,'Rendement geinv. vermogen'!$B$29)</f>
        <v>0</v>
      </c>
      <c r="F6" s="489"/>
      <c r="G6" s="486"/>
    </row>
    <row r="7" spans="1:7" x14ac:dyDescent="0.2">
      <c r="A7" s="482"/>
      <c r="B7" s="487"/>
      <c r="C7" s="479"/>
      <c r="D7" s="479" t="s">
        <v>41</v>
      </c>
      <c r="E7" s="488">
        <f>+Invoerblad!E52</f>
        <v>0</v>
      </c>
      <c r="F7" s="489"/>
      <c r="G7" s="486"/>
    </row>
    <row r="8" spans="1:7" x14ac:dyDescent="0.2">
      <c r="A8" s="482"/>
      <c r="B8" s="487"/>
      <c r="C8" s="479"/>
      <c r="D8" s="479"/>
      <c r="E8" s="488"/>
      <c r="F8" s="489"/>
      <c r="G8" s="486"/>
    </row>
    <row r="9" spans="1:7" x14ac:dyDescent="0.2">
      <c r="A9" s="482"/>
      <c r="B9" s="487"/>
      <c r="C9" s="479" t="s">
        <v>28</v>
      </c>
      <c r="D9" s="490" t="s">
        <v>42</v>
      </c>
      <c r="E9" s="491">
        <f>SUM(E6:E7)</f>
        <v>0</v>
      </c>
      <c r="F9" s="489"/>
      <c r="G9" s="486"/>
    </row>
    <row r="10" spans="1:7" x14ac:dyDescent="0.2">
      <c r="A10" s="482"/>
      <c r="B10" s="487"/>
      <c r="C10" s="479"/>
      <c r="D10" s="490"/>
      <c r="E10" s="488"/>
      <c r="F10" s="489"/>
      <c r="G10" s="486"/>
    </row>
    <row r="11" spans="1:7" x14ac:dyDescent="0.2">
      <c r="A11" s="482"/>
      <c r="B11" s="487"/>
      <c r="C11" s="479"/>
      <c r="D11" s="479" t="str">
        <f>Invoerblad!B39</f>
        <v>…. subsidies (euro's)</v>
      </c>
      <c r="E11" s="488">
        <f>+Invoerblad!E39</f>
        <v>0</v>
      </c>
      <c r="F11" s="489"/>
      <c r="G11" s="486"/>
    </row>
    <row r="12" spans="1:7" x14ac:dyDescent="0.2">
      <c r="A12" s="482"/>
      <c r="B12" s="487"/>
      <c r="C12" s="479"/>
      <c r="D12" s="492" t="str">
        <f>Invoerblad!B40</f>
        <v>…. subsidies (euro's)</v>
      </c>
      <c r="E12" s="488">
        <f>+Invoerblad!E40</f>
        <v>0</v>
      </c>
      <c r="F12" s="489"/>
      <c r="G12" s="486"/>
    </row>
    <row r="13" spans="1:7" x14ac:dyDescent="0.2">
      <c r="A13" s="482"/>
      <c r="B13" s="487"/>
      <c r="C13" s="479"/>
      <c r="D13" s="492" t="str">
        <f>Invoerblad!B41</f>
        <v>…. subsidies (euro's)</v>
      </c>
      <c r="E13" s="488">
        <f>+Invoerblad!E41</f>
        <v>0</v>
      </c>
      <c r="F13" s="489"/>
      <c r="G13" s="486"/>
    </row>
    <row r="14" spans="1:7" x14ac:dyDescent="0.2">
      <c r="A14" s="482"/>
      <c r="B14" s="487"/>
      <c r="C14" s="479"/>
      <c r="D14" s="492" t="s">
        <v>199</v>
      </c>
      <c r="E14" s="488">
        <f>SUM(Invoerblad!E42)</f>
        <v>0</v>
      </c>
      <c r="F14" s="489"/>
      <c r="G14" s="486"/>
    </row>
    <row r="15" spans="1:7" x14ac:dyDescent="0.2">
      <c r="A15" s="482"/>
      <c r="B15" s="487"/>
      <c r="C15" s="479"/>
      <c r="D15" s="492" t="s">
        <v>147</v>
      </c>
      <c r="E15" s="493">
        <f>Invoerblad!E43</f>
        <v>0</v>
      </c>
      <c r="F15" s="489"/>
      <c r="G15" s="486"/>
    </row>
    <row r="16" spans="1:7" x14ac:dyDescent="0.2">
      <c r="A16" s="482"/>
      <c r="B16" s="487"/>
      <c r="C16" s="479"/>
      <c r="D16" s="479" t="s">
        <v>39</v>
      </c>
      <c r="E16" s="488">
        <f>+Invoerblad!E60</f>
        <v>0</v>
      </c>
      <c r="F16" s="489"/>
      <c r="G16" s="486"/>
    </row>
    <row r="17" spans="1:7" x14ac:dyDescent="0.2">
      <c r="A17" s="482"/>
      <c r="B17" s="487"/>
      <c r="C17" s="479"/>
      <c r="D17" s="479" t="s">
        <v>40</v>
      </c>
      <c r="E17" s="488">
        <f>+Invoerblad!E55</f>
        <v>0</v>
      </c>
      <c r="F17" s="489"/>
      <c r="G17" s="486"/>
    </row>
    <row r="18" spans="1:7" x14ac:dyDescent="0.2">
      <c r="A18" s="482"/>
      <c r="B18" s="487"/>
      <c r="C18" s="479" t="s">
        <v>29</v>
      </c>
      <c r="D18" s="490" t="s">
        <v>42</v>
      </c>
      <c r="E18" s="491">
        <f>SUM(E11:E17)</f>
        <v>0</v>
      </c>
      <c r="F18" s="489"/>
      <c r="G18" s="486"/>
    </row>
    <row r="19" spans="1:7" x14ac:dyDescent="0.2">
      <c r="A19" s="482"/>
      <c r="B19" s="487"/>
      <c r="C19" s="479" t="s">
        <v>44</v>
      </c>
      <c r="D19" s="490"/>
      <c r="E19" s="491"/>
      <c r="F19" s="489">
        <f>+E18+E9</f>
        <v>0</v>
      </c>
      <c r="G19" s="486"/>
    </row>
    <row r="20" spans="1:7" x14ac:dyDescent="0.2">
      <c r="A20" s="482"/>
      <c r="B20" s="487"/>
      <c r="C20" s="479"/>
      <c r="D20" s="479"/>
      <c r="E20" s="488"/>
      <c r="F20" s="489"/>
      <c r="G20" s="486"/>
    </row>
    <row r="21" spans="1:7" x14ac:dyDescent="0.2">
      <c r="A21" s="482"/>
      <c r="B21" s="487" t="s">
        <v>46</v>
      </c>
      <c r="C21" s="479" t="s">
        <v>45</v>
      </c>
      <c r="D21" s="479"/>
      <c r="E21" s="491"/>
      <c r="F21" s="489">
        <f>+F4-F19</f>
        <v>0</v>
      </c>
      <c r="G21" s="486"/>
    </row>
    <row r="22" spans="1:7" x14ac:dyDescent="0.2">
      <c r="A22" s="482"/>
      <c r="B22" s="487" t="s">
        <v>31</v>
      </c>
      <c r="C22" s="479" t="s">
        <v>38</v>
      </c>
      <c r="D22" s="479"/>
      <c r="E22" s="488"/>
      <c r="F22" s="489">
        <f>+'Rendement geinv. vermogen'!B20</f>
        <v>0</v>
      </c>
      <c r="G22" s="486"/>
    </row>
    <row r="23" spans="1:7" x14ac:dyDescent="0.2">
      <c r="A23" s="482"/>
      <c r="B23" s="487" t="s">
        <v>161</v>
      </c>
      <c r="C23" s="479" t="s">
        <v>329</v>
      </c>
      <c r="D23" s="479"/>
      <c r="E23" s="488"/>
      <c r="F23" s="489">
        <f>Invoerblad!I107</f>
        <v>0</v>
      </c>
      <c r="G23" s="486"/>
    </row>
    <row r="24" spans="1:7" x14ac:dyDescent="0.2">
      <c r="A24" s="482"/>
      <c r="B24" s="487" t="s">
        <v>12</v>
      </c>
      <c r="C24" s="130" t="s">
        <v>330</v>
      </c>
      <c r="D24" s="479"/>
      <c r="E24" s="488"/>
      <c r="F24" s="489">
        <f>SUM(Invoerblad!I108:I113)</f>
        <v>0</v>
      </c>
      <c r="G24" s="486"/>
    </row>
    <row r="25" spans="1:7" x14ac:dyDescent="0.2">
      <c r="A25" s="482"/>
      <c r="B25" s="487" t="s">
        <v>162</v>
      </c>
      <c r="C25" s="130" t="s">
        <v>310</v>
      </c>
      <c r="D25" s="479"/>
      <c r="E25" s="488"/>
      <c r="F25" s="489">
        <f>SUM(Invoerblad!I119:I122)</f>
        <v>0</v>
      </c>
      <c r="G25" s="486"/>
    </row>
    <row r="26" spans="1:7" x14ac:dyDescent="0.2">
      <c r="A26" s="482"/>
      <c r="B26" s="103" t="s">
        <v>163</v>
      </c>
      <c r="C26" s="479" t="s">
        <v>88</v>
      </c>
      <c r="D26" s="479"/>
      <c r="E26" s="488"/>
      <c r="F26" s="489">
        <f>+F21+F22-F23-F24+F25</f>
        <v>0</v>
      </c>
      <c r="G26" s="486"/>
    </row>
    <row r="27" spans="1:7" x14ac:dyDescent="0.2">
      <c r="A27" s="482"/>
      <c r="B27" s="487" t="s">
        <v>164</v>
      </c>
      <c r="C27" s="479" t="s">
        <v>109</v>
      </c>
      <c r="D27" s="479"/>
      <c r="E27" s="488"/>
      <c r="F27" s="489">
        <f>+Invoerblad!I91+Invoerblad!I92+Invoerblad!I93+Invoerblad!I30</f>
        <v>0</v>
      </c>
      <c r="G27" s="486"/>
    </row>
    <row r="28" spans="1:7" x14ac:dyDescent="0.2">
      <c r="A28" s="482"/>
      <c r="B28" s="103" t="s">
        <v>312</v>
      </c>
      <c r="C28" s="494" t="s">
        <v>417</v>
      </c>
      <c r="D28" s="479"/>
      <c r="E28" s="488"/>
      <c r="F28" s="489">
        <f>F26-F27</f>
        <v>0</v>
      </c>
      <c r="G28" s="486"/>
    </row>
    <row r="29" spans="1:7" x14ac:dyDescent="0.2">
      <c r="A29" s="482"/>
      <c r="B29" s="487"/>
      <c r="C29" s="494"/>
      <c r="D29" s="479"/>
      <c r="E29" s="488"/>
      <c r="F29" s="495"/>
      <c r="G29" s="486"/>
    </row>
    <row r="30" spans="1:7" x14ac:dyDescent="0.2">
      <c r="A30" s="482"/>
      <c r="B30" s="487" t="s">
        <v>167</v>
      </c>
      <c r="C30" s="494" t="s">
        <v>418</v>
      </c>
      <c r="D30" s="479"/>
      <c r="E30" s="488"/>
      <c r="F30" s="495">
        <f>IF(F28&lt;0,-F28,0)</f>
        <v>0</v>
      </c>
      <c r="G30" s="486"/>
    </row>
    <row r="31" spans="1:7" ht="13.5" thickBot="1" x14ac:dyDescent="0.25">
      <c r="A31" s="482"/>
      <c r="B31" s="496"/>
      <c r="C31" s="497"/>
      <c r="D31" s="498"/>
      <c r="E31" s="499"/>
      <c r="F31" s="500"/>
      <c r="G31" s="486"/>
    </row>
    <row r="32" spans="1:7" ht="13.5" thickBot="1" x14ac:dyDescent="0.25">
      <c r="A32" s="477"/>
      <c r="B32" s="501"/>
      <c r="C32" s="501"/>
      <c r="D32" s="501"/>
      <c r="E32" s="502"/>
      <c r="F32" s="502"/>
    </row>
    <row r="33" spans="1:7" x14ac:dyDescent="0.2">
      <c r="A33" s="482"/>
      <c r="B33" s="483" t="s">
        <v>278</v>
      </c>
      <c r="C33" s="484"/>
      <c r="D33" s="484"/>
      <c r="E33" s="503"/>
      <c r="F33" s="485"/>
      <c r="G33" s="486"/>
    </row>
    <row r="34" spans="1:7" x14ac:dyDescent="0.2">
      <c r="A34" s="482"/>
      <c r="B34" s="487" t="s">
        <v>494</v>
      </c>
      <c r="C34" s="479"/>
      <c r="D34" s="479"/>
      <c r="E34" s="488"/>
      <c r="F34" s="489"/>
      <c r="G34" s="486"/>
    </row>
    <row r="35" spans="1:7" x14ac:dyDescent="0.2">
      <c r="A35" s="482"/>
      <c r="B35" s="504"/>
      <c r="C35" s="479"/>
      <c r="D35" s="479"/>
      <c r="E35" s="488"/>
      <c r="F35" s="489"/>
      <c r="G35" s="486"/>
    </row>
    <row r="36" spans="1:7" x14ac:dyDescent="0.2">
      <c r="A36" s="482"/>
      <c r="B36" s="504" t="s">
        <v>57</v>
      </c>
      <c r="C36" s="494" t="s">
        <v>428</v>
      </c>
      <c r="D36" s="479"/>
      <c r="E36" s="488"/>
      <c r="F36" s="495">
        <f>IF(F30&lt;=10000,0,SMALL('Hulpberekeningen 1'!H46:H47,1))</f>
        <v>0</v>
      </c>
      <c r="G36" s="486"/>
    </row>
    <row r="37" spans="1:7" x14ac:dyDescent="0.2">
      <c r="A37" s="482"/>
      <c r="B37" s="487" t="s">
        <v>58</v>
      </c>
      <c r="C37" s="479" t="s">
        <v>292</v>
      </c>
      <c r="D37" s="479"/>
      <c r="E37" s="488"/>
      <c r="F37" s="495">
        <f>+'Hulpberekeningen 1'!$N$29</f>
        <v>0</v>
      </c>
      <c r="G37" s="486"/>
    </row>
    <row r="38" spans="1:7" x14ac:dyDescent="0.2">
      <c r="A38" s="482"/>
      <c r="B38" s="487"/>
      <c r="C38" s="479"/>
      <c r="D38" s="479"/>
      <c r="E38" s="488"/>
      <c r="F38" s="495"/>
      <c r="G38" s="486"/>
    </row>
    <row r="39" spans="1:7" x14ac:dyDescent="0.2">
      <c r="A39" s="482"/>
      <c r="B39" s="504" t="s">
        <v>82</v>
      </c>
      <c r="C39" s="494" t="s">
        <v>112</v>
      </c>
      <c r="D39" s="479"/>
      <c r="E39" s="488"/>
      <c r="F39" s="505">
        <f ca="1">+'Hulpberekeningen 1'!N15</f>
        <v>0</v>
      </c>
      <c r="G39" s="486"/>
    </row>
    <row r="40" spans="1:7" x14ac:dyDescent="0.2">
      <c r="A40" s="482"/>
      <c r="B40" s="504" t="s">
        <v>201</v>
      </c>
      <c r="C40" s="494" t="s">
        <v>419</v>
      </c>
      <c r="D40" s="479"/>
      <c r="E40" s="488"/>
      <c r="F40" s="505">
        <f ca="1">'Hulpberekeningen 1'!$H$42</f>
        <v>0</v>
      </c>
      <c r="G40" s="486"/>
    </row>
    <row r="41" spans="1:7" x14ac:dyDescent="0.2">
      <c r="A41" s="482"/>
      <c r="B41" s="487"/>
      <c r="C41" s="479"/>
      <c r="D41" s="479"/>
      <c r="E41" s="488"/>
      <c r="F41" s="489"/>
      <c r="G41" s="486"/>
    </row>
    <row r="42" spans="1:7" x14ac:dyDescent="0.2">
      <c r="A42" s="482"/>
      <c r="B42" s="487" t="s">
        <v>83</v>
      </c>
      <c r="C42" s="479" t="s">
        <v>290</v>
      </c>
      <c r="D42" s="479"/>
      <c r="E42" s="488"/>
      <c r="F42" s="495">
        <f>+'Hulpberekeningen 1'!T10</f>
        <v>0</v>
      </c>
      <c r="G42" s="486"/>
    </row>
    <row r="43" spans="1:7" ht="13.5" thickBot="1" x14ac:dyDescent="0.25">
      <c r="A43" s="482"/>
      <c r="B43" s="496" t="s">
        <v>211</v>
      </c>
      <c r="C43" s="498" t="s">
        <v>291</v>
      </c>
      <c r="D43" s="498"/>
      <c r="E43" s="498"/>
      <c r="F43" s="500">
        <f ca="1">+F42-F39</f>
        <v>0</v>
      </c>
      <c r="G43" s="486"/>
    </row>
    <row r="44" spans="1:7" ht="13.5" thickBot="1" x14ac:dyDescent="0.25">
      <c r="A44" s="477"/>
      <c r="B44" s="501"/>
      <c r="C44" s="501"/>
      <c r="D44" s="501"/>
      <c r="E44" s="502"/>
      <c r="F44" s="502"/>
    </row>
    <row r="45" spans="1:7" x14ac:dyDescent="0.2">
      <c r="A45" s="482"/>
      <c r="B45" s="483" t="s">
        <v>420</v>
      </c>
      <c r="C45" s="484"/>
      <c r="D45" s="484"/>
      <c r="E45" s="503"/>
      <c r="F45" s="485"/>
      <c r="G45" s="486"/>
    </row>
    <row r="46" spans="1:7" x14ac:dyDescent="0.2">
      <c r="A46" s="482"/>
      <c r="B46" s="487"/>
      <c r="C46" s="479"/>
      <c r="D46" s="479"/>
      <c r="E46" s="488"/>
      <c r="F46" s="489"/>
      <c r="G46" s="486"/>
    </row>
    <row r="47" spans="1:7" x14ac:dyDescent="0.2">
      <c r="A47" s="482"/>
      <c r="B47" s="506" t="s">
        <v>9</v>
      </c>
      <c r="C47" s="507" t="s">
        <v>421</v>
      </c>
      <c r="D47" s="479"/>
      <c r="E47" s="508" t="s">
        <v>422</v>
      </c>
      <c r="F47" s="509" t="s">
        <v>423</v>
      </c>
      <c r="G47" s="486"/>
    </row>
    <row r="48" spans="1:7" x14ac:dyDescent="0.2">
      <c r="A48" s="482"/>
      <c r="B48" s="510">
        <v>14</v>
      </c>
      <c r="C48" s="511">
        <f ca="1">IF('Hulpberekeningen 1'!G38&gt;0,'Hulpberekeningen 1'!G35,0)</f>
        <v>0</v>
      </c>
      <c r="D48" s="512" t="s">
        <v>424</v>
      </c>
      <c r="E48" s="488">
        <f ca="1">IF('Hulpberekeningen 1'!G38&gt;0,'Hulpberekeningen 1'!G38,0)</f>
        <v>0</v>
      </c>
      <c r="F48" s="513">
        <f ca="1">IF('Hulpberekeningen 1'!G$38&gt;0,'Hulpberekeningen 1'!G$39,0)</f>
        <v>0</v>
      </c>
      <c r="G48" s="486"/>
    </row>
    <row r="49" spans="1:7" x14ac:dyDescent="0.2">
      <c r="A49" s="482"/>
      <c r="B49" s="510">
        <v>13</v>
      </c>
      <c r="C49" s="511">
        <f ca="1">IF('Hulpberekeningen 1'!H38&gt;0,'Hulpberekeningen 1'!H35,0)</f>
        <v>0</v>
      </c>
      <c r="D49" s="512" t="s">
        <v>424</v>
      </c>
      <c r="E49" s="488">
        <f ca="1">IF('Hulpberekeningen 1'!H38&gt;0,'Hulpberekeningen 1'!H38,0)</f>
        <v>0</v>
      </c>
      <c r="F49" s="513">
        <f ca="1">IF('Hulpberekeningen 1'!H$38&gt;0,'Hulpberekeningen 1'!H$39,0)</f>
        <v>0</v>
      </c>
      <c r="G49" s="486"/>
    </row>
    <row r="50" spans="1:7" x14ac:dyDescent="0.2">
      <c r="A50" s="482"/>
      <c r="B50" s="510">
        <v>12</v>
      </c>
      <c r="C50" s="511">
        <f ca="1">IF('Hulpberekeningen 1'!I38&gt;0,'Hulpberekeningen 1'!$I35,0)</f>
        <v>0</v>
      </c>
      <c r="D50" s="512" t="s">
        <v>424</v>
      </c>
      <c r="E50" s="488">
        <f ca="1">IF('Hulpberekeningen 1'!I38&gt;0,'Hulpberekeningen 1'!I38,0)</f>
        <v>0</v>
      </c>
      <c r="F50" s="513">
        <f ca="1">IF('Hulpberekeningen 1'!I$38&gt;0,'Hulpberekeningen 1'!I$39,0)</f>
        <v>0</v>
      </c>
      <c r="G50" s="486"/>
    </row>
    <row r="51" spans="1:7" x14ac:dyDescent="0.2">
      <c r="A51" s="482"/>
      <c r="B51" s="510">
        <v>11</v>
      </c>
      <c r="C51" s="511">
        <f ca="1">IF('Hulpberekeningen 1'!J38&gt;0,'Hulpberekeningen 1'!J35,0)</f>
        <v>0</v>
      </c>
      <c r="D51" s="512" t="s">
        <v>424</v>
      </c>
      <c r="E51" s="488">
        <f ca="1">IF('Hulpberekeningen 1'!J38&gt;0,'Hulpberekeningen 1'!J38,0)</f>
        <v>0</v>
      </c>
      <c r="F51" s="513">
        <f ca="1">IF('Hulpberekeningen 1'!J$38&gt;0,'Hulpberekeningen 1'!J$39,0)</f>
        <v>0</v>
      </c>
      <c r="G51" s="486"/>
    </row>
    <row r="52" spans="1:7" x14ac:dyDescent="0.2">
      <c r="A52" s="482"/>
      <c r="B52" s="510">
        <v>10</v>
      </c>
      <c r="C52" s="511">
        <f ca="1">IF('Hulpberekeningen 1'!K38&gt;0,'Hulpberekeningen 1'!K35,0)</f>
        <v>0</v>
      </c>
      <c r="D52" s="512" t="s">
        <v>424</v>
      </c>
      <c r="E52" s="488">
        <f ca="1">IF('Hulpberekeningen 1'!K38&gt;0,'Hulpberekeningen 1'!K38,0)</f>
        <v>0</v>
      </c>
      <c r="F52" s="513">
        <f ca="1">IF('Hulpberekeningen 1'!K$38&gt;0,'Hulpberekeningen 1'!K$39,0)</f>
        <v>0</v>
      </c>
      <c r="G52" s="486"/>
    </row>
    <row r="53" spans="1:7" x14ac:dyDescent="0.2">
      <c r="A53" s="482"/>
      <c r="B53" s="504"/>
      <c r="C53" s="479"/>
      <c r="D53" s="479"/>
      <c r="E53" s="488"/>
      <c r="F53" s="489"/>
      <c r="G53" s="486"/>
    </row>
    <row r="54" spans="1:7" x14ac:dyDescent="0.2">
      <c r="A54" s="482"/>
      <c r="B54" s="504"/>
      <c r="C54" s="494"/>
      <c r="D54" s="514" t="s">
        <v>415</v>
      </c>
      <c r="E54" s="488"/>
      <c r="F54" s="532">
        <f ca="1">'Hulpberekeningen 1'!H42</f>
        <v>0</v>
      </c>
      <c r="G54" s="486"/>
    </row>
    <row r="55" spans="1:7" ht="13.5" thickBot="1" x14ac:dyDescent="0.25">
      <c r="A55" s="482"/>
      <c r="B55" s="496"/>
      <c r="C55" s="498"/>
      <c r="D55" s="515" t="s">
        <v>416</v>
      </c>
      <c r="E55" s="499"/>
      <c r="F55" s="516">
        <f ca="1">'Hulpberekeningen 1'!H43</f>
        <v>0</v>
      </c>
      <c r="G55" s="486"/>
    </row>
    <row r="56" spans="1:7" ht="13.5" thickBot="1" x14ac:dyDescent="0.25">
      <c r="A56" s="477"/>
      <c r="B56" s="501"/>
      <c r="C56" s="501"/>
      <c r="D56" s="501"/>
      <c r="E56" s="502"/>
      <c r="F56" s="502"/>
    </row>
    <row r="57" spans="1:7" ht="13.5" thickBot="1" x14ac:dyDescent="0.25">
      <c r="A57" s="482"/>
      <c r="B57" s="670" t="s">
        <v>206</v>
      </c>
      <c r="C57" s="671"/>
      <c r="D57" s="671"/>
      <c r="E57" s="517" t="s">
        <v>425</v>
      </c>
      <c r="F57" s="518" t="s">
        <v>426</v>
      </c>
      <c r="G57" s="486"/>
    </row>
    <row r="58" spans="1:7" x14ac:dyDescent="0.2">
      <c r="A58" s="482"/>
      <c r="B58" s="672" t="s">
        <v>343</v>
      </c>
      <c r="C58" s="673"/>
      <c r="D58" s="673"/>
      <c r="E58" s="534">
        <f>Invoerblad!E13</f>
        <v>0</v>
      </c>
      <c r="F58" s="519" t="s">
        <v>473</v>
      </c>
      <c r="G58" s="486"/>
    </row>
    <row r="59" spans="1:7" x14ac:dyDescent="0.2">
      <c r="A59" s="482"/>
      <c r="B59" s="666" t="s">
        <v>344</v>
      </c>
      <c r="C59" s="667"/>
      <c r="D59" s="667"/>
      <c r="E59" s="535">
        <f>Invoerblad!E14</f>
        <v>0</v>
      </c>
      <c r="F59" s="520" t="s">
        <v>473</v>
      </c>
      <c r="G59" s="486"/>
    </row>
    <row r="60" spans="1:7" x14ac:dyDescent="0.2">
      <c r="A60" s="482"/>
      <c r="B60" s="666" t="s">
        <v>150</v>
      </c>
      <c r="C60" s="667"/>
      <c r="D60" s="667"/>
      <c r="E60" s="536">
        <f>Invoerblad!E15</f>
        <v>12</v>
      </c>
      <c r="F60" s="521" t="s">
        <v>9</v>
      </c>
      <c r="G60" s="486"/>
    </row>
    <row r="61" spans="1:7" x14ac:dyDescent="0.2">
      <c r="A61" s="482"/>
      <c r="B61" s="666"/>
      <c r="C61" s="667"/>
      <c r="D61" s="667"/>
      <c r="E61" s="536"/>
      <c r="F61" s="521"/>
      <c r="G61" s="486"/>
    </row>
    <row r="62" spans="1:7" x14ac:dyDescent="0.2">
      <c r="A62" s="482"/>
      <c r="B62" s="666" t="s">
        <v>429</v>
      </c>
      <c r="C62" s="667"/>
      <c r="D62" s="667"/>
      <c r="E62" s="536">
        <f>Invoerblad!H19</f>
        <v>0</v>
      </c>
      <c r="F62" s="521" t="s">
        <v>474</v>
      </c>
      <c r="G62" s="486"/>
    </row>
    <row r="63" spans="1:7" x14ac:dyDescent="0.2">
      <c r="A63" s="482"/>
      <c r="B63" s="666" t="s">
        <v>430</v>
      </c>
      <c r="C63" s="667"/>
      <c r="D63" s="667"/>
      <c r="E63" s="536">
        <f>Invoerblad!H20</f>
        <v>0</v>
      </c>
      <c r="F63" s="521" t="s">
        <v>474</v>
      </c>
      <c r="G63" s="486"/>
    </row>
    <row r="64" spans="1:7" x14ac:dyDescent="0.2">
      <c r="A64" s="482"/>
      <c r="B64" s="666"/>
      <c r="C64" s="667"/>
      <c r="D64" s="667"/>
      <c r="E64" s="536"/>
      <c r="F64" s="521"/>
      <c r="G64" s="486"/>
    </row>
    <row r="65" spans="1:7" x14ac:dyDescent="0.2">
      <c r="A65" s="482"/>
      <c r="B65" s="666" t="s">
        <v>293</v>
      </c>
      <c r="C65" s="667"/>
      <c r="D65" s="667"/>
      <c r="E65" s="537">
        <f>Invoerblad!E24</f>
        <v>0</v>
      </c>
      <c r="F65" s="522"/>
      <c r="G65" s="486"/>
    </row>
    <row r="66" spans="1:7" x14ac:dyDescent="0.2">
      <c r="A66" s="482"/>
      <c r="B66" s="666" t="s">
        <v>116</v>
      </c>
      <c r="C66" s="667"/>
      <c r="D66" s="667"/>
      <c r="E66" s="537">
        <f>Invoerblad!E25</f>
        <v>0</v>
      </c>
      <c r="F66" s="522"/>
      <c r="G66" s="486"/>
    </row>
    <row r="67" spans="1:7" x14ac:dyDescent="0.2">
      <c r="A67" s="482"/>
      <c r="B67" s="666" t="s">
        <v>117</v>
      </c>
      <c r="C67" s="667"/>
      <c r="D67" s="667"/>
      <c r="E67" s="537">
        <f>Invoerblad!E26</f>
        <v>0</v>
      </c>
      <c r="F67" s="522"/>
      <c r="G67" s="486"/>
    </row>
    <row r="68" spans="1:7" x14ac:dyDescent="0.2">
      <c r="A68" s="482"/>
      <c r="B68" s="666"/>
      <c r="C68" s="667"/>
      <c r="D68" s="667"/>
      <c r="E68" s="536"/>
      <c r="F68" s="521"/>
      <c r="G68" s="486"/>
    </row>
    <row r="69" spans="1:7" x14ac:dyDescent="0.2">
      <c r="A69" s="482"/>
      <c r="B69" s="666" t="s">
        <v>181</v>
      </c>
      <c r="C69" s="667"/>
      <c r="D69" s="667"/>
      <c r="E69" s="548" t="str">
        <f>IF(Invoerblad!E48*100=0,"-",Invoerblad!E48*100)</f>
        <v>-</v>
      </c>
      <c r="F69" s="523" t="s">
        <v>306</v>
      </c>
      <c r="G69" s="486"/>
    </row>
    <row r="70" spans="1:7" x14ac:dyDescent="0.2">
      <c r="A70" s="482"/>
      <c r="B70" s="666" t="s">
        <v>235</v>
      </c>
      <c r="C70" s="667"/>
      <c r="D70" s="667"/>
      <c r="E70" s="548" t="str">
        <f>IF(Invoerblad!E49*100=0,"-",Invoerblad!E49*100)</f>
        <v>-</v>
      </c>
      <c r="F70" s="523" t="s">
        <v>306</v>
      </c>
      <c r="G70" s="486"/>
    </row>
    <row r="71" spans="1:7" x14ac:dyDescent="0.2">
      <c r="A71" s="482"/>
      <c r="B71" s="666" t="s">
        <v>136</v>
      </c>
      <c r="C71" s="667"/>
      <c r="D71" s="667"/>
      <c r="E71" s="549" t="str">
        <f>IF(Invoerblad!E50=0,"-",Invoerblad!E50)</f>
        <v>-</v>
      </c>
      <c r="F71" s="524" t="s">
        <v>427</v>
      </c>
      <c r="G71" s="486"/>
    </row>
    <row r="72" spans="1:7" x14ac:dyDescent="0.2">
      <c r="A72" s="482"/>
      <c r="B72" s="666" t="s">
        <v>431</v>
      </c>
      <c r="C72" s="667"/>
      <c r="D72" s="667"/>
      <c r="E72" s="549" t="str">
        <f>IF(Invoerblad!E51=0,"-",Invoerblad!E51)</f>
        <v>-</v>
      </c>
      <c r="F72" s="524" t="s">
        <v>427</v>
      </c>
      <c r="G72" s="486"/>
    </row>
    <row r="73" spans="1:7" x14ac:dyDescent="0.2">
      <c r="A73" s="482"/>
      <c r="B73" s="666" t="s">
        <v>34</v>
      </c>
      <c r="C73" s="667"/>
      <c r="D73" s="667"/>
      <c r="E73" s="549" t="str">
        <f>IF(Invoerblad!E52=0,"-",Invoerblad!E52)</f>
        <v>-</v>
      </c>
      <c r="F73" s="524" t="s">
        <v>427</v>
      </c>
      <c r="G73" s="486"/>
    </row>
    <row r="74" spans="1:7" x14ac:dyDescent="0.2">
      <c r="A74" s="482"/>
      <c r="B74" s="666" t="s">
        <v>281</v>
      </c>
      <c r="C74" s="667"/>
      <c r="D74" s="667"/>
      <c r="E74" s="549" t="str">
        <f>IF(Invoerblad!E54=0,"-",Invoerblad!E54)</f>
        <v>-</v>
      </c>
      <c r="F74" s="524" t="s">
        <v>427</v>
      </c>
      <c r="G74" s="486"/>
    </row>
    <row r="75" spans="1:7" x14ac:dyDescent="0.2">
      <c r="A75" s="482"/>
      <c r="B75" s="666" t="s">
        <v>282</v>
      </c>
      <c r="C75" s="667"/>
      <c r="D75" s="667"/>
      <c r="E75" s="549" t="str">
        <f>IF(Invoerblad!E55=0,"-",Invoerblad!E55)</f>
        <v>-</v>
      </c>
      <c r="F75" s="524" t="s">
        <v>427</v>
      </c>
      <c r="G75" s="486"/>
    </row>
    <row r="76" spans="1:7" x14ac:dyDescent="0.2">
      <c r="A76" s="482"/>
      <c r="B76" s="666" t="s">
        <v>137</v>
      </c>
      <c r="C76" s="667"/>
      <c r="D76" s="667"/>
      <c r="E76" s="549" t="str">
        <f>IF(Invoerblad!E57=0,"-",Invoerblad!E57)</f>
        <v>-</v>
      </c>
      <c r="F76" s="524" t="s">
        <v>427</v>
      </c>
      <c r="G76" s="486"/>
    </row>
    <row r="77" spans="1:7" x14ac:dyDescent="0.2">
      <c r="A77" s="482"/>
      <c r="B77" s="666" t="s">
        <v>37</v>
      </c>
      <c r="C77" s="667"/>
      <c r="D77" s="667"/>
      <c r="E77" s="549" t="str">
        <f>IF(Invoerblad!E58*100=0,"-",Invoerblad!E58*100)</f>
        <v>-</v>
      </c>
      <c r="F77" s="524" t="s">
        <v>306</v>
      </c>
      <c r="G77" s="486"/>
    </row>
    <row r="78" spans="1:7" x14ac:dyDescent="0.2">
      <c r="A78" s="482"/>
      <c r="B78" s="666" t="s">
        <v>52</v>
      </c>
      <c r="C78" s="667"/>
      <c r="D78" s="667"/>
      <c r="E78" s="549" t="str">
        <f>IF(Invoerblad!E59=0,"-",Invoerblad!E59)</f>
        <v>-</v>
      </c>
      <c r="F78" s="524" t="s">
        <v>427</v>
      </c>
      <c r="G78" s="486"/>
    </row>
    <row r="79" spans="1:7" x14ac:dyDescent="0.2">
      <c r="A79" s="482"/>
      <c r="B79" s="666" t="s">
        <v>36</v>
      </c>
      <c r="C79" s="667"/>
      <c r="D79" s="667"/>
      <c r="E79" s="549" t="str">
        <f>IF(Invoerblad!E60=0,"-",Invoerblad!E60)</f>
        <v>-</v>
      </c>
      <c r="F79" s="524" t="s">
        <v>427</v>
      </c>
      <c r="G79" s="486"/>
    </row>
    <row r="80" spans="1:7" x14ac:dyDescent="0.2">
      <c r="A80" s="482"/>
      <c r="B80" s="666" t="s">
        <v>239</v>
      </c>
      <c r="C80" s="667"/>
      <c r="D80" s="667"/>
      <c r="E80" s="549" t="str">
        <f>IF(Invoerblad!E61=0,"-",Invoerblad!E61)</f>
        <v>-</v>
      </c>
      <c r="F80" s="524" t="s">
        <v>427</v>
      </c>
      <c r="G80" s="486"/>
    </row>
    <row r="81" spans="1:7" x14ac:dyDescent="0.2">
      <c r="A81" s="482"/>
      <c r="B81" s="666" t="s">
        <v>121</v>
      </c>
      <c r="C81" s="667"/>
      <c r="D81" s="667"/>
      <c r="E81" s="533">
        <f>Invoerblad!E65</f>
        <v>0</v>
      </c>
      <c r="F81" s="524" t="s">
        <v>427</v>
      </c>
      <c r="G81" s="486"/>
    </row>
    <row r="82" spans="1:7" x14ac:dyDescent="0.2">
      <c r="A82" s="482"/>
      <c r="B82" s="666" t="s">
        <v>138</v>
      </c>
      <c r="C82" s="667"/>
      <c r="D82" s="667"/>
      <c r="E82" s="533">
        <f>Invoerblad!E66</f>
        <v>0</v>
      </c>
      <c r="F82" s="524" t="s">
        <v>427</v>
      </c>
      <c r="G82" s="486"/>
    </row>
    <row r="83" spans="1:7" x14ac:dyDescent="0.2">
      <c r="A83" s="482"/>
      <c r="B83" s="666" t="s">
        <v>19</v>
      </c>
      <c r="C83" s="667"/>
      <c r="D83" s="667"/>
      <c r="E83" s="538">
        <f>Invoerblad!E67*100</f>
        <v>22.2</v>
      </c>
      <c r="F83" s="523" t="s">
        <v>306</v>
      </c>
      <c r="G83" s="486"/>
    </row>
    <row r="84" spans="1:7" x14ac:dyDescent="0.2">
      <c r="A84" s="482"/>
      <c r="B84" s="666" t="s">
        <v>20</v>
      </c>
      <c r="C84" s="667"/>
      <c r="D84" s="667"/>
      <c r="E84" s="538">
        <f>Invoerblad!E68*100</f>
        <v>77.8</v>
      </c>
      <c r="F84" s="523" t="s">
        <v>306</v>
      </c>
      <c r="G84" s="486"/>
    </row>
    <row r="85" spans="1:7" x14ac:dyDescent="0.2">
      <c r="A85" s="482"/>
      <c r="B85" s="666" t="s">
        <v>19</v>
      </c>
      <c r="C85" s="667"/>
      <c r="D85" s="667"/>
      <c r="E85" s="533">
        <f>Invoerblad!E69</f>
        <v>0</v>
      </c>
      <c r="F85" s="524" t="s">
        <v>427</v>
      </c>
      <c r="G85" s="486"/>
    </row>
    <row r="86" spans="1:7" x14ac:dyDescent="0.2">
      <c r="A86" s="482"/>
      <c r="B86" s="666" t="s">
        <v>14</v>
      </c>
      <c r="C86" s="667"/>
      <c r="D86" s="667"/>
      <c r="E86" s="533">
        <f>Invoerblad!E70</f>
        <v>0</v>
      </c>
      <c r="F86" s="524" t="s">
        <v>427</v>
      </c>
      <c r="G86" s="486"/>
    </row>
    <row r="87" spans="1:7" x14ac:dyDescent="0.2">
      <c r="A87" s="482"/>
      <c r="B87" s="666" t="s">
        <v>139</v>
      </c>
      <c r="C87" s="667"/>
      <c r="D87" s="667"/>
      <c r="E87" s="533">
        <f>Invoerblad!E71</f>
        <v>0</v>
      </c>
      <c r="F87" s="524" t="s">
        <v>427</v>
      </c>
      <c r="G87" s="486"/>
    </row>
    <row r="88" spans="1:7" x14ac:dyDescent="0.2">
      <c r="A88" s="482"/>
      <c r="B88" s="666" t="s">
        <v>319</v>
      </c>
      <c r="C88" s="667"/>
      <c r="D88" s="667"/>
      <c r="E88" s="533">
        <f>Invoerblad!E72</f>
        <v>0</v>
      </c>
      <c r="F88" s="524" t="s">
        <v>427</v>
      </c>
      <c r="G88" s="486"/>
    </row>
    <row r="89" spans="1:7" x14ac:dyDescent="0.2">
      <c r="A89" s="482"/>
      <c r="B89" s="666" t="s">
        <v>64</v>
      </c>
      <c r="C89" s="667"/>
      <c r="D89" s="667"/>
      <c r="E89" s="538">
        <f>Invoerblad!E73*100</f>
        <v>6</v>
      </c>
      <c r="F89" s="523" t="s">
        <v>306</v>
      </c>
      <c r="G89" s="486"/>
    </row>
    <row r="90" spans="1:7" x14ac:dyDescent="0.2">
      <c r="A90" s="482"/>
      <c r="B90" s="666" t="s">
        <v>13</v>
      </c>
      <c r="C90" s="667"/>
      <c r="D90" s="667"/>
      <c r="E90" s="536">
        <f>Invoerblad!E74</f>
        <v>12</v>
      </c>
      <c r="F90" s="521" t="s">
        <v>9</v>
      </c>
      <c r="G90" s="486"/>
    </row>
    <row r="91" spans="1:7" x14ac:dyDescent="0.2">
      <c r="A91" s="482"/>
      <c r="B91" s="666" t="s">
        <v>120</v>
      </c>
      <c r="C91" s="667"/>
      <c r="D91" s="667"/>
      <c r="E91" s="538">
        <f>Invoerblad!E75*100</f>
        <v>0</v>
      </c>
      <c r="F91" s="523" t="s">
        <v>306</v>
      </c>
      <c r="G91" s="486"/>
    </row>
    <row r="92" spans="1:7" x14ac:dyDescent="0.2">
      <c r="A92" s="482"/>
      <c r="B92" s="666" t="s">
        <v>176</v>
      </c>
      <c r="C92" s="667"/>
      <c r="D92" s="667"/>
      <c r="E92" s="533">
        <f>Invoerblad!K79</f>
        <v>0</v>
      </c>
      <c r="F92" s="524" t="s">
        <v>427</v>
      </c>
      <c r="G92" s="486"/>
    </row>
    <row r="93" spans="1:7" x14ac:dyDescent="0.2">
      <c r="A93" s="482"/>
      <c r="B93" s="666" t="s">
        <v>177</v>
      </c>
      <c r="C93" s="667"/>
      <c r="D93" s="667"/>
      <c r="E93" s="533">
        <f>Invoerblad!K80</f>
        <v>0</v>
      </c>
      <c r="F93" s="524" t="s">
        <v>427</v>
      </c>
      <c r="G93" s="486"/>
    </row>
    <row r="94" spans="1:7" x14ac:dyDescent="0.2">
      <c r="A94" s="482"/>
      <c r="B94" s="666" t="s">
        <v>432</v>
      </c>
      <c r="C94" s="667"/>
      <c r="D94" s="667"/>
      <c r="E94" s="533">
        <f>Invoerblad!H81</f>
        <v>0</v>
      </c>
      <c r="F94" s="524" t="s">
        <v>427</v>
      </c>
      <c r="G94" s="486"/>
    </row>
    <row r="95" spans="1:7" x14ac:dyDescent="0.2">
      <c r="A95" s="482"/>
      <c r="B95" s="666" t="s">
        <v>433</v>
      </c>
      <c r="C95" s="667"/>
      <c r="D95" s="667"/>
      <c r="E95" s="533">
        <f>Invoerblad!H103</f>
        <v>0</v>
      </c>
      <c r="F95" s="524" t="s">
        <v>427</v>
      </c>
      <c r="G95" s="486"/>
    </row>
    <row r="96" spans="1:7" x14ac:dyDescent="0.2">
      <c r="A96" s="482"/>
      <c r="B96" s="666" t="s">
        <v>434</v>
      </c>
      <c r="C96" s="667"/>
      <c r="D96" s="667"/>
      <c r="E96" s="533">
        <f>Invoerblad!H107</f>
        <v>0</v>
      </c>
      <c r="F96" s="524" t="s">
        <v>427</v>
      </c>
      <c r="G96" s="486"/>
    </row>
    <row r="97" spans="1:7" x14ac:dyDescent="0.2">
      <c r="A97" s="482"/>
      <c r="B97" s="666" t="s">
        <v>435</v>
      </c>
      <c r="C97" s="667"/>
      <c r="D97" s="667"/>
      <c r="E97" s="533" t="str">
        <f>IF(Invoerblad!H121=0,"-",Invoerblad!H121)</f>
        <v>-</v>
      </c>
      <c r="F97" s="524" t="s">
        <v>427</v>
      </c>
      <c r="G97" s="486"/>
    </row>
    <row r="98" spans="1:7" ht="13.5" thickBot="1" x14ac:dyDescent="0.25">
      <c r="A98" s="482"/>
      <c r="B98" s="668" t="s">
        <v>436</v>
      </c>
      <c r="C98" s="669"/>
      <c r="D98" s="669"/>
      <c r="E98" s="539" t="str">
        <f>IF(Invoerblad!H122=0,"-",Invoerblad!H122)</f>
        <v>-</v>
      </c>
      <c r="F98" s="525" t="s">
        <v>427</v>
      </c>
      <c r="G98" s="486"/>
    </row>
    <row r="99" spans="1:7" x14ac:dyDescent="0.2">
      <c r="B99" s="526"/>
      <c r="C99" s="527"/>
      <c r="D99" s="528"/>
      <c r="E99" s="527"/>
      <c r="F99" s="527"/>
    </row>
    <row r="100" spans="1:7" x14ac:dyDescent="0.2">
      <c r="B100" s="529"/>
      <c r="D100" s="530"/>
    </row>
    <row r="101" spans="1:7" x14ac:dyDescent="0.2">
      <c r="B101" s="529"/>
      <c r="D101" s="530"/>
    </row>
    <row r="102" spans="1:7" x14ac:dyDescent="0.2">
      <c r="B102" s="529"/>
      <c r="D102" s="530"/>
    </row>
    <row r="103" spans="1:7" x14ac:dyDescent="0.2">
      <c r="B103" s="529"/>
      <c r="D103" s="530"/>
    </row>
    <row r="104" spans="1:7" x14ac:dyDescent="0.2">
      <c r="B104" s="529"/>
      <c r="D104" s="530"/>
    </row>
    <row r="105" spans="1:7" x14ac:dyDescent="0.2">
      <c r="B105" s="529"/>
      <c r="D105" s="530"/>
    </row>
    <row r="106" spans="1:7" x14ac:dyDescent="0.2">
      <c r="B106" s="529"/>
      <c r="D106" s="530"/>
    </row>
    <row r="107" spans="1:7" x14ac:dyDescent="0.2">
      <c r="B107" s="529"/>
      <c r="D107" s="530"/>
    </row>
    <row r="108" spans="1:7" x14ac:dyDescent="0.2">
      <c r="B108" s="529"/>
      <c r="D108" s="530"/>
    </row>
    <row r="109" spans="1:7" x14ac:dyDescent="0.2">
      <c r="B109" s="529"/>
      <c r="D109" s="530"/>
    </row>
    <row r="110" spans="1:7" x14ac:dyDescent="0.2">
      <c r="B110" s="529"/>
      <c r="D110" s="530"/>
    </row>
    <row r="111" spans="1:7" x14ac:dyDescent="0.2">
      <c r="B111" s="529"/>
      <c r="D111" s="530"/>
    </row>
    <row r="112" spans="1:7" x14ac:dyDescent="0.2">
      <c r="B112" s="529"/>
      <c r="D112" s="530"/>
    </row>
    <row r="113" spans="2:4" x14ac:dyDescent="0.2">
      <c r="B113" s="529"/>
      <c r="D113" s="530"/>
    </row>
    <row r="114" spans="2:4" x14ac:dyDescent="0.2">
      <c r="B114" s="529"/>
      <c r="D114" s="530"/>
    </row>
    <row r="115" spans="2:4" x14ac:dyDescent="0.2">
      <c r="B115" s="529"/>
      <c r="D115" s="530"/>
    </row>
    <row r="116" spans="2:4" x14ac:dyDescent="0.2">
      <c r="B116" s="529"/>
      <c r="D116" s="530"/>
    </row>
    <row r="117" spans="2:4" x14ac:dyDescent="0.2">
      <c r="B117" s="529"/>
      <c r="D117" s="530"/>
    </row>
    <row r="118" spans="2:4" x14ac:dyDescent="0.2">
      <c r="B118" s="529"/>
      <c r="D118" s="530"/>
    </row>
    <row r="119" spans="2:4" x14ac:dyDescent="0.2">
      <c r="B119" s="529"/>
      <c r="D119" s="530"/>
    </row>
    <row r="120" spans="2:4" x14ac:dyDescent="0.2">
      <c r="B120" s="529"/>
      <c r="D120" s="530"/>
    </row>
    <row r="121" spans="2:4" x14ac:dyDescent="0.2">
      <c r="B121" s="529"/>
      <c r="D121" s="530"/>
    </row>
    <row r="122" spans="2:4" x14ac:dyDescent="0.2">
      <c r="B122" s="529"/>
      <c r="D122" s="530"/>
    </row>
    <row r="123" spans="2:4" x14ac:dyDescent="0.2">
      <c r="B123" s="529"/>
      <c r="D123" s="530"/>
    </row>
    <row r="124" spans="2:4" x14ac:dyDescent="0.2">
      <c r="B124" s="529"/>
      <c r="D124" s="530"/>
    </row>
    <row r="125" spans="2:4" x14ac:dyDescent="0.2">
      <c r="B125" s="529"/>
      <c r="D125" s="530"/>
    </row>
    <row r="126" spans="2:4" x14ac:dyDescent="0.2">
      <c r="B126" s="529"/>
      <c r="D126" s="530"/>
    </row>
    <row r="127" spans="2:4" x14ac:dyDescent="0.2">
      <c r="B127" s="529"/>
      <c r="D127" s="530"/>
    </row>
    <row r="128" spans="2:4" x14ac:dyDescent="0.2">
      <c r="B128" s="529"/>
      <c r="D128" s="530"/>
    </row>
    <row r="129" spans="2:4" x14ac:dyDescent="0.2">
      <c r="B129" s="529"/>
      <c r="D129" s="530"/>
    </row>
    <row r="130" spans="2:4" x14ac:dyDescent="0.2">
      <c r="B130" s="529"/>
      <c r="D130" s="530"/>
    </row>
    <row r="131" spans="2:4" x14ac:dyDescent="0.2">
      <c r="B131" s="529"/>
      <c r="D131" s="530"/>
    </row>
    <row r="132" spans="2:4" x14ac:dyDescent="0.2">
      <c r="B132" s="529"/>
      <c r="D132" s="530"/>
    </row>
    <row r="133" spans="2:4" x14ac:dyDescent="0.2">
      <c r="B133" s="529"/>
      <c r="D133" s="530"/>
    </row>
    <row r="134" spans="2:4" x14ac:dyDescent="0.2">
      <c r="B134" s="529"/>
      <c r="D134" s="530"/>
    </row>
    <row r="135" spans="2:4" x14ac:dyDescent="0.2">
      <c r="B135" s="529"/>
      <c r="D135" s="530"/>
    </row>
    <row r="136" spans="2:4" x14ac:dyDescent="0.2">
      <c r="B136" s="529"/>
      <c r="D136" s="530"/>
    </row>
    <row r="137" spans="2:4" x14ac:dyDescent="0.2">
      <c r="B137" s="529"/>
      <c r="D137" s="530"/>
    </row>
    <row r="138" spans="2:4" x14ac:dyDescent="0.2">
      <c r="B138" s="529"/>
      <c r="D138" s="530"/>
    </row>
    <row r="139" spans="2:4" x14ac:dyDescent="0.2">
      <c r="B139" s="529"/>
      <c r="D139" s="530"/>
    </row>
    <row r="140" spans="2:4" x14ac:dyDescent="0.2">
      <c r="B140" s="529"/>
      <c r="D140" s="530"/>
    </row>
    <row r="141" spans="2:4" x14ac:dyDescent="0.2">
      <c r="B141" s="529"/>
      <c r="D141" s="530"/>
    </row>
    <row r="142" spans="2:4" x14ac:dyDescent="0.2">
      <c r="B142" s="529"/>
      <c r="D142" s="530"/>
    </row>
    <row r="143" spans="2:4" x14ac:dyDescent="0.2">
      <c r="B143" s="529"/>
      <c r="D143" s="530"/>
    </row>
    <row r="144" spans="2:4" x14ac:dyDescent="0.2">
      <c r="B144" s="529"/>
      <c r="D144" s="530"/>
    </row>
    <row r="145" spans="2:4" x14ac:dyDescent="0.2">
      <c r="B145" s="529"/>
      <c r="D145" s="530"/>
    </row>
    <row r="146" spans="2:4" x14ac:dyDescent="0.2">
      <c r="B146" s="529"/>
      <c r="D146" s="530"/>
    </row>
    <row r="147" spans="2:4" x14ac:dyDescent="0.2">
      <c r="B147" s="529"/>
      <c r="D147" s="530"/>
    </row>
    <row r="148" spans="2:4" x14ac:dyDescent="0.2">
      <c r="B148" s="529"/>
      <c r="D148" s="530"/>
    </row>
    <row r="149" spans="2:4" x14ac:dyDescent="0.2">
      <c r="B149" s="529"/>
      <c r="D149" s="530"/>
    </row>
    <row r="150" spans="2:4" x14ac:dyDescent="0.2">
      <c r="B150" s="529"/>
      <c r="D150" s="530"/>
    </row>
    <row r="151" spans="2:4" x14ac:dyDescent="0.2">
      <c r="B151" s="529"/>
      <c r="D151" s="530"/>
    </row>
    <row r="152" spans="2:4" x14ac:dyDescent="0.2">
      <c r="B152" s="529"/>
      <c r="D152" s="530"/>
    </row>
    <row r="153" spans="2:4" x14ac:dyDescent="0.2">
      <c r="B153" s="529"/>
      <c r="D153" s="530"/>
    </row>
    <row r="154" spans="2:4" x14ac:dyDescent="0.2">
      <c r="B154" s="529"/>
      <c r="D154" s="530"/>
    </row>
    <row r="155" spans="2:4" x14ac:dyDescent="0.2">
      <c r="B155" s="529"/>
      <c r="D155" s="530"/>
    </row>
    <row r="156" spans="2:4" x14ac:dyDescent="0.2">
      <c r="B156" s="529"/>
      <c r="D156" s="530"/>
    </row>
    <row r="157" spans="2:4" x14ac:dyDescent="0.2">
      <c r="B157" s="529"/>
      <c r="D157" s="530"/>
    </row>
    <row r="158" spans="2:4" x14ac:dyDescent="0.2">
      <c r="B158" s="529"/>
      <c r="D158" s="530"/>
    </row>
    <row r="159" spans="2:4" x14ac:dyDescent="0.2">
      <c r="B159" s="529"/>
      <c r="D159" s="530"/>
    </row>
    <row r="160" spans="2:4" x14ac:dyDescent="0.2">
      <c r="B160" s="529"/>
      <c r="D160" s="530"/>
    </row>
    <row r="161" spans="2:4" x14ac:dyDescent="0.2">
      <c r="B161" s="529"/>
      <c r="D161" s="530"/>
    </row>
    <row r="162" spans="2:4" x14ac:dyDescent="0.2">
      <c r="B162" s="529"/>
      <c r="D162" s="530"/>
    </row>
    <row r="163" spans="2:4" x14ac:dyDescent="0.2">
      <c r="B163" s="529"/>
      <c r="D163" s="530"/>
    </row>
    <row r="164" spans="2:4" x14ac:dyDescent="0.2">
      <c r="B164" s="529"/>
      <c r="D164" s="530"/>
    </row>
    <row r="165" spans="2:4" x14ac:dyDescent="0.2">
      <c r="B165" s="529"/>
      <c r="D165" s="530"/>
    </row>
    <row r="166" spans="2:4" x14ac:dyDescent="0.2">
      <c r="B166" s="529"/>
      <c r="D166" s="530"/>
    </row>
    <row r="167" spans="2:4" x14ac:dyDescent="0.2">
      <c r="B167" s="529"/>
      <c r="D167" s="530"/>
    </row>
    <row r="168" spans="2:4" x14ac:dyDescent="0.2">
      <c r="B168" s="529"/>
      <c r="D168" s="530"/>
    </row>
    <row r="169" spans="2:4" x14ac:dyDescent="0.2">
      <c r="B169" s="529"/>
      <c r="D169" s="530"/>
    </row>
    <row r="170" spans="2:4" x14ac:dyDescent="0.2">
      <c r="B170" s="530"/>
      <c r="D170" s="530"/>
    </row>
    <row r="171" spans="2:4" x14ac:dyDescent="0.2">
      <c r="B171" s="530"/>
      <c r="D171" s="530"/>
    </row>
    <row r="172" spans="2:4" x14ac:dyDescent="0.2">
      <c r="B172" s="530"/>
      <c r="D172" s="530"/>
    </row>
    <row r="173" spans="2:4" x14ac:dyDescent="0.2">
      <c r="B173" s="530"/>
      <c r="D173" s="530"/>
    </row>
    <row r="174" spans="2:4" x14ac:dyDescent="0.2">
      <c r="B174" s="530"/>
      <c r="D174" s="530"/>
    </row>
    <row r="175" spans="2:4" x14ac:dyDescent="0.2">
      <c r="B175" s="530"/>
      <c r="D175" s="530"/>
    </row>
    <row r="176" spans="2:4" x14ac:dyDescent="0.2">
      <c r="B176" s="530"/>
      <c r="D176" s="530"/>
    </row>
    <row r="177" spans="2:4" x14ac:dyDescent="0.2">
      <c r="B177" s="530"/>
      <c r="D177" s="530"/>
    </row>
    <row r="178" spans="2:4" x14ac:dyDescent="0.2">
      <c r="B178" s="530"/>
      <c r="D178" s="530"/>
    </row>
    <row r="179" spans="2:4" x14ac:dyDescent="0.2">
      <c r="B179" s="530"/>
      <c r="D179" s="530"/>
    </row>
    <row r="180" spans="2:4" x14ac:dyDescent="0.2">
      <c r="B180" s="530"/>
      <c r="D180" s="530"/>
    </row>
    <row r="181" spans="2:4" x14ac:dyDescent="0.2">
      <c r="B181" s="530"/>
      <c r="D181" s="530"/>
    </row>
    <row r="182" spans="2:4" x14ac:dyDescent="0.2">
      <c r="B182" s="530"/>
      <c r="D182" s="530"/>
    </row>
    <row r="183" spans="2:4" x14ac:dyDescent="0.2">
      <c r="B183" s="530"/>
      <c r="D183" s="530"/>
    </row>
    <row r="184" spans="2:4" x14ac:dyDescent="0.2">
      <c r="B184" s="530"/>
      <c r="D184" s="530"/>
    </row>
    <row r="185" spans="2:4" x14ac:dyDescent="0.2">
      <c r="B185" s="530"/>
      <c r="D185" s="530"/>
    </row>
    <row r="186" spans="2:4" x14ac:dyDescent="0.2">
      <c r="B186" s="530"/>
      <c r="D186" s="530"/>
    </row>
    <row r="187" spans="2:4" x14ac:dyDescent="0.2">
      <c r="B187" s="530"/>
      <c r="D187" s="530"/>
    </row>
    <row r="188" spans="2:4" x14ac:dyDescent="0.2">
      <c r="B188" s="530"/>
      <c r="D188" s="530"/>
    </row>
    <row r="189" spans="2:4" x14ac:dyDescent="0.2">
      <c r="B189" s="530"/>
      <c r="D189" s="530"/>
    </row>
    <row r="190" spans="2:4" x14ac:dyDescent="0.2">
      <c r="B190" s="530"/>
      <c r="D190" s="530"/>
    </row>
    <row r="191" spans="2:4" x14ac:dyDescent="0.2">
      <c r="B191" s="530"/>
      <c r="D191" s="530"/>
    </row>
    <row r="192" spans="2:4" x14ac:dyDescent="0.2">
      <c r="B192" s="530"/>
      <c r="D192" s="530"/>
    </row>
    <row r="193" spans="2:4" x14ac:dyDescent="0.2">
      <c r="B193" s="530"/>
      <c r="D193" s="530"/>
    </row>
    <row r="194" spans="2:4" x14ac:dyDescent="0.2">
      <c r="B194" s="530"/>
      <c r="D194" s="530"/>
    </row>
    <row r="195" spans="2:4" x14ac:dyDescent="0.2">
      <c r="B195" s="530"/>
      <c r="D195" s="530"/>
    </row>
    <row r="196" spans="2:4" x14ac:dyDescent="0.2">
      <c r="B196" s="530"/>
      <c r="D196" s="530"/>
    </row>
    <row r="197" spans="2:4" x14ac:dyDescent="0.2">
      <c r="B197" s="530"/>
      <c r="D197" s="530"/>
    </row>
    <row r="198" spans="2:4" x14ac:dyDescent="0.2">
      <c r="B198" s="530"/>
      <c r="D198" s="530"/>
    </row>
    <row r="199" spans="2:4" x14ac:dyDescent="0.2">
      <c r="B199" s="530"/>
      <c r="D199" s="530"/>
    </row>
    <row r="200" spans="2:4" x14ac:dyDescent="0.2">
      <c r="B200" s="530"/>
      <c r="D200" s="530"/>
    </row>
    <row r="201" spans="2:4" x14ac:dyDescent="0.2">
      <c r="B201" s="530"/>
      <c r="D201" s="530"/>
    </row>
    <row r="202" spans="2:4" x14ac:dyDescent="0.2">
      <c r="B202" s="530"/>
      <c r="D202" s="530"/>
    </row>
    <row r="203" spans="2:4" x14ac:dyDescent="0.2">
      <c r="B203" s="530"/>
      <c r="D203" s="530"/>
    </row>
    <row r="204" spans="2:4" x14ac:dyDescent="0.2">
      <c r="B204" s="530"/>
      <c r="D204" s="530"/>
    </row>
    <row r="205" spans="2:4" x14ac:dyDescent="0.2">
      <c r="B205" s="530"/>
      <c r="D205" s="530"/>
    </row>
    <row r="206" spans="2:4" x14ac:dyDescent="0.2">
      <c r="B206" s="530"/>
      <c r="D206" s="530"/>
    </row>
    <row r="207" spans="2:4" x14ac:dyDescent="0.2">
      <c r="B207" s="530"/>
      <c r="D207" s="530"/>
    </row>
    <row r="208" spans="2:4" x14ac:dyDescent="0.2">
      <c r="B208" s="530"/>
      <c r="D208" s="530"/>
    </row>
    <row r="209" spans="2:4" x14ac:dyDescent="0.2">
      <c r="B209" s="530"/>
      <c r="D209" s="530"/>
    </row>
    <row r="210" spans="2:4" x14ac:dyDescent="0.2">
      <c r="B210" s="530"/>
      <c r="D210" s="530"/>
    </row>
    <row r="211" spans="2:4" x14ac:dyDescent="0.2">
      <c r="B211" s="530"/>
      <c r="D211" s="530"/>
    </row>
    <row r="212" spans="2:4" x14ac:dyDescent="0.2">
      <c r="B212" s="530"/>
      <c r="D212" s="530"/>
    </row>
    <row r="213" spans="2:4" x14ac:dyDescent="0.2">
      <c r="B213" s="530"/>
      <c r="D213" s="530"/>
    </row>
    <row r="214" spans="2:4" x14ac:dyDescent="0.2">
      <c r="B214" s="530"/>
      <c r="D214" s="530"/>
    </row>
    <row r="215" spans="2:4" x14ac:dyDescent="0.2">
      <c r="B215" s="530"/>
      <c r="D215" s="530"/>
    </row>
    <row r="216" spans="2:4" x14ac:dyDescent="0.2">
      <c r="B216" s="530"/>
      <c r="D216" s="530"/>
    </row>
    <row r="217" spans="2:4" x14ac:dyDescent="0.2">
      <c r="B217" s="530"/>
      <c r="D217" s="530"/>
    </row>
    <row r="218" spans="2:4" x14ac:dyDescent="0.2">
      <c r="B218" s="530"/>
      <c r="D218" s="530"/>
    </row>
    <row r="219" spans="2:4" x14ac:dyDescent="0.2">
      <c r="B219" s="530"/>
      <c r="D219" s="530"/>
    </row>
    <row r="220" spans="2:4" x14ac:dyDescent="0.2">
      <c r="B220" s="530"/>
      <c r="D220" s="530"/>
    </row>
    <row r="221" spans="2:4" x14ac:dyDescent="0.2">
      <c r="B221" s="530"/>
      <c r="D221" s="530"/>
    </row>
    <row r="222" spans="2:4" x14ac:dyDescent="0.2">
      <c r="B222" s="530"/>
      <c r="D222" s="530"/>
    </row>
    <row r="223" spans="2:4" x14ac:dyDescent="0.2">
      <c r="B223" s="530"/>
      <c r="D223" s="530"/>
    </row>
    <row r="224" spans="2:4" x14ac:dyDescent="0.2">
      <c r="B224" s="530"/>
      <c r="D224" s="530"/>
    </row>
    <row r="225" spans="2:4" x14ac:dyDescent="0.2">
      <c r="B225" s="530"/>
      <c r="D225" s="530"/>
    </row>
    <row r="226" spans="2:4" x14ac:dyDescent="0.2">
      <c r="B226" s="530"/>
      <c r="D226" s="530"/>
    </row>
    <row r="227" spans="2:4" x14ac:dyDescent="0.2">
      <c r="B227" s="530"/>
      <c r="D227" s="530"/>
    </row>
    <row r="228" spans="2:4" x14ac:dyDescent="0.2">
      <c r="B228" s="530"/>
      <c r="D228" s="530"/>
    </row>
    <row r="229" spans="2:4" x14ac:dyDescent="0.2">
      <c r="B229" s="530"/>
      <c r="D229" s="530"/>
    </row>
    <row r="230" spans="2:4" x14ac:dyDescent="0.2">
      <c r="B230" s="530"/>
      <c r="D230" s="530"/>
    </row>
    <row r="231" spans="2:4" x14ac:dyDescent="0.2">
      <c r="B231" s="530"/>
      <c r="D231" s="530"/>
    </row>
    <row r="232" spans="2:4" x14ac:dyDescent="0.2">
      <c r="B232" s="530"/>
      <c r="D232" s="530"/>
    </row>
    <row r="233" spans="2:4" x14ac:dyDescent="0.2">
      <c r="B233" s="530"/>
      <c r="D233" s="530"/>
    </row>
    <row r="234" spans="2:4" x14ac:dyDescent="0.2">
      <c r="B234" s="530"/>
      <c r="D234" s="530"/>
    </row>
    <row r="235" spans="2:4" x14ac:dyDescent="0.2">
      <c r="B235" s="530"/>
      <c r="D235" s="530"/>
    </row>
    <row r="236" spans="2:4" x14ac:dyDescent="0.2">
      <c r="B236" s="530"/>
      <c r="D236" s="530"/>
    </row>
    <row r="237" spans="2:4" x14ac:dyDescent="0.2">
      <c r="B237" s="530"/>
      <c r="D237" s="530"/>
    </row>
    <row r="238" spans="2:4" x14ac:dyDescent="0.2">
      <c r="B238" s="530"/>
      <c r="D238" s="530"/>
    </row>
    <row r="239" spans="2:4" x14ac:dyDescent="0.2">
      <c r="B239" s="530"/>
      <c r="D239" s="530"/>
    </row>
    <row r="240" spans="2:4" x14ac:dyDescent="0.2">
      <c r="B240" s="530"/>
      <c r="D240" s="530"/>
    </row>
    <row r="241" spans="2:4" x14ac:dyDescent="0.2">
      <c r="B241" s="530"/>
      <c r="D241" s="530"/>
    </row>
    <row r="242" spans="2:4" x14ac:dyDescent="0.2">
      <c r="B242" s="530"/>
      <c r="D242" s="530"/>
    </row>
    <row r="243" spans="2:4" x14ac:dyDescent="0.2">
      <c r="B243" s="530"/>
      <c r="D243" s="530"/>
    </row>
    <row r="244" spans="2:4" x14ac:dyDescent="0.2">
      <c r="B244" s="530"/>
      <c r="D244" s="530"/>
    </row>
    <row r="245" spans="2:4" x14ac:dyDescent="0.2">
      <c r="B245" s="530"/>
      <c r="D245" s="530"/>
    </row>
    <row r="246" spans="2:4" x14ac:dyDescent="0.2">
      <c r="B246" s="530"/>
      <c r="D246" s="530"/>
    </row>
    <row r="247" spans="2:4" x14ac:dyDescent="0.2">
      <c r="B247" s="530"/>
      <c r="D247" s="530"/>
    </row>
    <row r="248" spans="2:4" x14ac:dyDescent="0.2">
      <c r="B248" s="530"/>
      <c r="D248" s="530"/>
    </row>
    <row r="249" spans="2:4" x14ac:dyDescent="0.2">
      <c r="B249" s="530"/>
      <c r="D249" s="530"/>
    </row>
    <row r="250" spans="2:4" x14ac:dyDescent="0.2">
      <c r="B250" s="530"/>
      <c r="D250" s="530"/>
    </row>
    <row r="251" spans="2:4" x14ac:dyDescent="0.2">
      <c r="B251" s="530"/>
      <c r="D251" s="530"/>
    </row>
    <row r="252" spans="2:4" x14ac:dyDescent="0.2">
      <c r="B252" s="530"/>
      <c r="D252" s="530"/>
    </row>
    <row r="253" spans="2:4" x14ac:dyDescent="0.2">
      <c r="B253" s="530"/>
      <c r="D253" s="530"/>
    </row>
    <row r="254" spans="2:4" x14ac:dyDescent="0.2">
      <c r="B254" s="530"/>
      <c r="D254" s="530"/>
    </row>
    <row r="255" spans="2:4" x14ac:dyDescent="0.2">
      <c r="B255" s="530"/>
      <c r="D255" s="530"/>
    </row>
    <row r="256" spans="2:4" x14ac:dyDescent="0.2">
      <c r="B256" s="530"/>
      <c r="D256" s="530"/>
    </row>
    <row r="257" spans="2:4" x14ac:dyDescent="0.2">
      <c r="B257" s="530"/>
      <c r="D257" s="530"/>
    </row>
    <row r="258" spans="2:4" x14ac:dyDescent="0.2">
      <c r="B258" s="530"/>
      <c r="D258" s="530"/>
    </row>
    <row r="259" spans="2:4" x14ac:dyDescent="0.2">
      <c r="B259" s="530"/>
      <c r="D259" s="530"/>
    </row>
    <row r="260" spans="2:4" x14ac:dyDescent="0.2">
      <c r="B260" s="530"/>
      <c r="D260" s="530"/>
    </row>
    <row r="261" spans="2:4" x14ac:dyDescent="0.2">
      <c r="B261" s="530"/>
      <c r="D261" s="530"/>
    </row>
    <row r="262" spans="2:4" x14ac:dyDescent="0.2">
      <c r="B262" s="530"/>
      <c r="D262" s="530"/>
    </row>
    <row r="263" spans="2:4" x14ac:dyDescent="0.2">
      <c r="B263" s="530"/>
      <c r="D263" s="530"/>
    </row>
    <row r="264" spans="2:4" x14ac:dyDescent="0.2">
      <c r="B264" s="530"/>
      <c r="D264" s="530"/>
    </row>
    <row r="265" spans="2:4" x14ac:dyDescent="0.2">
      <c r="B265" s="530"/>
      <c r="D265" s="530"/>
    </row>
    <row r="266" spans="2:4" x14ac:dyDescent="0.2">
      <c r="B266" s="530"/>
      <c r="D266" s="530"/>
    </row>
    <row r="267" spans="2:4" x14ac:dyDescent="0.2">
      <c r="B267" s="530"/>
      <c r="D267" s="530"/>
    </row>
    <row r="268" spans="2:4" x14ac:dyDescent="0.2">
      <c r="B268" s="530"/>
      <c r="D268" s="530"/>
    </row>
    <row r="269" spans="2:4" x14ac:dyDescent="0.2">
      <c r="B269" s="530"/>
      <c r="D269" s="530"/>
    </row>
    <row r="270" spans="2:4" x14ac:dyDescent="0.2">
      <c r="B270" s="530"/>
      <c r="D270" s="530"/>
    </row>
    <row r="271" spans="2:4" x14ac:dyDescent="0.2">
      <c r="B271" s="530"/>
      <c r="D271" s="530"/>
    </row>
    <row r="272" spans="2:4" x14ac:dyDescent="0.2">
      <c r="B272" s="530"/>
      <c r="D272" s="530"/>
    </row>
    <row r="273" spans="2:4" x14ac:dyDescent="0.2">
      <c r="B273" s="530"/>
      <c r="D273" s="530"/>
    </row>
    <row r="274" spans="2:4" x14ac:dyDescent="0.2">
      <c r="B274" s="530"/>
      <c r="D274" s="530"/>
    </row>
    <row r="275" spans="2:4" x14ac:dyDescent="0.2">
      <c r="B275" s="530"/>
      <c r="D275" s="530"/>
    </row>
    <row r="276" spans="2:4" x14ac:dyDescent="0.2">
      <c r="D276" s="530"/>
    </row>
    <row r="277" spans="2:4" x14ac:dyDescent="0.2">
      <c r="D277" s="530"/>
    </row>
    <row r="278" spans="2:4" x14ac:dyDescent="0.2">
      <c r="D278" s="530"/>
    </row>
    <row r="279" spans="2:4" x14ac:dyDescent="0.2">
      <c r="D279" s="530"/>
    </row>
    <row r="280" spans="2:4" x14ac:dyDescent="0.2">
      <c r="D280" s="530"/>
    </row>
    <row r="281" spans="2:4" x14ac:dyDescent="0.2">
      <c r="D281" s="530"/>
    </row>
    <row r="282" spans="2:4" x14ac:dyDescent="0.2">
      <c r="D282" s="530"/>
    </row>
    <row r="283" spans="2:4" x14ac:dyDescent="0.2">
      <c r="D283" s="530"/>
    </row>
    <row r="284" spans="2:4" x14ac:dyDescent="0.2">
      <c r="D284" s="530"/>
    </row>
    <row r="285" spans="2:4" x14ac:dyDescent="0.2">
      <c r="D285" s="530"/>
    </row>
    <row r="286" spans="2:4" x14ac:dyDescent="0.2">
      <c r="D286" s="530"/>
    </row>
    <row r="287" spans="2:4" x14ac:dyDescent="0.2">
      <c r="D287" s="530"/>
    </row>
    <row r="288" spans="2:4" x14ac:dyDescent="0.2">
      <c r="D288" s="530"/>
    </row>
    <row r="289" spans="4:4" x14ac:dyDescent="0.2">
      <c r="D289" s="530"/>
    </row>
    <row r="290" spans="4:4" x14ac:dyDescent="0.2">
      <c r="D290" s="530"/>
    </row>
    <row r="291" spans="4:4" x14ac:dyDescent="0.2">
      <c r="D291" s="530"/>
    </row>
    <row r="292" spans="4:4" x14ac:dyDescent="0.2">
      <c r="D292" s="530"/>
    </row>
    <row r="293" spans="4:4" x14ac:dyDescent="0.2">
      <c r="D293" s="530"/>
    </row>
    <row r="294" spans="4:4" x14ac:dyDescent="0.2">
      <c r="D294" s="530"/>
    </row>
    <row r="295" spans="4:4" x14ac:dyDescent="0.2">
      <c r="D295" s="530"/>
    </row>
    <row r="296" spans="4:4" x14ac:dyDescent="0.2">
      <c r="D296" s="530"/>
    </row>
    <row r="297" spans="4:4" x14ac:dyDescent="0.2">
      <c r="D297" s="530"/>
    </row>
    <row r="298" spans="4:4" x14ac:dyDescent="0.2">
      <c r="D298" s="530"/>
    </row>
    <row r="299" spans="4:4" x14ac:dyDescent="0.2">
      <c r="D299" s="530"/>
    </row>
    <row r="300" spans="4:4" x14ac:dyDescent="0.2">
      <c r="D300" s="530"/>
    </row>
    <row r="301" spans="4:4" x14ac:dyDescent="0.2">
      <c r="D301" s="530"/>
    </row>
    <row r="302" spans="4:4" x14ac:dyDescent="0.2">
      <c r="D302" s="530"/>
    </row>
    <row r="303" spans="4:4" x14ac:dyDescent="0.2">
      <c r="D303" s="530"/>
    </row>
    <row r="304" spans="4:4" x14ac:dyDescent="0.2">
      <c r="D304" s="530"/>
    </row>
    <row r="305" spans="4:4" x14ac:dyDescent="0.2">
      <c r="D305" s="530"/>
    </row>
    <row r="306" spans="4:4" x14ac:dyDescent="0.2">
      <c r="D306" s="530"/>
    </row>
    <row r="307" spans="4:4" x14ac:dyDescent="0.2">
      <c r="D307" s="530"/>
    </row>
    <row r="308" spans="4:4" x14ac:dyDescent="0.2">
      <c r="D308" s="530"/>
    </row>
    <row r="309" spans="4:4" x14ac:dyDescent="0.2">
      <c r="D309" s="530"/>
    </row>
    <row r="310" spans="4:4" x14ac:dyDescent="0.2">
      <c r="D310" s="530"/>
    </row>
    <row r="311" spans="4:4" x14ac:dyDescent="0.2">
      <c r="D311" s="530"/>
    </row>
    <row r="312" spans="4:4" x14ac:dyDescent="0.2">
      <c r="D312" s="530"/>
    </row>
    <row r="313" spans="4:4" x14ac:dyDescent="0.2">
      <c r="D313" s="530"/>
    </row>
    <row r="314" spans="4:4" x14ac:dyDescent="0.2">
      <c r="D314" s="530"/>
    </row>
    <row r="315" spans="4:4" x14ac:dyDescent="0.2">
      <c r="D315" s="530"/>
    </row>
    <row r="316" spans="4:4" x14ac:dyDescent="0.2">
      <c r="D316" s="530"/>
    </row>
    <row r="317" spans="4:4" x14ac:dyDescent="0.2">
      <c r="D317" s="530"/>
    </row>
    <row r="318" spans="4:4" x14ac:dyDescent="0.2">
      <c r="D318" s="530"/>
    </row>
    <row r="319" spans="4:4" x14ac:dyDescent="0.2">
      <c r="D319" s="530"/>
    </row>
    <row r="320" spans="4:4" x14ac:dyDescent="0.2">
      <c r="D320" s="530"/>
    </row>
    <row r="321" spans="4:4" x14ac:dyDescent="0.2">
      <c r="D321" s="530"/>
    </row>
    <row r="322" spans="4:4" x14ac:dyDescent="0.2">
      <c r="D322" s="530"/>
    </row>
    <row r="323" spans="4:4" x14ac:dyDescent="0.2">
      <c r="D323" s="530"/>
    </row>
    <row r="324" spans="4:4" x14ac:dyDescent="0.2">
      <c r="D324" s="530"/>
    </row>
    <row r="325" spans="4:4" x14ac:dyDescent="0.2">
      <c r="D325" s="530"/>
    </row>
    <row r="326" spans="4:4" x14ac:dyDescent="0.2">
      <c r="D326" s="530"/>
    </row>
    <row r="327" spans="4:4" x14ac:dyDescent="0.2">
      <c r="D327" s="530"/>
    </row>
    <row r="328" spans="4:4" x14ac:dyDescent="0.2">
      <c r="D328" s="530"/>
    </row>
    <row r="329" spans="4:4" x14ac:dyDescent="0.2">
      <c r="D329" s="530"/>
    </row>
    <row r="330" spans="4:4" x14ac:dyDescent="0.2">
      <c r="D330" s="530"/>
    </row>
    <row r="331" spans="4:4" x14ac:dyDescent="0.2">
      <c r="D331" s="530"/>
    </row>
    <row r="332" spans="4:4" x14ac:dyDescent="0.2">
      <c r="D332" s="530"/>
    </row>
    <row r="333" spans="4:4" x14ac:dyDescent="0.2">
      <c r="D333" s="530"/>
    </row>
    <row r="334" spans="4:4" x14ac:dyDescent="0.2">
      <c r="D334" s="530"/>
    </row>
    <row r="335" spans="4:4" x14ac:dyDescent="0.2">
      <c r="D335" s="530"/>
    </row>
    <row r="336" spans="4:4" x14ac:dyDescent="0.2">
      <c r="D336" s="530"/>
    </row>
    <row r="337" spans="4:4" x14ac:dyDescent="0.2">
      <c r="D337" s="530"/>
    </row>
    <row r="338" spans="4:4" x14ac:dyDescent="0.2">
      <c r="D338" s="530"/>
    </row>
    <row r="339" spans="4:4" x14ac:dyDescent="0.2">
      <c r="D339" s="530"/>
    </row>
    <row r="340" spans="4:4" x14ac:dyDescent="0.2">
      <c r="D340" s="530"/>
    </row>
    <row r="341" spans="4:4" x14ac:dyDescent="0.2">
      <c r="D341" s="530"/>
    </row>
    <row r="342" spans="4:4" x14ac:dyDescent="0.2">
      <c r="D342" s="530"/>
    </row>
    <row r="343" spans="4:4" x14ac:dyDescent="0.2">
      <c r="D343" s="530"/>
    </row>
    <row r="344" spans="4:4" x14ac:dyDescent="0.2">
      <c r="D344" s="530"/>
    </row>
    <row r="345" spans="4:4" x14ac:dyDescent="0.2">
      <c r="D345" s="530"/>
    </row>
    <row r="346" spans="4:4" x14ac:dyDescent="0.2">
      <c r="D346" s="530"/>
    </row>
    <row r="347" spans="4:4" x14ac:dyDescent="0.2">
      <c r="D347" s="530"/>
    </row>
    <row r="348" spans="4:4" x14ac:dyDescent="0.2">
      <c r="D348" s="530"/>
    </row>
    <row r="349" spans="4:4" x14ac:dyDescent="0.2">
      <c r="D349" s="530"/>
    </row>
    <row r="350" spans="4:4" x14ac:dyDescent="0.2">
      <c r="D350" s="530"/>
    </row>
    <row r="351" spans="4:4" x14ac:dyDescent="0.2">
      <c r="D351" s="530"/>
    </row>
    <row r="352" spans="4:4" x14ac:dyDescent="0.2">
      <c r="D352" s="530"/>
    </row>
    <row r="353" spans="4:4" x14ac:dyDescent="0.2">
      <c r="D353" s="530"/>
    </row>
    <row r="354" spans="4:4" x14ac:dyDescent="0.2">
      <c r="D354" s="530"/>
    </row>
    <row r="355" spans="4:4" x14ac:dyDescent="0.2">
      <c r="D355" s="530"/>
    </row>
    <row r="356" spans="4:4" x14ac:dyDescent="0.2">
      <c r="D356" s="530"/>
    </row>
    <row r="357" spans="4:4" x14ac:dyDescent="0.2">
      <c r="D357" s="530"/>
    </row>
    <row r="358" spans="4:4" x14ac:dyDescent="0.2">
      <c r="D358" s="530"/>
    </row>
    <row r="359" spans="4:4" x14ac:dyDescent="0.2">
      <c r="D359" s="530"/>
    </row>
    <row r="360" spans="4:4" x14ac:dyDescent="0.2">
      <c r="D360" s="530"/>
    </row>
    <row r="361" spans="4:4" x14ac:dyDescent="0.2">
      <c r="D361" s="530"/>
    </row>
    <row r="362" spans="4:4" x14ac:dyDescent="0.2">
      <c r="D362" s="530"/>
    </row>
    <row r="363" spans="4:4" x14ac:dyDescent="0.2">
      <c r="D363" s="530"/>
    </row>
    <row r="364" spans="4:4" x14ac:dyDescent="0.2">
      <c r="D364" s="530"/>
    </row>
    <row r="365" spans="4:4" x14ac:dyDescent="0.2">
      <c r="D365" s="530"/>
    </row>
    <row r="366" spans="4:4" x14ac:dyDescent="0.2">
      <c r="D366" s="530"/>
    </row>
    <row r="367" spans="4:4" x14ac:dyDescent="0.2">
      <c r="D367" s="530"/>
    </row>
    <row r="368" spans="4:4" x14ac:dyDescent="0.2">
      <c r="D368" s="530"/>
    </row>
    <row r="369" spans="4:4" x14ac:dyDescent="0.2">
      <c r="D369" s="530"/>
    </row>
    <row r="370" spans="4:4" x14ac:dyDescent="0.2">
      <c r="D370" s="530"/>
    </row>
    <row r="371" spans="4:4" x14ac:dyDescent="0.2">
      <c r="D371" s="530"/>
    </row>
    <row r="372" spans="4:4" x14ac:dyDescent="0.2">
      <c r="D372" s="530"/>
    </row>
  </sheetData>
  <mergeCells count="42">
    <mergeCell ref="B66:D66"/>
    <mergeCell ref="B57:D57"/>
    <mergeCell ref="B58:D58"/>
    <mergeCell ref="B59:D59"/>
    <mergeCell ref="B60:D60"/>
    <mergeCell ref="B61:D61"/>
    <mergeCell ref="B62:D62"/>
    <mergeCell ref="B63:D63"/>
    <mergeCell ref="B64:D64"/>
    <mergeCell ref="B65:D65"/>
    <mergeCell ref="B78:D78"/>
    <mergeCell ref="B67:D67"/>
    <mergeCell ref="B68:D68"/>
    <mergeCell ref="B69:D69"/>
    <mergeCell ref="B70:D70"/>
    <mergeCell ref="B71:D71"/>
    <mergeCell ref="B72:D72"/>
    <mergeCell ref="B73:D73"/>
    <mergeCell ref="B74:D74"/>
    <mergeCell ref="B75:D75"/>
    <mergeCell ref="B76:D76"/>
    <mergeCell ref="B77:D77"/>
    <mergeCell ref="B90:D90"/>
    <mergeCell ref="B79:D79"/>
    <mergeCell ref="B80:D80"/>
    <mergeCell ref="B81:D81"/>
    <mergeCell ref="B82:D82"/>
    <mergeCell ref="B83:D83"/>
    <mergeCell ref="B84:D84"/>
    <mergeCell ref="B85:D85"/>
    <mergeCell ref="B86:D86"/>
    <mergeCell ref="B87:D87"/>
    <mergeCell ref="B88:D88"/>
    <mergeCell ref="B89:D89"/>
    <mergeCell ref="B96:D96"/>
    <mergeCell ref="B97:D97"/>
    <mergeCell ref="B98:D98"/>
    <mergeCell ref="B91:D91"/>
    <mergeCell ref="B92:D92"/>
    <mergeCell ref="B93:D93"/>
    <mergeCell ref="B94:D94"/>
    <mergeCell ref="B95:D95"/>
  </mergeCells>
  <pageMargins left="0.75" right="0.75" top="1" bottom="1" header="0.5" footer="0.5"/>
  <pageSetup paperSize="9" scale="10"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3"/>
  <dimension ref="A1:V140"/>
  <sheetViews>
    <sheetView topLeftCell="A37" workbookViewId="0">
      <selection activeCell="B104" sqref="B104:B106"/>
    </sheetView>
  </sheetViews>
  <sheetFormatPr defaultRowHeight="12.75" x14ac:dyDescent="0.2"/>
  <cols>
    <col min="1" max="1" width="11.83203125" customWidth="1"/>
    <col min="2" max="2" width="151.83203125" customWidth="1"/>
    <col min="3" max="3" width="16.33203125" customWidth="1"/>
    <col min="4" max="4" width="3.6640625" customWidth="1"/>
    <col min="5" max="5" width="9.6640625" customWidth="1"/>
    <col min="7" max="7" width="5.33203125" customWidth="1"/>
    <col min="8" max="8" width="17.83203125" bestFit="1" customWidth="1"/>
    <col min="9" max="9" width="25" bestFit="1" customWidth="1"/>
    <col min="10" max="10" width="16.1640625" bestFit="1" customWidth="1"/>
    <col min="11" max="12" width="15.83203125" bestFit="1" customWidth="1"/>
    <col min="13" max="13" width="16.33203125" bestFit="1" customWidth="1"/>
    <col min="20" max="20" width="13.1640625" customWidth="1"/>
    <col min="21" max="21" width="11.6640625" customWidth="1"/>
  </cols>
  <sheetData>
    <row r="1" spans="1:22" x14ac:dyDescent="0.2">
      <c r="A1" s="289"/>
      <c r="B1" s="87"/>
      <c r="C1" s="87"/>
      <c r="D1" s="87"/>
      <c r="E1" s="87"/>
      <c r="F1" s="87"/>
      <c r="G1" s="87"/>
      <c r="H1" s="87"/>
      <c r="I1" s="87"/>
      <c r="J1" s="87"/>
      <c r="K1" s="87"/>
      <c r="L1" s="87"/>
      <c r="M1" s="87"/>
      <c r="N1" s="87"/>
    </row>
    <row r="2" spans="1:22" ht="18.75" x14ac:dyDescent="0.3">
      <c r="A2" s="287" t="s">
        <v>217</v>
      </c>
      <c r="B2" s="87"/>
      <c r="C2" s="87"/>
      <c r="D2" s="87"/>
      <c r="E2" s="87"/>
      <c r="F2" s="87"/>
      <c r="G2" s="87"/>
      <c r="H2" s="87"/>
      <c r="I2" s="87"/>
      <c r="J2" s="87"/>
      <c r="K2" s="87"/>
      <c r="L2" s="87"/>
      <c r="M2" s="87"/>
      <c r="N2" s="87"/>
    </row>
    <row r="3" spans="1:22" ht="15.75" x14ac:dyDescent="0.25">
      <c r="A3" s="162"/>
      <c r="B3" s="87"/>
      <c r="C3" s="87"/>
      <c r="D3" s="87"/>
      <c r="E3" s="87"/>
      <c r="F3" s="87"/>
      <c r="G3" s="87"/>
      <c r="H3" s="87"/>
      <c r="I3" s="87"/>
      <c r="J3" s="87"/>
      <c r="K3" s="87"/>
      <c r="L3" s="87"/>
      <c r="M3" s="87"/>
      <c r="N3" s="87"/>
    </row>
    <row r="4" spans="1:22" ht="15.75" x14ac:dyDescent="0.25">
      <c r="A4" s="162" t="s">
        <v>395</v>
      </c>
      <c r="B4" s="87"/>
      <c r="C4" s="87"/>
      <c r="D4" s="87"/>
      <c r="E4" s="87"/>
      <c r="F4" s="87"/>
      <c r="G4" s="87"/>
      <c r="H4" s="87"/>
      <c r="I4" s="87"/>
      <c r="J4" s="87"/>
      <c r="K4" s="87"/>
      <c r="L4" s="87"/>
      <c r="M4" s="87"/>
      <c r="N4" s="87"/>
      <c r="T4" s="215"/>
      <c r="U4" s="215"/>
      <c r="V4" s="215"/>
    </row>
    <row r="5" spans="1:22" ht="15.75" x14ac:dyDescent="0.25">
      <c r="A5" s="162" t="s">
        <v>303</v>
      </c>
      <c r="B5" s="87"/>
      <c r="C5" s="87"/>
      <c r="D5" s="87"/>
      <c r="E5" s="87"/>
      <c r="F5" s="87"/>
      <c r="G5" s="87"/>
      <c r="H5" s="87"/>
      <c r="I5" s="87"/>
      <c r="J5" s="87"/>
      <c r="K5" s="87"/>
      <c r="L5" s="87"/>
      <c r="M5" s="87"/>
      <c r="N5" s="87"/>
      <c r="T5" s="321"/>
      <c r="U5" s="321"/>
      <c r="V5" s="321"/>
    </row>
    <row r="6" spans="1:22" ht="15.75" x14ac:dyDescent="0.25">
      <c r="A6" s="162" t="s">
        <v>396</v>
      </c>
      <c r="B6" s="87"/>
      <c r="C6" s="87"/>
      <c r="D6" s="87"/>
      <c r="E6" s="87"/>
      <c r="F6" s="87"/>
      <c r="G6" s="87"/>
      <c r="H6" s="87"/>
      <c r="I6" s="87"/>
      <c r="J6" s="87"/>
      <c r="K6" s="87"/>
      <c r="L6" s="87"/>
      <c r="M6" s="87"/>
      <c r="N6" s="87"/>
      <c r="T6" s="322"/>
      <c r="U6" s="322"/>
      <c r="V6" s="323"/>
    </row>
    <row r="7" spans="1:22" ht="15.75" x14ac:dyDescent="0.25">
      <c r="A7" s="162" t="s">
        <v>321</v>
      </c>
      <c r="B7" s="87"/>
      <c r="C7" s="87"/>
      <c r="D7" s="87"/>
      <c r="E7" s="87"/>
      <c r="F7" s="87"/>
      <c r="G7" s="87"/>
      <c r="H7" s="87"/>
      <c r="I7" s="87"/>
      <c r="J7" s="87"/>
      <c r="K7" s="87"/>
      <c r="L7" s="87"/>
      <c r="M7" s="87"/>
      <c r="N7" s="87"/>
      <c r="T7" s="322"/>
      <c r="U7" s="322"/>
      <c r="V7" s="321"/>
    </row>
    <row r="8" spans="1:22" ht="15.75" x14ac:dyDescent="0.25">
      <c r="A8" s="162"/>
      <c r="B8" s="87"/>
      <c r="C8" s="87"/>
      <c r="D8" s="87"/>
      <c r="E8" s="87"/>
      <c r="F8" s="87"/>
      <c r="G8" s="87"/>
      <c r="H8" s="87"/>
      <c r="I8" s="87"/>
      <c r="J8" s="87"/>
      <c r="K8" s="87"/>
      <c r="L8" s="87"/>
      <c r="M8" s="87"/>
      <c r="N8" s="87"/>
      <c r="T8" s="322"/>
      <c r="U8" s="322"/>
      <c r="V8" s="321"/>
    </row>
    <row r="9" spans="1:22" ht="15.75" x14ac:dyDescent="0.25">
      <c r="A9" s="162"/>
      <c r="B9" s="87"/>
      <c r="C9" s="87"/>
      <c r="D9" s="87"/>
      <c r="E9" s="87"/>
      <c r="F9" s="87"/>
      <c r="G9" s="87"/>
      <c r="H9" s="87"/>
      <c r="I9" s="87"/>
      <c r="J9" s="87"/>
      <c r="K9" s="87"/>
      <c r="L9" s="87"/>
      <c r="M9" s="87"/>
      <c r="N9" s="87"/>
      <c r="T9" s="322"/>
      <c r="U9" s="322"/>
      <c r="V9" s="321"/>
    </row>
    <row r="10" spans="1:22" x14ac:dyDescent="0.2">
      <c r="A10" s="87" t="s">
        <v>127</v>
      </c>
      <c r="B10" s="87"/>
      <c r="C10" s="87"/>
      <c r="D10" s="87"/>
      <c r="E10" s="87"/>
      <c r="F10" s="87"/>
      <c r="G10" s="87"/>
      <c r="H10" s="87"/>
      <c r="I10" s="87"/>
      <c r="J10" s="87"/>
      <c r="K10" s="87"/>
      <c r="L10" s="87"/>
      <c r="M10" s="87"/>
      <c r="N10" s="87"/>
      <c r="T10" s="322"/>
      <c r="U10" s="322"/>
      <c r="V10" s="321"/>
    </row>
    <row r="11" spans="1:22" x14ac:dyDescent="0.2">
      <c r="A11" s="87" t="s">
        <v>128</v>
      </c>
      <c r="B11" s="87"/>
      <c r="C11" s="87"/>
      <c r="D11" s="87"/>
      <c r="E11" s="87"/>
      <c r="F11" s="87"/>
      <c r="G11" s="87"/>
      <c r="H11" s="87"/>
      <c r="I11" s="87"/>
      <c r="J11" s="87"/>
      <c r="K11" s="87"/>
      <c r="L11" s="87"/>
      <c r="M11" s="87"/>
      <c r="N11" s="87"/>
      <c r="T11" s="322"/>
      <c r="U11" s="322"/>
      <c r="V11" s="321"/>
    </row>
    <row r="12" spans="1:22" x14ac:dyDescent="0.2">
      <c r="A12" s="87" t="s">
        <v>153</v>
      </c>
      <c r="B12" s="87"/>
      <c r="C12" s="87"/>
      <c r="D12" s="87"/>
      <c r="E12" s="87"/>
      <c r="F12" s="87"/>
      <c r="G12" s="87"/>
      <c r="H12" s="87"/>
      <c r="I12" s="87"/>
      <c r="J12" s="87"/>
      <c r="K12" s="87"/>
      <c r="L12" s="87"/>
      <c r="M12" s="87"/>
      <c r="N12" s="87"/>
      <c r="T12" s="322"/>
      <c r="U12" s="322"/>
      <c r="V12" s="321"/>
    </row>
    <row r="13" spans="1:22" x14ac:dyDescent="0.2">
      <c r="A13" s="87"/>
      <c r="B13" s="87"/>
      <c r="C13" s="87"/>
      <c r="D13" s="87"/>
      <c r="E13" s="87"/>
      <c r="F13" s="87"/>
      <c r="G13" s="87"/>
      <c r="H13" s="87"/>
      <c r="I13" s="87"/>
      <c r="J13" s="87"/>
      <c r="K13" s="87"/>
      <c r="L13" s="87"/>
      <c r="M13" s="87"/>
      <c r="N13" s="87"/>
      <c r="T13" s="6"/>
      <c r="U13" s="6"/>
      <c r="V13" s="6"/>
    </row>
    <row r="14" spans="1:22" x14ac:dyDescent="0.2">
      <c r="A14" s="87"/>
      <c r="B14" s="87"/>
      <c r="C14" s="87"/>
      <c r="D14" s="87"/>
      <c r="E14" s="87"/>
      <c r="F14" s="87"/>
      <c r="G14" s="87"/>
      <c r="H14" s="87"/>
      <c r="I14" s="87"/>
      <c r="J14" s="87"/>
      <c r="K14" s="87"/>
      <c r="L14" s="87"/>
      <c r="M14" s="87"/>
      <c r="N14" s="87"/>
    </row>
    <row r="15" spans="1:22" x14ac:dyDescent="0.2">
      <c r="A15" s="87" t="s">
        <v>154</v>
      </c>
      <c r="B15" s="87"/>
      <c r="C15" s="87"/>
      <c r="D15" s="87"/>
      <c r="E15" s="87"/>
      <c r="F15" s="87"/>
      <c r="G15" s="87"/>
      <c r="H15" s="87"/>
      <c r="I15" s="87"/>
      <c r="J15" s="87"/>
      <c r="K15" s="87"/>
      <c r="L15" s="87"/>
      <c r="M15" s="87"/>
      <c r="N15" s="87"/>
    </row>
    <row r="16" spans="1:22" x14ac:dyDescent="0.2">
      <c r="A16" s="242"/>
      <c r="B16" s="242"/>
      <c r="C16" s="87"/>
      <c r="D16" s="87"/>
      <c r="E16" s="87"/>
      <c r="F16" s="87"/>
      <c r="G16" s="87"/>
      <c r="H16" s="87"/>
      <c r="I16" s="87"/>
      <c r="J16" s="87"/>
      <c r="K16" s="87"/>
      <c r="L16" s="87"/>
      <c r="M16" s="87"/>
      <c r="N16" s="87"/>
    </row>
    <row r="17" spans="1:14" x14ac:dyDescent="0.2">
      <c r="A17" s="242"/>
      <c r="B17" s="242"/>
      <c r="C17" s="87"/>
      <c r="D17" s="87"/>
      <c r="E17" s="87"/>
      <c r="F17" s="87"/>
      <c r="G17" s="87"/>
      <c r="H17" s="87"/>
      <c r="I17" s="87"/>
      <c r="J17" s="87"/>
      <c r="K17" s="87"/>
      <c r="L17" s="87"/>
      <c r="M17" s="87"/>
      <c r="N17" s="87"/>
    </row>
    <row r="18" spans="1:14" x14ac:dyDescent="0.2">
      <c r="A18" s="215" t="s">
        <v>84</v>
      </c>
      <c r="C18" s="87"/>
      <c r="D18" s="87"/>
      <c r="E18" s="87"/>
      <c r="F18" s="87"/>
      <c r="G18" s="87"/>
      <c r="H18" s="87"/>
      <c r="I18" s="87"/>
      <c r="J18" s="87"/>
      <c r="K18" s="87"/>
      <c r="L18" s="87"/>
      <c r="M18" s="87"/>
      <c r="N18" s="87"/>
    </row>
    <row r="19" spans="1:14" ht="15.75" x14ac:dyDescent="0.2">
      <c r="B19" s="464" t="s">
        <v>152</v>
      </c>
      <c r="C19" s="87"/>
      <c r="D19" s="87"/>
      <c r="E19" s="87"/>
      <c r="F19" s="87"/>
      <c r="G19" s="87"/>
      <c r="H19" s="87"/>
      <c r="I19" s="87"/>
      <c r="J19" s="87"/>
      <c r="K19" s="87"/>
      <c r="L19" s="87"/>
      <c r="M19" s="87"/>
      <c r="N19" s="87"/>
    </row>
    <row r="20" spans="1:14" ht="15.75" x14ac:dyDescent="0.2">
      <c r="B20" s="464"/>
      <c r="C20" s="87"/>
      <c r="D20" s="87"/>
      <c r="E20" s="87"/>
      <c r="F20" s="87"/>
      <c r="G20" s="87"/>
      <c r="H20" s="87"/>
      <c r="I20" s="87"/>
      <c r="J20" s="87"/>
      <c r="K20" s="87"/>
      <c r="L20" s="87"/>
      <c r="M20" s="87"/>
      <c r="N20" s="87"/>
    </row>
    <row r="21" spans="1:14" x14ac:dyDescent="0.2">
      <c r="A21" s="450"/>
      <c r="B21" s="451"/>
      <c r="C21" s="451"/>
      <c r="D21" s="451"/>
      <c r="E21" s="451"/>
      <c r="F21" s="451"/>
      <c r="G21" s="451"/>
      <c r="H21" s="451"/>
      <c r="I21" s="451"/>
      <c r="J21" s="451"/>
      <c r="K21" s="87"/>
      <c r="L21" s="87"/>
      <c r="M21" s="87"/>
      <c r="N21" s="87"/>
    </row>
    <row r="22" spans="1:14" x14ac:dyDescent="0.2">
      <c r="A22" s="450" t="s">
        <v>215</v>
      </c>
      <c r="B22" s="451"/>
      <c r="C22" s="451"/>
      <c r="D22" s="451"/>
      <c r="E22" s="451"/>
      <c r="F22" s="451"/>
      <c r="G22" s="451"/>
      <c r="H22" s="451"/>
      <c r="I22" s="451"/>
      <c r="J22" s="451"/>
      <c r="K22" s="87"/>
      <c r="L22" s="87"/>
      <c r="M22" s="87"/>
      <c r="N22" s="87"/>
    </row>
    <row r="23" spans="1:14" x14ac:dyDescent="0.2">
      <c r="A23" s="452">
        <v>1</v>
      </c>
      <c r="B23" s="451" t="s">
        <v>89</v>
      </c>
      <c r="C23" s="451"/>
      <c r="D23" s="451"/>
      <c r="E23" s="451"/>
      <c r="F23" s="451"/>
      <c r="G23" s="451"/>
      <c r="H23" s="451"/>
      <c r="I23" s="451"/>
      <c r="J23" s="451"/>
      <c r="K23" s="87"/>
      <c r="L23" s="87"/>
      <c r="M23" s="87"/>
      <c r="N23" s="87"/>
    </row>
    <row r="24" spans="1:14" x14ac:dyDescent="0.2">
      <c r="A24" s="452">
        <v>2</v>
      </c>
      <c r="B24" s="451" t="s">
        <v>331</v>
      </c>
      <c r="C24" s="451"/>
      <c r="D24" s="451"/>
      <c r="E24" s="451"/>
      <c r="F24" s="451"/>
      <c r="G24" s="451"/>
      <c r="H24" s="451"/>
      <c r="I24" s="451"/>
      <c r="J24" s="451"/>
      <c r="K24" s="87"/>
      <c r="L24" s="87"/>
      <c r="M24" s="87"/>
      <c r="N24" s="87"/>
    </row>
    <row r="25" spans="1:14" ht="25.5" x14ac:dyDescent="0.2">
      <c r="A25" s="452">
        <v>5</v>
      </c>
      <c r="B25" s="566" t="s">
        <v>475</v>
      </c>
      <c r="C25" s="451"/>
      <c r="D25" s="451"/>
      <c r="E25" s="451"/>
      <c r="F25" s="451"/>
      <c r="G25" s="451"/>
      <c r="H25" s="451"/>
      <c r="I25" s="451"/>
      <c r="J25" s="451"/>
      <c r="K25" s="87"/>
      <c r="L25" s="87"/>
      <c r="M25" s="87"/>
      <c r="N25" s="87"/>
    </row>
    <row r="26" spans="1:14" ht="25.5" x14ac:dyDescent="0.2">
      <c r="A26" s="567" t="s">
        <v>342</v>
      </c>
      <c r="B26" s="566" t="s">
        <v>476</v>
      </c>
      <c r="C26" s="451"/>
      <c r="D26" s="451"/>
      <c r="E26" s="451"/>
      <c r="F26" s="451"/>
      <c r="G26" s="451"/>
      <c r="H26" s="451"/>
      <c r="I26" s="451"/>
      <c r="J26" s="451"/>
      <c r="K26" s="87"/>
      <c r="L26" s="87"/>
      <c r="M26" s="87"/>
      <c r="N26" s="87"/>
    </row>
    <row r="27" spans="1:14" x14ac:dyDescent="0.2">
      <c r="A27" s="452">
        <v>7</v>
      </c>
      <c r="B27" s="451" t="s">
        <v>353</v>
      </c>
      <c r="C27" s="451"/>
      <c r="D27" s="451"/>
      <c r="E27" s="451"/>
      <c r="F27" s="451"/>
      <c r="G27" s="451"/>
      <c r="H27" s="451"/>
      <c r="I27" s="451"/>
      <c r="J27" s="451"/>
      <c r="K27" s="87"/>
      <c r="L27" s="87"/>
      <c r="M27" s="87"/>
      <c r="N27" s="87"/>
    </row>
    <row r="28" spans="1:14" x14ac:dyDescent="0.2">
      <c r="A28" s="567" t="s">
        <v>489</v>
      </c>
      <c r="B28" s="566" t="s">
        <v>477</v>
      </c>
      <c r="C28" s="451"/>
      <c r="D28" s="451"/>
      <c r="E28" s="451"/>
      <c r="F28" s="451"/>
      <c r="G28" s="451"/>
      <c r="H28" s="451"/>
      <c r="I28" s="451"/>
      <c r="J28" s="451"/>
      <c r="K28" s="87"/>
      <c r="L28" s="87"/>
      <c r="M28" s="87"/>
      <c r="N28" s="87"/>
    </row>
    <row r="29" spans="1:14" ht="25.5" x14ac:dyDescent="0.2">
      <c r="A29" s="452">
        <v>8</v>
      </c>
      <c r="B29" s="566" t="s">
        <v>478</v>
      </c>
      <c r="C29" s="451"/>
      <c r="D29" s="451"/>
      <c r="E29" s="451"/>
      <c r="F29" s="451"/>
      <c r="G29" s="451"/>
      <c r="H29" s="451"/>
      <c r="I29" s="451"/>
      <c r="J29" s="451"/>
      <c r="K29" s="87"/>
      <c r="L29" s="87"/>
      <c r="M29" s="87"/>
      <c r="N29" s="87"/>
    </row>
    <row r="30" spans="1:14" ht="25.5" x14ac:dyDescent="0.2">
      <c r="A30" s="567" t="s">
        <v>486</v>
      </c>
      <c r="B30" s="566" t="s">
        <v>479</v>
      </c>
      <c r="C30" s="451"/>
      <c r="D30" s="451"/>
      <c r="E30" s="451"/>
      <c r="F30" s="451"/>
      <c r="G30" s="451"/>
      <c r="H30" s="451"/>
      <c r="I30" s="451"/>
      <c r="J30" s="451"/>
      <c r="K30" s="87"/>
      <c r="L30" s="87"/>
      <c r="M30" s="87"/>
      <c r="N30" s="87"/>
    </row>
    <row r="31" spans="1:14" ht="25.5" x14ac:dyDescent="0.2">
      <c r="A31" s="567" t="s">
        <v>487</v>
      </c>
      <c r="B31" s="566" t="s">
        <v>482</v>
      </c>
      <c r="C31" s="451"/>
      <c r="D31" s="451"/>
      <c r="E31" s="451"/>
      <c r="F31" s="451"/>
      <c r="G31" s="451"/>
      <c r="H31" s="451"/>
      <c r="I31" s="451"/>
      <c r="J31" s="451"/>
      <c r="K31" s="87"/>
      <c r="L31" s="87"/>
      <c r="M31" s="87"/>
      <c r="N31" s="87"/>
    </row>
    <row r="32" spans="1:14" x14ac:dyDescent="0.2">
      <c r="A32" s="567" t="s">
        <v>488</v>
      </c>
      <c r="B32" s="566" t="s">
        <v>483</v>
      </c>
      <c r="C32" s="451"/>
      <c r="D32" s="451"/>
      <c r="E32" s="451"/>
      <c r="F32" s="451"/>
      <c r="G32" s="451"/>
      <c r="H32" s="451"/>
      <c r="I32" s="451"/>
      <c r="J32" s="451"/>
      <c r="K32" s="87"/>
      <c r="L32" s="87"/>
      <c r="M32" s="87"/>
      <c r="N32" s="87"/>
    </row>
    <row r="33" spans="1:14" x14ac:dyDescent="0.2">
      <c r="A33" s="452">
        <v>9</v>
      </c>
      <c r="B33" s="451" t="s">
        <v>294</v>
      </c>
      <c r="C33" s="451"/>
      <c r="D33" s="451"/>
      <c r="E33" s="451"/>
      <c r="F33" s="451"/>
      <c r="G33" s="451"/>
      <c r="H33" s="451"/>
      <c r="I33" s="451"/>
      <c r="J33" s="451"/>
      <c r="K33" s="87"/>
      <c r="L33" s="87"/>
      <c r="M33" s="87"/>
      <c r="N33" s="87"/>
    </row>
    <row r="34" spans="1:14" x14ac:dyDescent="0.2">
      <c r="A34" s="452">
        <v>10</v>
      </c>
      <c r="B34" s="451" t="s">
        <v>198</v>
      </c>
      <c r="C34" s="451"/>
      <c r="D34" s="451"/>
      <c r="E34" s="451"/>
      <c r="F34" s="451"/>
      <c r="G34" s="451"/>
      <c r="H34" s="451"/>
      <c r="I34" s="451"/>
      <c r="J34" s="451"/>
      <c r="K34" s="87"/>
      <c r="L34" s="87"/>
      <c r="M34" s="87"/>
      <c r="N34" s="87"/>
    </row>
    <row r="35" spans="1:14" x14ac:dyDescent="0.2">
      <c r="A35" s="452">
        <v>11</v>
      </c>
      <c r="B35" s="451" t="s">
        <v>397</v>
      </c>
      <c r="C35" s="451"/>
      <c r="D35" s="451"/>
      <c r="E35" s="451"/>
      <c r="F35" s="451"/>
      <c r="G35" s="451"/>
      <c r="H35" s="451"/>
      <c r="I35" s="451"/>
      <c r="J35" s="451"/>
      <c r="K35" s="87"/>
      <c r="L35" s="87"/>
      <c r="M35" s="87"/>
      <c r="N35" s="87"/>
    </row>
    <row r="36" spans="1:14" s="18" customFormat="1" ht="16.5" customHeight="1" x14ac:dyDescent="0.2">
      <c r="A36" s="452">
        <v>12</v>
      </c>
      <c r="B36" s="451" t="s">
        <v>209</v>
      </c>
      <c r="C36" s="451"/>
      <c r="D36" s="451"/>
      <c r="E36" s="451"/>
      <c r="F36" s="451"/>
      <c r="G36" s="451"/>
      <c r="H36" s="451"/>
      <c r="I36" s="451"/>
      <c r="J36" s="451"/>
      <c r="K36" s="87"/>
      <c r="L36" s="87"/>
      <c r="M36" s="87"/>
      <c r="N36" s="87"/>
    </row>
    <row r="37" spans="1:14" ht="93" customHeight="1" x14ac:dyDescent="0.2">
      <c r="A37" s="452">
        <v>13</v>
      </c>
      <c r="B37" s="451" t="s">
        <v>86</v>
      </c>
      <c r="C37" s="451"/>
      <c r="D37" s="451"/>
      <c r="E37" s="451"/>
      <c r="F37" s="451"/>
      <c r="G37" s="451"/>
      <c r="H37" s="451"/>
      <c r="I37" s="451"/>
      <c r="J37" s="451"/>
      <c r="K37" s="87"/>
      <c r="L37" s="87"/>
      <c r="M37" s="87"/>
      <c r="N37" s="87"/>
    </row>
    <row r="38" spans="1:14" ht="25.5" x14ac:dyDescent="0.2">
      <c r="A38" s="452"/>
      <c r="B38" s="451" t="s">
        <v>336</v>
      </c>
      <c r="C38" s="451"/>
      <c r="D38" s="451"/>
      <c r="E38" s="451"/>
      <c r="F38" s="451"/>
      <c r="G38" s="451"/>
      <c r="H38" s="451"/>
      <c r="I38" s="451"/>
      <c r="J38" s="451"/>
      <c r="K38" s="87"/>
      <c r="L38" s="87"/>
      <c r="M38" s="87"/>
      <c r="N38" s="87"/>
    </row>
    <row r="39" spans="1:14" ht="93" customHeight="1" x14ac:dyDescent="0.2">
      <c r="A39" s="452">
        <v>14</v>
      </c>
      <c r="B39" s="451" t="s">
        <v>354</v>
      </c>
      <c r="C39" s="451"/>
      <c r="D39" s="451"/>
      <c r="E39" s="451"/>
      <c r="F39" s="451"/>
      <c r="G39" s="451"/>
      <c r="H39" s="451"/>
      <c r="I39" s="451"/>
      <c r="J39" s="451"/>
      <c r="K39" s="87"/>
      <c r="L39" s="87"/>
      <c r="M39" s="87"/>
      <c r="N39" s="87"/>
    </row>
    <row r="40" spans="1:14" x14ac:dyDescent="0.2">
      <c r="A40" s="224" t="s">
        <v>129</v>
      </c>
      <c r="B40" s="87" t="s">
        <v>172</v>
      </c>
      <c r="C40" s="87"/>
      <c r="D40" s="87"/>
      <c r="E40" s="87"/>
      <c r="I40" s="87"/>
      <c r="J40" s="87"/>
      <c r="K40" s="87"/>
      <c r="L40" s="87"/>
      <c r="M40" s="87"/>
      <c r="N40" s="87"/>
    </row>
    <row r="41" spans="1:14" x14ac:dyDescent="0.2">
      <c r="A41" s="224">
        <v>15</v>
      </c>
      <c r="B41" s="587" t="s">
        <v>525</v>
      </c>
      <c r="C41" s="296"/>
      <c r="D41" s="87"/>
      <c r="E41" s="87"/>
      <c r="J41" s="87"/>
      <c r="K41" s="87"/>
      <c r="L41" s="87"/>
      <c r="M41" s="87"/>
      <c r="N41" s="87"/>
    </row>
    <row r="42" spans="1:14" x14ac:dyDescent="0.2">
      <c r="A42" s="224">
        <v>16</v>
      </c>
      <c r="B42" s="587" t="s">
        <v>526</v>
      </c>
      <c r="C42" s="296"/>
      <c r="D42" s="87"/>
      <c r="J42" s="87"/>
      <c r="K42" s="87"/>
      <c r="L42" s="87"/>
      <c r="M42" s="87"/>
      <c r="N42" s="87"/>
    </row>
    <row r="43" spans="1:14" x14ac:dyDescent="0.2">
      <c r="A43" s="224">
        <v>17</v>
      </c>
      <c r="B43" s="587" t="s">
        <v>526</v>
      </c>
      <c r="C43" s="296"/>
      <c r="D43" s="87"/>
      <c r="J43" s="87"/>
      <c r="K43" s="87"/>
      <c r="L43" s="87"/>
      <c r="M43" s="87"/>
      <c r="N43" s="87"/>
    </row>
    <row r="44" spans="1:14" x14ac:dyDescent="0.2">
      <c r="A44" s="224">
        <v>18</v>
      </c>
      <c r="B44" s="451" t="s">
        <v>337</v>
      </c>
      <c r="C44" s="307"/>
      <c r="D44" s="87"/>
      <c r="F44" s="307"/>
      <c r="G44" s="87"/>
      <c r="J44" s="87"/>
      <c r="K44" s="87"/>
      <c r="L44" s="87"/>
      <c r="M44" s="87"/>
      <c r="N44" s="87"/>
    </row>
    <row r="45" spans="1:14" ht="14.25" customHeight="1" x14ac:dyDescent="0.2">
      <c r="A45" s="224">
        <v>19</v>
      </c>
      <c r="B45" s="451" t="s">
        <v>338</v>
      </c>
      <c r="C45" s="87"/>
      <c r="D45" s="87"/>
      <c r="E45" s="87"/>
      <c r="F45" s="87"/>
      <c r="G45" s="87"/>
      <c r="H45" s="87"/>
      <c r="I45" s="87"/>
      <c r="J45" s="87"/>
      <c r="K45" s="87"/>
      <c r="L45" s="87"/>
      <c r="M45" s="87"/>
      <c r="N45" s="87"/>
    </row>
    <row r="46" spans="1:14" ht="14.25" customHeight="1" x14ac:dyDescent="0.2">
      <c r="A46" s="224">
        <v>20</v>
      </c>
      <c r="B46" s="451" t="s">
        <v>339</v>
      </c>
      <c r="C46" s="87"/>
      <c r="D46" s="87"/>
      <c r="E46" s="87"/>
      <c r="F46" s="87"/>
      <c r="G46" s="87"/>
      <c r="H46" s="87"/>
      <c r="I46" s="87"/>
      <c r="J46" s="87"/>
      <c r="K46" s="87"/>
      <c r="L46" s="87"/>
      <c r="M46" s="87"/>
      <c r="N46" s="87"/>
    </row>
    <row r="47" spans="1:14" x14ac:dyDescent="0.2">
      <c r="A47" s="224">
        <v>21</v>
      </c>
      <c r="B47" s="87" t="s">
        <v>7</v>
      </c>
      <c r="C47" s="87"/>
      <c r="D47" s="87"/>
      <c r="E47" s="87"/>
      <c r="F47" s="87"/>
      <c r="G47" s="87"/>
      <c r="H47" s="87"/>
      <c r="I47" s="87"/>
      <c r="J47" s="87"/>
      <c r="K47" s="87"/>
      <c r="L47" s="87"/>
      <c r="M47" s="87"/>
      <c r="N47" s="87"/>
    </row>
    <row r="48" spans="1:14" x14ac:dyDescent="0.2">
      <c r="A48" s="224"/>
      <c r="B48" s="87" t="s">
        <v>300</v>
      </c>
      <c r="C48" s="87"/>
      <c r="D48" s="87"/>
      <c r="E48" s="87"/>
      <c r="F48" s="87"/>
      <c r="G48" s="87"/>
      <c r="H48" s="87"/>
      <c r="I48" s="87"/>
      <c r="J48" s="87"/>
      <c r="K48" s="87"/>
      <c r="L48" s="87"/>
      <c r="M48" s="87"/>
      <c r="N48" s="87"/>
    </row>
    <row r="49" spans="1:14" ht="13.5" thickBot="1" x14ac:dyDescent="0.25">
      <c r="A49" s="224"/>
      <c r="B49" s="225" t="s">
        <v>242</v>
      </c>
      <c r="C49" s="87"/>
      <c r="D49" s="87"/>
      <c r="E49" s="87"/>
      <c r="F49" s="218"/>
      <c r="G49" s="218"/>
      <c r="H49" s="87"/>
      <c r="I49" s="87"/>
      <c r="J49" s="87"/>
      <c r="K49" s="87"/>
      <c r="L49" s="87"/>
      <c r="M49" s="87"/>
      <c r="N49" s="87"/>
    </row>
    <row r="50" spans="1:14" ht="13.5" thickBot="1" x14ac:dyDescent="0.25">
      <c r="A50" s="224"/>
      <c r="B50" s="244"/>
      <c r="C50" s="243"/>
      <c r="D50" s="218"/>
      <c r="E50" s="218"/>
      <c r="F50" s="218"/>
      <c r="G50" s="218"/>
      <c r="H50" s="218"/>
      <c r="I50" s="87"/>
      <c r="J50" s="87"/>
      <c r="K50" s="242"/>
      <c r="L50" s="87"/>
      <c r="M50" s="87"/>
      <c r="N50" s="87"/>
    </row>
    <row r="51" spans="1:14" x14ac:dyDescent="0.2">
      <c r="A51" s="224"/>
      <c r="B51" s="241" t="s">
        <v>240</v>
      </c>
      <c r="C51" s="285">
        <v>0.25</v>
      </c>
      <c r="D51" s="453"/>
      <c r="E51" s="453"/>
      <c r="F51" s="117"/>
      <c r="G51" s="117"/>
      <c r="H51" s="117"/>
      <c r="I51" s="87"/>
      <c r="J51" s="87"/>
      <c r="K51" s="87"/>
      <c r="L51" s="87"/>
      <c r="M51" s="87"/>
      <c r="N51" s="87"/>
    </row>
    <row r="52" spans="1:14" ht="13.5" thickBot="1" x14ac:dyDescent="0.25">
      <c r="A52" s="224"/>
      <c r="B52" s="240" t="s">
        <v>241</v>
      </c>
      <c r="C52" s="284">
        <v>0.52</v>
      </c>
      <c r="D52" s="454"/>
      <c r="E52" s="454"/>
      <c r="F52" s="117"/>
      <c r="G52" s="117"/>
      <c r="H52" s="117"/>
      <c r="I52" s="87"/>
      <c r="J52" s="87"/>
      <c r="K52" s="87"/>
      <c r="L52" s="87"/>
      <c r="M52" s="87"/>
      <c r="N52" s="87"/>
    </row>
    <row r="53" spans="1:14" x14ac:dyDescent="0.2">
      <c r="A53" s="87"/>
      <c r="B53" s="87" t="s">
        <v>301</v>
      </c>
      <c r="C53" s="87"/>
      <c r="D53" s="87"/>
      <c r="E53" s="87"/>
      <c r="F53" s="87"/>
      <c r="G53" s="87"/>
      <c r="H53" s="87"/>
      <c r="I53" s="87"/>
      <c r="J53" s="87"/>
      <c r="K53" s="87"/>
      <c r="L53" s="87"/>
      <c r="M53" s="87"/>
      <c r="N53" s="87"/>
    </row>
    <row r="54" spans="1:14" x14ac:dyDescent="0.2">
      <c r="A54" s="87"/>
      <c r="B54" s="239" t="s">
        <v>4</v>
      </c>
      <c r="C54" s="87"/>
      <c r="D54" s="87"/>
      <c r="E54" s="87"/>
      <c r="F54" s="87"/>
      <c r="G54" s="87"/>
      <c r="H54" s="87"/>
      <c r="I54" s="87"/>
      <c r="J54" s="87"/>
      <c r="K54" s="87"/>
      <c r="L54" s="87"/>
      <c r="M54" s="87"/>
      <c r="N54" s="87"/>
    </row>
    <row r="55" spans="1:14" x14ac:dyDescent="0.2">
      <c r="A55" s="87"/>
      <c r="B55" s="87" t="s">
        <v>5</v>
      </c>
      <c r="C55" s="87"/>
      <c r="D55" s="87"/>
      <c r="E55" s="87"/>
      <c r="F55" s="87"/>
      <c r="G55" s="87"/>
      <c r="H55" s="87"/>
      <c r="I55" s="87"/>
      <c r="J55" s="87"/>
      <c r="K55" s="87"/>
      <c r="L55" s="87"/>
      <c r="M55" s="87"/>
      <c r="N55" s="87"/>
    </row>
    <row r="56" spans="1:14" x14ac:dyDescent="0.2">
      <c r="A56" s="224">
        <v>22</v>
      </c>
      <c r="B56" s="87" t="s">
        <v>313</v>
      </c>
      <c r="C56" s="87"/>
      <c r="D56" s="87"/>
      <c r="E56" s="87"/>
      <c r="F56" s="87"/>
      <c r="G56" s="87"/>
      <c r="H56" s="87"/>
      <c r="I56" s="87"/>
      <c r="J56" s="87"/>
      <c r="K56" s="87"/>
      <c r="L56" s="87"/>
      <c r="M56" s="87"/>
      <c r="N56" s="87"/>
    </row>
    <row r="57" spans="1:14" ht="25.5" x14ac:dyDescent="0.2">
      <c r="A57" s="452">
        <v>23</v>
      </c>
      <c r="B57" s="451" t="s">
        <v>340</v>
      </c>
      <c r="C57" s="87"/>
      <c r="D57" s="87"/>
      <c r="E57" s="87"/>
      <c r="F57" s="87"/>
      <c r="G57" s="87"/>
      <c r="H57" s="87"/>
      <c r="I57" s="87"/>
      <c r="J57" s="87"/>
      <c r="K57" s="87"/>
      <c r="L57" s="87"/>
      <c r="M57" s="87"/>
      <c r="N57" s="87"/>
    </row>
    <row r="58" spans="1:14" ht="63.75" x14ac:dyDescent="0.2">
      <c r="A58" s="452" t="s">
        <v>130</v>
      </c>
      <c r="B58" s="451" t="s">
        <v>355</v>
      </c>
      <c r="C58" s="87"/>
      <c r="D58" s="87"/>
      <c r="E58" s="87"/>
      <c r="F58" s="87"/>
      <c r="G58" s="87"/>
      <c r="H58" s="87"/>
      <c r="I58" s="87"/>
      <c r="J58" s="87"/>
      <c r="K58" s="87"/>
      <c r="L58" s="87"/>
      <c r="M58" s="87"/>
      <c r="N58" s="87"/>
    </row>
    <row r="59" spans="1:14" ht="38.25" x14ac:dyDescent="0.2">
      <c r="A59" s="452">
        <v>26</v>
      </c>
      <c r="B59" s="451" t="s">
        <v>356</v>
      </c>
      <c r="C59" s="87"/>
      <c r="D59" s="87"/>
      <c r="E59" s="87"/>
      <c r="F59" s="87"/>
      <c r="G59" s="87"/>
      <c r="H59" s="87"/>
      <c r="I59" s="87"/>
      <c r="J59" s="87"/>
      <c r="K59" s="87"/>
      <c r="L59" s="87"/>
      <c r="M59" s="87"/>
      <c r="N59" s="87"/>
    </row>
    <row r="60" spans="1:14" ht="63.75" x14ac:dyDescent="0.2">
      <c r="A60" s="452">
        <v>27</v>
      </c>
      <c r="B60" s="451" t="s">
        <v>341</v>
      </c>
      <c r="C60" s="87"/>
      <c r="D60" s="87"/>
      <c r="E60" s="87"/>
      <c r="F60" s="87"/>
      <c r="G60" s="87"/>
      <c r="H60" s="87"/>
      <c r="I60" s="87"/>
      <c r="J60" s="87"/>
      <c r="K60" s="87"/>
      <c r="L60" s="87"/>
      <c r="M60" s="87"/>
      <c r="N60" s="87"/>
    </row>
    <row r="61" spans="1:14" x14ac:dyDescent="0.2">
      <c r="A61" s="452">
        <v>29</v>
      </c>
      <c r="B61" s="451" t="s">
        <v>200</v>
      </c>
      <c r="C61" s="87"/>
      <c r="D61" s="87"/>
      <c r="E61" s="87"/>
      <c r="F61" s="87"/>
      <c r="G61" s="87"/>
      <c r="H61" s="87"/>
      <c r="I61" s="87"/>
      <c r="J61" s="87"/>
      <c r="K61" s="87"/>
      <c r="L61" s="87"/>
      <c r="M61" s="87"/>
      <c r="N61" s="87"/>
    </row>
    <row r="62" spans="1:14" ht="51" x14ac:dyDescent="0.2">
      <c r="A62" s="452" t="s">
        <v>131</v>
      </c>
      <c r="B62" s="451" t="s">
        <v>348</v>
      </c>
      <c r="C62" s="87"/>
      <c r="D62" s="87"/>
      <c r="E62" s="87"/>
      <c r="F62" s="87"/>
      <c r="G62" s="87"/>
      <c r="H62" s="87"/>
      <c r="I62" s="87"/>
      <c r="J62" s="87"/>
      <c r="K62" s="87"/>
      <c r="L62" s="87"/>
      <c r="M62" s="87"/>
      <c r="N62" s="87"/>
    </row>
    <row r="63" spans="1:14" x14ac:dyDescent="0.2">
      <c r="A63" s="452">
        <v>32</v>
      </c>
      <c r="B63" s="451" t="s">
        <v>349</v>
      </c>
      <c r="C63" s="87"/>
      <c r="D63" s="87"/>
      <c r="E63" s="87"/>
      <c r="F63" s="87"/>
      <c r="G63" s="87"/>
      <c r="H63" s="87"/>
      <c r="I63" s="87"/>
      <c r="J63" s="87"/>
      <c r="K63" s="87"/>
      <c r="L63" s="87"/>
      <c r="M63" s="87"/>
      <c r="N63" s="87"/>
    </row>
    <row r="64" spans="1:14" x14ac:dyDescent="0.2">
      <c r="A64" s="452">
        <v>33</v>
      </c>
      <c r="B64" s="451" t="s">
        <v>233</v>
      </c>
      <c r="C64" s="87"/>
      <c r="D64" s="87"/>
      <c r="E64" s="87"/>
      <c r="F64" s="87"/>
      <c r="G64" s="87"/>
      <c r="H64" s="87"/>
      <c r="I64" s="87"/>
      <c r="J64" s="87"/>
      <c r="K64" s="87"/>
      <c r="L64" s="87"/>
      <c r="M64" s="87"/>
      <c r="N64" s="87"/>
    </row>
    <row r="65" spans="1:14" ht="25.5" x14ac:dyDescent="0.2">
      <c r="A65" s="452">
        <v>34</v>
      </c>
      <c r="B65" s="451" t="s">
        <v>350</v>
      </c>
      <c r="C65" s="87"/>
      <c r="D65" s="87"/>
      <c r="E65" s="87"/>
      <c r="F65" s="87"/>
      <c r="G65" s="87"/>
      <c r="H65" s="87"/>
      <c r="I65" s="87"/>
      <c r="J65" s="87"/>
      <c r="K65" s="87"/>
      <c r="L65" s="87"/>
      <c r="M65" s="87"/>
      <c r="N65" s="87"/>
    </row>
    <row r="66" spans="1:14" ht="89.25" x14ac:dyDescent="0.2">
      <c r="A66" s="452" t="s">
        <v>132</v>
      </c>
      <c r="B66" s="451" t="s">
        <v>351</v>
      </c>
      <c r="C66" s="87"/>
      <c r="D66" s="87"/>
      <c r="E66" s="87"/>
      <c r="F66" s="87"/>
      <c r="G66" s="87"/>
      <c r="H66" s="87"/>
      <c r="I66" s="87"/>
      <c r="J66" s="1"/>
      <c r="K66" s="1"/>
      <c r="L66" s="1"/>
      <c r="M66" s="1"/>
      <c r="N66" s="1"/>
    </row>
    <row r="67" spans="1:14" ht="18" customHeight="1" x14ac:dyDescent="0.2">
      <c r="A67" s="452">
        <v>39</v>
      </c>
      <c r="B67" s="455" t="s">
        <v>360</v>
      </c>
      <c r="C67" s="87"/>
      <c r="D67" s="87"/>
      <c r="E67" s="87"/>
      <c r="F67" s="87"/>
      <c r="G67" s="87"/>
      <c r="H67" s="87"/>
      <c r="I67" s="87"/>
      <c r="J67" s="87"/>
      <c r="K67" s="87"/>
      <c r="L67" s="87"/>
      <c r="M67" s="87"/>
      <c r="N67" s="87"/>
    </row>
    <row r="68" spans="1:14" ht="15.75" customHeight="1" x14ac:dyDescent="0.2">
      <c r="A68" s="224">
        <v>40</v>
      </c>
      <c r="B68" s="455" t="s">
        <v>352</v>
      </c>
      <c r="C68" s="87"/>
      <c r="D68" s="87"/>
      <c r="E68" s="87"/>
      <c r="F68" s="87"/>
      <c r="G68" s="87"/>
      <c r="H68" s="87"/>
      <c r="I68" s="87"/>
      <c r="J68" s="87"/>
      <c r="K68" s="87"/>
      <c r="L68" s="87"/>
      <c r="M68" s="87"/>
      <c r="N68" s="87"/>
    </row>
    <row r="69" spans="1:14" ht="25.5" x14ac:dyDescent="0.2">
      <c r="A69" s="224">
        <v>41</v>
      </c>
      <c r="B69" s="466" t="s">
        <v>361</v>
      </c>
      <c r="C69" s="87"/>
      <c r="D69" s="87"/>
      <c r="E69" s="87"/>
      <c r="F69" s="87"/>
      <c r="G69" s="87"/>
      <c r="H69" s="87"/>
      <c r="I69" s="87"/>
      <c r="J69" s="87"/>
      <c r="K69" s="87"/>
      <c r="L69" s="87"/>
      <c r="M69" s="87"/>
      <c r="N69" s="87"/>
    </row>
    <row r="70" spans="1:14" x14ac:dyDescent="0.2">
      <c r="A70" s="224">
        <v>42</v>
      </c>
      <c r="B70" s="87" t="s">
        <v>362</v>
      </c>
      <c r="C70" s="87"/>
      <c r="D70" s="87"/>
      <c r="E70" s="87"/>
      <c r="F70" s="87"/>
      <c r="G70" s="87"/>
      <c r="H70" s="87"/>
      <c r="I70" s="87"/>
      <c r="J70" s="87"/>
      <c r="K70" s="87"/>
      <c r="L70" s="87"/>
      <c r="M70" s="87"/>
      <c r="N70" s="87"/>
    </row>
    <row r="71" spans="1:14" x14ac:dyDescent="0.2">
      <c r="A71" s="224">
        <v>43</v>
      </c>
      <c r="B71" s="87" t="s">
        <v>302</v>
      </c>
      <c r="C71" s="87"/>
      <c r="D71" s="87"/>
      <c r="E71" s="87"/>
      <c r="F71" s="87"/>
      <c r="G71" s="87"/>
      <c r="H71" s="87"/>
      <c r="I71" s="87"/>
      <c r="J71" s="87"/>
      <c r="K71" s="87"/>
      <c r="L71" s="87"/>
      <c r="M71" s="87"/>
      <c r="N71" s="87"/>
    </row>
    <row r="72" spans="1:14" x14ac:dyDescent="0.2">
      <c r="A72" s="224"/>
      <c r="B72" s="87" t="s">
        <v>173</v>
      </c>
      <c r="C72" s="87"/>
      <c r="D72" s="87"/>
      <c r="E72" s="87"/>
      <c r="F72" s="87"/>
      <c r="G72" s="87"/>
      <c r="H72" s="87"/>
      <c r="I72" s="87"/>
      <c r="J72" s="87"/>
      <c r="K72" s="87"/>
      <c r="L72" s="87"/>
      <c r="M72" s="87"/>
      <c r="N72" s="87"/>
    </row>
    <row r="73" spans="1:14" ht="13.5" thickBot="1" x14ac:dyDescent="0.25">
      <c r="A73" s="224"/>
      <c r="B73" s="87"/>
      <c r="C73" s="87"/>
      <c r="D73" s="87"/>
      <c r="E73" s="87"/>
      <c r="F73" s="87"/>
      <c r="G73" s="87"/>
      <c r="H73" s="226"/>
      <c r="I73" s="87"/>
      <c r="J73" s="87"/>
      <c r="K73" s="87"/>
      <c r="L73" s="87"/>
      <c r="M73" s="87"/>
      <c r="N73" s="87"/>
    </row>
    <row r="74" spans="1:14" x14ac:dyDescent="0.2">
      <c r="A74" s="224"/>
      <c r="B74" s="233" t="s">
        <v>307</v>
      </c>
      <c r="C74" s="232"/>
      <c r="D74" s="232"/>
      <c r="E74" s="231"/>
      <c r="F74" s="87"/>
      <c r="G74" s="87"/>
      <c r="H74" s="226"/>
      <c r="I74" s="87"/>
      <c r="J74" s="87"/>
      <c r="K74" s="87"/>
      <c r="L74" s="87"/>
      <c r="M74" s="87"/>
      <c r="N74" s="87"/>
    </row>
    <row r="75" spans="1:14" x14ac:dyDescent="0.2">
      <c r="A75" s="224"/>
      <c r="B75" s="175" t="s">
        <v>304</v>
      </c>
      <c r="C75" s="176" t="s">
        <v>305</v>
      </c>
      <c r="D75" s="176"/>
      <c r="E75" s="177" t="s">
        <v>306</v>
      </c>
      <c r="F75" s="87"/>
      <c r="G75" s="87"/>
      <c r="H75" s="226"/>
      <c r="I75" s="87"/>
      <c r="J75" s="87"/>
      <c r="K75" s="87"/>
      <c r="L75" s="87"/>
      <c r="M75" s="87"/>
      <c r="N75" s="87"/>
    </row>
    <row r="76" spans="1:14" x14ac:dyDescent="0.2">
      <c r="A76" s="224"/>
      <c r="B76" s="230"/>
      <c r="C76" s="228"/>
      <c r="D76" s="228"/>
      <c r="E76" s="238"/>
      <c r="F76" s="87"/>
      <c r="G76" s="87"/>
      <c r="H76" s="226"/>
      <c r="I76" s="87"/>
      <c r="J76" s="87"/>
      <c r="K76" s="87"/>
      <c r="L76" s="87"/>
      <c r="M76" s="87"/>
      <c r="N76" s="87"/>
    </row>
    <row r="77" spans="1:14" x14ac:dyDescent="0.2">
      <c r="A77" s="224"/>
      <c r="B77" s="651" t="s">
        <v>527</v>
      </c>
      <c r="C77" s="228"/>
      <c r="D77" s="228"/>
      <c r="E77" s="238"/>
      <c r="F77" s="87"/>
      <c r="G77" s="87"/>
      <c r="H77" s="226"/>
      <c r="I77" s="87"/>
      <c r="J77" s="87"/>
      <c r="K77" s="87"/>
      <c r="L77" s="87"/>
      <c r="M77" s="87"/>
      <c r="N77" s="87"/>
    </row>
    <row r="78" spans="1:14" x14ac:dyDescent="0.2">
      <c r="A78" s="224"/>
      <c r="B78" s="286" t="s">
        <v>111</v>
      </c>
      <c r="C78" s="228"/>
      <c r="D78" s="6"/>
      <c r="E78" s="238"/>
      <c r="F78" s="87"/>
      <c r="G78" s="87"/>
      <c r="H78" s="226"/>
      <c r="I78" s="87"/>
      <c r="J78" s="87"/>
      <c r="K78" s="87"/>
      <c r="L78" s="87"/>
      <c r="M78" s="87"/>
      <c r="N78" s="87"/>
    </row>
    <row r="79" spans="1:14" ht="13.5" thickBot="1" x14ac:dyDescent="0.25">
      <c r="A79" s="224"/>
      <c r="B79" s="237"/>
      <c r="C79" s="229"/>
      <c r="D79" s="229"/>
      <c r="E79" s="236"/>
      <c r="F79" s="87"/>
      <c r="G79" s="87"/>
      <c r="H79" s="226"/>
      <c r="I79" s="87"/>
      <c r="J79" s="87"/>
      <c r="K79" s="87"/>
      <c r="L79" s="87"/>
      <c r="M79" s="87"/>
      <c r="N79" s="87"/>
    </row>
    <row r="80" spans="1:14" x14ac:dyDescent="0.2">
      <c r="A80" s="224"/>
      <c r="B80" s="228"/>
      <c r="C80" s="228"/>
      <c r="D80" s="228"/>
      <c r="E80" s="235"/>
      <c r="F80" s="87"/>
      <c r="G80" s="87"/>
      <c r="H80" s="226"/>
      <c r="I80" s="87"/>
      <c r="J80" s="87"/>
      <c r="K80" s="87"/>
      <c r="L80" s="87"/>
      <c r="M80" s="87"/>
      <c r="N80" s="87"/>
    </row>
    <row r="81" spans="1:14" x14ac:dyDescent="0.2">
      <c r="A81" s="224"/>
      <c r="C81" s="87"/>
      <c r="D81" s="87"/>
      <c r="E81" s="87"/>
      <c r="F81" s="87"/>
      <c r="G81" s="87"/>
      <c r="H81" s="226"/>
      <c r="I81" s="87"/>
      <c r="J81" s="87"/>
      <c r="K81" s="87"/>
      <c r="L81" s="87"/>
      <c r="M81" s="87"/>
      <c r="N81" s="87"/>
    </row>
    <row r="82" spans="1:14" x14ac:dyDescent="0.2">
      <c r="A82" s="224" t="s">
        <v>133</v>
      </c>
      <c r="B82" s="218" t="s">
        <v>366</v>
      </c>
      <c r="C82" s="87"/>
      <c r="D82" s="87"/>
      <c r="E82" s="87"/>
      <c r="F82" s="87"/>
      <c r="G82" s="87"/>
      <c r="H82" s="226"/>
      <c r="I82" s="87"/>
      <c r="J82" s="234"/>
      <c r="K82" s="87"/>
      <c r="L82" s="87"/>
      <c r="M82" s="87"/>
      <c r="N82" s="87"/>
    </row>
    <row r="83" spans="1:14" x14ac:dyDescent="0.2">
      <c r="A83" s="224">
        <v>44</v>
      </c>
      <c r="B83" s="93" t="s">
        <v>468</v>
      </c>
      <c r="C83" s="87"/>
      <c r="D83" s="87"/>
      <c r="E83" s="87"/>
      <c r="F83" s="87"/>
      <c r="G83" s="87"/>
      <c r="H83" s="226"/>
      <c r="I83" s="87"/>
      <c r="J83" s="234"/>
      <c r="K83" s="87"/>
      <c r="L83" s="87"/>
      <c r="M83" s="87"/>
      <c r="N83" s="87"/>
    </row>
    <row r="84" spans="1:14" x14ac:dyDescent="0.2">
      <c r="A84" s="224">
        <v>45</v>
      </c>
      <c r="B84" s="93" t="s">
        <v>469</v>
      </c>
      <c r="C84" s="87"/>
      <c r="D84" s="87"/>
      <c r="E84" s="87"/>
      <c r="F84" s="87"/>
      <c r="G84" s="87"/>
      <c r="H84" s="226"/>
      <c r="I84" s="87"/>
      <c r="J84" s="234"/>
      <c r="K84" s="87"/>
      <c r="L84" s="87"/>
      <c r="M84" s="87"/>
      <c r="N84" s="87"/>
    </row>
    <row r="85" spans="1:14" ht="25.5" x14ac:dyDescent="0.2">
      <c r="A85" s="452">
        <v>46</v>
      </c>
      <c r="B85" s="456" t="s">
        <v>174</v>
      </c>
      <c r="C85" s="87"/>
      <c r="D85" s="87"/>
      <c r="E85" s="87"/>
      <c r="F85" s="87"/>
      <c r="G85" s="87"/>
      <c r="H85" s="226"/>
      <c r="I85" s="87"/>
      <c r="J85" s="234"/>
      <c r="K85" s="87"/>
      <c r="L85" s="87"/>
      <c r="M85" s="87"/>
      <c r="N85" s="87"/>
    </row>
    <row r="86" spans="1:14" x14ac:dyDescent="0.2">
      <c r="A86" s="452" t="s">
        <v>125</v>
      </c>
      <c r="B86" s="451" t="s">
        <v>175</v>
      </c>
      <c r="C86" s="87"/>
      <c r="D86" s="87"/>
      <c r="E86" s="87"/>
      <c r="F86" s="87"/>
      <c r="G86" s="87"/>
      <c r="H86" s="87"/>
      <c r="I86" s="87"/>
      <c r="J86" s="87"/>
      <c r="K86" s="87"/>
      <c r="L86" s="87"/>
      <c r="M86" s="87"/>
      <c r="N86" s="87"/>
    </row>
    <row r="87" spans="1:14" ht="25.5" x14ac:dyDescent="0.2">
      <c r="A87" s="452" t="s">
        <v>126</v>
      </c>
      <c r="B87" s="456" t="s">
        <v>363</v>
      </c>
      <c r="C87" s="87"/>
      <c r="D87" s="87"/>
      <c r="E87" s="87"/>
      <c r="F87" s="87"/>
      <c r="G87" s="87"/>
      <c r="H87" s="87"/>
      <c r="I87" s="87"/>
      <c r="J87" s="87"/>
      <c r="K87" s="87"/>
      <c r="L87" s="87"/>
      <c r="M87" s="87"/>
      <c r="N87" s="87"/>
    </row>
    <row r="88" spans="1:14" ht="25.5" x14ac:dyDescent="0.2">
      <c r="A88" s="452">
        <v>53</v>
      </c>
      <c r="B88" s="451" t="s">
        <v>364</v>
      </c>
      <c r="C88" s="87"/>
      <c r="D88" s="87"/>
      <c r="E88" s="87"/>
      <c r="F88" s="87"/>
      <c r="G88" s="87"/>
      <c r="H88" s="87"/>
      <c r="I88" s="87"/>
      <c r="J88" s="87"/>
      <c r="K88" s="87"/>
      <c r="L88" s="87"/>
      <c r="M88" s="87"/>
      <c r="N88" s="87"/>
    </row>
    <row r="89" spans="1:14" ht="25.5" x14ac:dyDescent="0.2">
      <c r="A89" s="567" t="s">
        <v>484</v>
      </c>
      <c r="B89" s="566" t="s">
        <v>491</v>
      </c>
      <c r="C89" s="87"/>
      <c r="D89" s="87"/>
      <c r="E89" s="87"/>
      <c r="F89" s="87"/>
      <c r="G89" s="87"/>
      <c r="H89" s="87"/>
      <c r="I89" s="87"/>
      <c r="J89" s="87"/>
      <c r="K89" s="87"/>
      <c r="L89" s="87"/>
      <c r="M89" s="87"/>
      <c r="N89" s="87"/>
    </row>
    <row r="90" spans="1:14" ht="25.5" x14ac:dyDescent="0.2">
      <c r="A90" s="567" t="s">
        <v>485</v>
      </c>
      <c r="B90" s="566" t="s">
        <v>492</v>
      </c>
      <c r="C90" s="87"/>
      <c r="D90" s="87"/>
      <c r="E90" s="87"/>
      <c r="F90" s="87"/>
      <c r="G90" s="87"/>
      <c r="H90" s="87"/>
      <c r="I90" s="87"/>
      <c r="J90" s="87"/>
      <c r="K90" s="87"/>
      <c r="L90" s="87"/>
      <c r="M90" s="87"/>
      <c r="N90" s="87"/>
    </row>
    <row r="91" spans="1:14" x14ac:dyDescent="0.2">
      <c r="A91" s="452">
        <v>54</v>
      </c>
      <c r="B91" s="451" t="s">
        <v>365</v>
      </c>
      <c r="C91" s="87"/>
      <c r="D91" s="87"/>
      <c r="E91" s="87"/>
      <c r="F91" s="87"/>
      <c r="G91" s="87"/>
      <c r="H91" s="87"/>
      <c r="I91" s="87"/>
      <c r="J91" s="87"/>
      <c r="K91" s="87"/>
      <c r="L91" s="87"/>
      <c r="M91" s="87"/>
      <c r="N91" s="87"/>
    </row>
    <row r="92" spans="1:14" x14ac:dyDescent="0.2">
      <c r="A92" s="567" t="s">
        <v>345</v>
      </c>
      <c r="B92" s="566" t="s">
        <v>490</v>
      </c>
      <c r="C92" s="87"/>
      <c r="D92" s="87"/>
      <c r="E92" s="87"/>
      <c r="F92" s="87"/>
      <c r="G92" s="87"/>
      <c r="H92" s="87"/>
      <c r="I92" s="87"/>
      <c r="J92" s="87"/>
      <c r="K92" s="87"/>
      <c r="L92" s="87"/>
      <c r="M92" s="87"/>
      <c r="N92" s="87"/>
    </row>
    <row r="93" spans="1:14" x14ac:dyDescent="0.2">
      <c r="A93" s="452"/>
      <c r="B93" s="451"/>
      <c r="C93" s="226"/>
      <c r="D93" s="226"/>
      <c r="E93" s="226"/>
      <c r="F93" s="87"/>
      <c r="G93" s="87"/>
      <c r="H93" s="87"/>
      <c r="I93" s="87"/>
      <c r="J93" s="87"/>
      <c r="K93" s="87"/>
      <c r="L93" s="87"/>
      <c r="M93" s="87"/>
      <c r="N93" s="87"/>
    </row>
    <row r="94" spans="1:14" ht="14.25" x14ac:dyDescent="0.2">
      <c r="A94" s="227"/>
      <c r="B94" s="87"/>
      <c r="C94" s="87"/>
      <c r="D94" s="87"/>
      <c r="E94" s="87"/>
      <c r="F94" s="87"/>
      <c r="G94" s="87"/>
      <c r="H94" s="87"/>
      <c r="I94" s="87"/>
      <c r="J94" s="87"/>
      <c r="K94" s="87"/>
      <c r="L94" s="87"/>
      <c r="M94" s="87"/>
      <c r="N94" s="87"/>
    </row>
    <row r="95" spans="1:14" x14ac:dyDescent="0.2">
      <c r="A95" s="225" t="s">
        <v>216</v>
      </c>
      <c r="B95" s="87"/>
      <c r="C95" s="87"/>
      <c r="D95" s="87"/>
      <c r="E95" s="87"/>
      <c r="F95" s="87"/>
      <c r="G95" s="87"/>
      <c r="H95" s="87"/>
      <c r="I95" s="87"/>
      <c r="J95" s="87"/>
      <c r="K95" s="87"/>
      <c r="L95" s="87"/>
      <c r="M95" s="87"/>
      <c r="N95" s="87"/>
    </row>
    <row r="96" spans="1:14" s="133" customFormat="1" ht="25.5" x14ac:dyDescent="0.2">
      <c r="A96" s="452">
        <v>55</v>
      </c>
      <c r="B96" s="566" t="s">
        <v>480</v>
      </c>
      <c r="C96" s="87"/>
      <c r="D96" s="87"/>
      <c r="E96" s="87"/>
      <c r="F96" s="87"/>
      <c r="G96" s="87"/>
      <c r="H96" s="87"/>
      <c r="I96" s="87"/>
      <c r="J96" s="226"/>
      <c r="K96" s="226"/>
      <c r="L96" s="226"/>
      <c r="M96" s="226"/>
      <c r="N96" s="226"/>
    </row>
    <row r="97" spans="1:14" s="133" customFormat="1" ht="25.5" x14ac:dyDescent="0.2">
      <c r="A97" s="452">
        <v>57</v>
      </c>
      <c r="B97" s="566" t="s">
        <v>481</v>
      </c>
      <c r="C97" s="87"/>
      <c r="D97" s="87"/>
      <c r="E97" s="87"/>
      <c r="F97" s="226"/>
      <c r="G97" s="226"/>
      <c r="H97" s="226"/>
      <c r="I97" s="226"/>
      <c r="J97" s="226"/>
      <c r="K97" s="226"/>
      <c r="L97" s="226"/>
      <c r="M97" s="226"/>
      <c r="N97" s="226"/>
    </row>
    <row r="98" spans="1:14" s="133" customFormat="1" x14ac:dyDescent="0.2">
      <c r="A98" s="452">
        <v>58</v>
      </c>
      <c r="B98" s="451" t="s">
        <v>367</v>
      </c>
      <c r="C98" s="87"/>
      <c r="D98" s="87"/>
      <c r="E98" s="87"/>
      <c r="F98" s="226"/>
      <c r="G98" s="226"/>
      <c r="H98" s="226"/>
      <c r="I98" s="226"/>
      <c r="J98" s="226"/>
      <c r="K98" s="226"/>
      <c r="L98" s="226"/>
      <c r="M98" s="226"/>
      <c r="N98" s="226"/>
    </row>
    <row r="99" spans="1:14" ht="25.5" x14ac:dyDescent="0.2">
      <c r="A99" s="457">
        <v>59</v>
      </c>
      <c r="B99" s="451" t="s">
        <v>332</v>
      </c>
      <c r="C99" s="87"/>
      <c r="D99" s="87"/>
      <c r="E99" s="87"/>
      <c r="F99" s="87"/>
      <c r="G99" s="87"/>
      <c r="H99" s="87"/>
      <c r="I99" s="87"/>
      <c r="J99" s="87"/>
      <c r="K99" s="87"/>
      <c r="L99" s="87"/>
      <c r="M99" s="87"/>
      <c r="N99" s="87"/>
    </row>
    <row r="100" spans="1:14" x14ac:dyDescent="0.2">
      <c r="A100" s="457">
        <v>60</v>
      </c>
      <c r="B100" s="451" t="s">
        <v>171</v>
      </c>
      <c r="C100" s="87"/>
      <c r="D100" s="87"/>
      <c r="E100" s="87"/>
      <c r="F100" s="87"/>
      <c r="G100" s="87"/>
      <c r="H100" s="87"/>
      <c r="I100" s="87"/>
      <c r="J100" s="87"/>
      <c r="K100" s="87"/>
      <c r="L100" s="87"/>
      <c r="M100" s="87"/>
      <c r="N100" s="87"/>
    </row>
    <row r="101" spans="1:14" x14ac:dyDescent="0.2">
      <c r="A101" s="452">
        <v>61</v>
      </c>
      <c r="B101" s="451" t="s">
        <v>114</v>
      </c>
      <c r="C101" s="87"/>
      <c r="D101" s="87"/>
      <c r="E101" s="87"/>
      <c r="F101" s="87"/>
      <c r="G101" s="87"/>
      <c r="H101" s="87"/>
      <c r="I101" s="87"/>
      <c r="J101" s="87"/>
      <c r="K101" s="87"/>
      <c r="L101" s="87"/>
      <c r="M101" s="87"/>
      <c r="N101" s="87"/>
    </row>
    <row r="102" spans="1:14" ht="25.5" x14ac:dyDescent="0.2">
      <c r="A102" s="452">
        <v>62</v>
      </c>
      <c r="B102" s="451" t="s">
        <v>368</v>
      </c>
      <c r="C102" s="87"/>
      <c r="D102" s="87"/>
      <c r="E102" s="87"/>
      <c r="F102" s="87"/>
      <c r="G102" s="87"/>
      <c r="H102" s="87"/>
      <c r="I102" s="87"/>
      <c r="J102" s="87"/>
      <c r="K102" s="87"/>
      <c r="L102" s="87"/>
      <c r="M102" s="87"/>
      <c r="N102" s="87"/>
    </row>
    <row r="103" spans="1:14" x14ac:dyDescent="0.2">
      <c r="A103" s="452">
        <v>63</v>
      </c>
      <c r="B103" s="451" t="s">
        <v>333</v>
      </c>
      <c r="C103" s="87"/>
      <c r="D103" s="87"/>
      <c r="E103" s="87"/>
      <c r="F103" s="87"/>
      <c r="G103" s="87"/>
      <c r="H103" s="87"/>
      <c r="I103" s="87"/>
      <c r="J103" s="87"/>
      <c r="K103" s="87"/>
      <c r="L103" s="87"/>
      <c r="M103" s="87"/>
      <c r="N103" s="87"/>
    </row>
    <row r="104" spans="1:14" x14ac:dyDescent="0.2">
      <c r="A104" s="452">
        <v>69</v>
      </c>
      <c r="B104" s="451" t="s">
        <v>334</v>
      </c>
      <c r="C104" s="87"/>
      <c r="D104" s="87"/>
      <c r="E104" s="87"/>
      <c r="F104" s="87"/>
      <c r="G104" s="87"/>
      <c r="H104" s="87"/>
      <c r="I104" s="87"/>
      <c r="J104" s="87"/>
      <c r="K104" s="87"/>
      <c r="L104" s="87"/>
      <c r="M104" s="87"/>
      <c r="N104" s="87"/>
    </row>
    <row r="105" spans="1:14" x14ac:dyDescent="0.2">
      <c r="A105" s="452">
        <v>70</v>
      </c>
      <c r="B105" s="451" t="s">
        <v>369</v>
      </c>
      <c r="C105" s="87"/>
      <c r="D105" s="87"/>
      <c r="E105" s="87"/>
      <c r="F105" s="87"/>
      <c r="G105" s="87"/>
      <c r="H105" s="87"/>
      <c r="I105" s="87"/>
      <c r="J105" s="87"/>
      <c r="K105" s="87"/>
      <c r="L105" s="87"/>
      <c r="M105" s="87"/>
      <c r="N105" s="87"/>
    </row>
    <row r="106" spans="1:14" x14ac:dyDescent="0.2">
      <c r="A106" s="452">
        <v>71</v>
      </c>
      <c r="B106" s="455" t="s">
        <v>370</v>
      </c>
      <c r="C106" s="87"/>
      <c r="D106" s="87"/>
      <c r="E106" s="87"/>
      <c r="F106" s="87"/>
      <c r="G106" s="87"/>
      <c r="H106" s="87"/>
      <c r="I106" s="87"/>
      <c r="J106" s="87"/>
      <c r="K106" s="87"/>
      <c r="L106" s="87"/>
      <c r="M106" s="87"/>
      <c r="N106" s="87"/>
    </row>
    <row r="107" spans="1:14" x14ac:dyDescent="0.2">
      <c r="A107" s="224">
        <v>72</v>
      </c>
      <c r="B107" s="87" t="s">
        <v>371</v>
      </c>
      <c r="C107" s="87"/>
      <c r="D107" s="87"/>
      <c r="E107" s="87"/>
      <c r="F107" s="87"/>
      <c r="G107" s="87"/>
      <c r="H107" s="87"/>
      <c r="I107" s="87"/>
      <c r="J107" s="87"/>
      <c r="K107" s="87"/>
      <c r="L107" s="87"/>
      <c r="M107" s="87"/>
      <c r="N107" s="87"/>
    </row>
    <row r="108" spans="1:14" x14ac:dyDescent="0.2">
      <c r="A108" s="224"/>
      <c r="B108" s="226"/>
      <c r="C108" s="87"/>
      <c r="D108" s="87"/>
      <c r="E108" s="87"/>
      <c r="F108" s="87"/>
      <c r="G108" s="87"/>
      <c r="H108" s="87"/>
      <c r="I108" s="87"/>
      <c r="J108" s="87"/>
      <c r="K108" s="87"/>
      <c r="L108" s="87"/>
      <c r="M108" s="87"/>
      <c r="N108" s="87"/>
    </row>
    <row r="109" spans="1:14" x14ac:dyDescent="0.2">
      <c r="A109" s="225" t="s">
        <v>134</v>
      </c>
      <c r="B109" s="87"/>
      <c r="C109" s="87"/>
      <c r="D109" s="87"/>
      <c r="E109" s="87"/>
      <c r="F109" s="87"/>
      <c r="G109" s="87"/>
      <c r="H109" s="87"/>
      <c r="I109" s="87"/>
      <c r="J109" s="87"/>
      <c r="K109" s="87"/>
      <c r="L109" s="87"/>
      <c r="M109" s="87"/>
      <c r="N109" s="87"/>
    </row>
    <row r="110" spans="1:14" x14ac:dyDescent="0.2">
      <c r="A110" s="225"/>
      <c r="B110" s="87"/>
      <c r="C110" s="87"/>
      <c r="D110" s="87"/>
      <c r="E110" s="87"/>
      <c r="F110" s="87"/>
      <c r="G110" s="87"/>
      <c r="H110" s="87"/>
      <c r="I110" s="87"/>
      <c r="J110" s="87"/>
      <c r="K110" s="87"/>
      <c r="L110" s="87"/>
      <c r="M110" s="87"/>
      <c r="N110" s="87"/>
    </row>
    <row r="111" spans="1:14" x14ac:dyDescent="0.2">
      <c r="A111" s="225"/>
      <c r="B111" s="87"/>
      <c r="C111" s="87"/>
      <c r="D111" s="87"/>
      <c r="E111" s="87"/>
      <c r="F111" s="87"/>
      <c r="G111" s="87"/>
      <c r="H111" s="87"/>
      <c r="I111" s="87"/>
      <c r="J111" s="87"/>
      <c r="K111" s="87"/>
      <c r="L111" s="87"/>
      <c r="M111" s="87"/>
      <c r="N111" s="87"/>
    </row>
    <row r="112" spans="1:14" ht="25.5" x14ac:dyDescent="0.2">
      <c r="A112" s="458" t="s">
        <v>96</v>
      </c>
      <c r="B112" s="451" t="s">
        <v>372</v>
      </c>
      <c r="C112" s="87"/>
      <c r="D112" s="87"/>
      <c r="E112" s="87"/>
      <c r="F112" s="87"/>
      <c r="G112" s="87"/>
      <c r="H112" s="87"/>
      <c r="I112" s="87"/>
      <c r="J112" s="87"/>
      <c r="K112" s="87"/>
      <c r="L112" s="87"/>
      <c r="M112" s="87"/>
      <c r="N112" s="87"/>
    </row>
    <row r="113" spans="1:14" x14ac:dyDescent="0.2">
      <c r="A113" s="225"/>
      <c r="B113" s="87" t="s">
        <v>373</v>
      </c>
      <c r="C113" s="87"/>
      <c r="D113" s="87"/>
      <c r="E113" s="87"/>
      <c r="F113" s="87"/>
      <c r="G113" s="87"/>
      <c r="H113" s="87"/>
      <c r="I113" s="87"/>
      <c r="J113" s="87"/>
      <c r="K113" s="87"/>
      <c r="L113" s="87"/>
      <c r="M113" s="87"/>
      <c r="N113" s="87"/>
    </row>
    <row r="114" spans="1:14" x14ac:dyDescent="0.2">
      <c r="A114" s="225"/>
      <c r="B114" s="451" t="s">
        <v>335</v>
      </c>
      <c r="C114" s="87"/>
      <c r="D114" s="87"/>
      <c r="E114" s="87"/>
      <c r="F114" s="87"/>
      <c r="G114" s="87"/>
      <c r="H114" s="87"/>
      <c r="I114" s="87"/>
      <c r="J114" s="87"/>
      <c r="K114" s="87"/>
      <c r="L114" s="87"/>
      <c r="M114" s="87"/>
      <c r="N114" s="87"/>
    </row>
    <row r="115" spans="1:14" x14ac:dyDescent="0.2">
      <c r="A115" s="225"/>
      <c r="B115" s="451" t="s">
        <v>203</v>
      </c>
      <c r="C115" s="87"/>
      <c r="D115" s="87"/>
      <c r="E115" s="87"/>
      <c r="F115" s="87"/>
      <c r="G115" s="87"/>
      <c r="H115" s="87"/>
      <c r="I115" s="87"/>
      <c r="J115" s="87"/>
      <c r="K115" s="87"/>
      <c r="L115" s="87"/>
      <c r="M115" s="87"/>
      <c r="N115" s="87"/>
    </row>
    <row r="116" spans="1:14" x14ac:dyDescent="0.2">
      <c r="A116" s="225"/>
      <c r="B116" s="87"/>
      <c r="C116" s="87"/>
      <c r="D116" s="87"/>
      <c r="E116" s="87"/>
      <c r="F116" s="87"/>
      <c r="G116" s="87"/>
      <c r="H116" s="87"/>
      <c r="I116" s="87"/>
      <c r="J116" s="87"/>
      <c r="K116" s="87"/>
      <c r="L116" s="87"/>
      <c r="M116" s="87"/>
      <c r="N116" s="87"/>
    </row>
    <row r="117" spans="1:14" x14ac:dyDescent="0.2">
      <c r="A117" s="176" t="s">
        <v>81</v>
      </c>
      <c r="B117" s="87"/>
      <c r="C117" s="87"/>
      <c r="D117" s="87"/>
      <c r="E117" s="87"/>
      <c r="F117" s="87"/>
      <c r="G117" s="87"/>
      <c r="H117" s="87"/>
      <c r="I117" s="87"/>
      <c r="J117" s="87"/>
      <c r="K117" s="87"/>
      <c r="L117" s="87"/>
      <c r="M117" s="87"/>
      <c r="N117" s="87"/>
    </row>
    <row r="118" spans="1:14" x14ac:dyDescent="0.2">
      <c r="A118" s="228" t="s">
        <v>10</v>
      </c>
      <c r="B118" s="87" t="s">
        <v>374</v>
      </c>
      <c r="C118" s="87"/>
      <c r="D118" s="87"/>
      <c r="E118" s="87"/>
      <c r="F118" s="87"/>
      <c r="G118" s="87"/>
      <c r="H118" s="87"/>
      <c r="I118" s="87"/>
      <c r="J118" s="87"/>
      <c r="K118" s="87"/>
      <c r="L118" s="87"/>
      <c r="M118" s="87"/>
      <c r="N118" s="87"/>
    </row>
    <row r="119" spans="1:14" x14ac:dyDescent="0.2">
      <c r="A119" s="228" t="s">
        <v>28</v>
      </c>
      <c r="B119" s="87" t="s">
        <v>375</v>
      </c>
      <c r="C119" s="87"/>
      <c r="D119" s="87"/>
      <c r="E119" s="87"/>
      <c r="F119" s="87"/>
      <c r="G119" s="87"/>
      <c r="H119" s="87"/>
      <c r="I119" s="87"/>
      <c r="J119" s="87"/>
      <c r="K119" s="87"/>
      <c r="L119" s="87"/>
      <c r="M119" s="87"/>
      <c r="N119" s="87"/>
    </row>
    <row r="120" spans="1:14" x14ac:dyDescent="0.2">
      <c r="A120" s="228" t="s">
        <v>29</v>
      </c>
      <c r="B120" s="87" t="s">
        <v>376</v>
      </c>
      <c r="C120" s="87"/>
      <c r="D120" s="87"/>
      <c r="E120" s="87"/>
      <c r="F120" s="87"/>
      <c r="G120" s="87"/>
      <c r="H120" s="87"/>
      <c r="I120" s="87"/>
      <c r="J120" s="87"/>
      <c r="K120" s="87"/>
      <c r="L120" s="87"/>
      <c r="M120" s="87"/>
      <c r="N120" s="87"/>
    </row>
    <row r="121" spans="1:14" x14ac:dyDescent="0.2">
      <c r="A121" s="228" t="s">
        <v>11</v>
      </c>
      <c r="B121" s="87" t="s">
        <v>377</v>
      </c>
      <c r="C121" s="87"/>
      <c r="D121" s="87"/>
      <c r="E121" s="87"/>
      <c r="F121" s="87"/>
      <c r="G121" s="87"/>
      <c r="H121" s="87"/>
      <c r="I121" s="87"/>
      <c r="J121" s="87"/>
      <c r="K121" s="87"/>
      <c r="L121" s="87"/>
      <c r="M121" s="87"/>
      <c r="N121" s="87"/>
    </row>
    <row r="122" spans="1:14" x14ac:dyDescent="0.2">
      <c r="A122" s="228" t="s">
        <v>192</v>
      </c>
      <c r="B122" s="87" t="s">
        <v>378</v>
      </c>
      <c r="C122" s="87"/>
      <c r="D122" s="87"/>
      <c r="E122" s="87"/>
      <c r="F122" s="87"/>
      <c r="G122" s="87"/>
      <c r="H122" s="87"/>
      <c r="I122" s="87"/>
      <c r="J122" s="87"/>
      <c r="K122" s="87"/>
      <c r="L122" s="87"/>
      <c r="M122" s="87"/>
      <c r="N122" s="87"/>
    </row>
    <row r="123" spans="1:14" ht="51" x14ac:dyDescent="0.2">
      <c r="A123" s="452" t="s">
        <v>31</v>
      </c>
      <c r="B123" s="451" t="s">
        <v>309</v>
      </c>
      <c r="C123" s="87"/>
      <c r="D123" s="87"/>
      <c r="E123" s="87"/>
      <c r="F123" s="87"/>
      <c r="G123" s="87"/>
      <c r="H123" s="87"/>
      <c r="I123" s="87"/>
      <c r="J123" s="87"/>
      <c r="K123" s="87"/>
      <c r="L123" s="87"/>
      <c r="M123" s="87"/>
      <c r="N123" s="87"/>
    </row>
    <row r="124" spans="1:14" x14ac:dyDescent="0.2">
      <c r="A124" s="452" t="s">
        <v>161</v>
      </c>
      <c r="B124" s="451" t="s">
        <v>379</v>
      </c>
      <c r="C124" s="87"/>
      <c r="D124" s="87"/>
      <c r="E124" s="87"/>
      <c r="F124" s="87"/>
      <c r="G124" s="87"/>
      <c r="H124" s="87"/>
      <c r="I124" s="87"/>
      <c r="J124" s="87"/>
      <c r="K124" s="87"/>
      <c r="L124" s="87"/>
      <c r="M124" s="87"/>
      <c r="N124" s="87"/>
    </row>
    <row r="125" spans="1:14" x14ac:dyDescent="0.2">
      <c r="A125" s="452" t="s">
        <v>12</v>
      </c>
      <c r="B125" s="451" t="s">
        <v>380</v>
      </c>
      <c r="C125" s="87"/>
      <c r="D125" s="87"/>
      <c r="E125" s="87"/>
      <c r="F125" s="87"/>
      <c r="G125" s="87"/>
      <c r="H125" s="87"/>
      <c r="I125" s="87"/>
      <c r="J125" s="87"/>
      <c r="K125" s="87"/>
      <c r="L125" s="87"/>
      <c r="M125" s="87"/>
      <c r="N125" s="87"/>
    </row>
    <row r="126" spans="1:14" x14ac:dyDescent="0.2">
      <c r="A126" s="452" t="s">
        <v>162</v>
      </c>
      <c r="B126" s="451" t="s">
        <v>381</v>
      </c>
      <c r="C126" s="87"/>
      <c r="D126" s="87"/>
      <c r="E126" s="87"/>
      <c r="F126" s="87"/>
      <c r="G126" s="87"/>
      <c r="H126" s="87"/>
      <c r="I126" s="87"/>
      <c r="J126" s="87"/>
      <c r="K126" s="87"/>
      <c r="L126" s="87"/>
      <c r="M126" s="87"/>
      <c r="N126" s="87"/>
    </row>
    <row r="127" spans="1:14" ht="25.5" x14ac:dyDescent="0.2">
      <c r="A127" s="452" t="s">
        <v>382</v>
      </c>
      <c r="B127" s="451" t="s">
        <v>311</v>
      </c>
      <c r="C127" s="87"/>
      <c r="D127" s="87"/>
      <c r="E127" s="87"/>
      <c r="F127" s="87"/>
      <c r="G127" s="87"/>
      <c r="H127" s="87"/>
      <c r="I127" s="87"/>
      <c r="J127" s="87"/>
      <c r="K127" s="87"/>
      <c r="L127" s="87"/>
      <c r="M127" s="87"/>
      <c r="N127" s="87"/>
    </row>
    <row r="128" spans="1:14" x14ac:dyDescent="0.2">
      <c r="A128" s="224" t="s">
        <v>164</v>
      </c>
      <c r="B128" s="87" t="s">
        <v>383</v>
      </c>
      <c r="C128" s="87"/>
      <c r="D128" s="87"/>
      <c r="E128" s="87"/>
      <c r="F128" s="87"/>
      <c r="G128" s="87"/>
      <c r="H128" s="87"/>
      <c r="I128" s="87"/>
      <c r="J128" s="87"/>
      <c r="K128" s="87"/>
      <c r="L128" s="87"/>
      <c r="M128" s="87"/>
      <c r="N128" s="87"/>
    </row>
    <row r="129" spans="1:14" x14ac:dyDescent="0.2">
      <c r="A129" s="224" t="s">
        <v>205</v>
      </c>
      <c r="B129" s="87" t="s">
        <v>87</v>
      </c>
      <c r="C129" s="87"/>
      <c r="D129" s="87"/>
      <c r="E129" s="87"/>
      <c r="F129" s="87"/>
      <c r="G129" s="87"/>
      <c r="H129" s="87"/>
      <c r="I129" s="87"/>
      <c r="J129" s="87"/>
      <c r="K129" s="87"/>
      <c r="L129" s="87"/>
      <c r="M129" s="87"/>
      <c r="N129" s="87"/>
    </row>
    <row r="130" spans="1:14" x14ac:dyDescent="0.2">
      <c r="A130" s="224" t="s">
        <v>167</v>
      </c>
      <c r="B130" s="87" t="s">
        <v>314</v>
      </c>
      <c r="C130" s="87"/>
      <c r="D130" s="87"/>
      <c r="E130" s="87"/>
      <c r="F130" s="87"/>
      <c r="G130" s="87"/>
      <c r="H130" s="87"/>
      <c r="I130" s="87"/>
      <c r="J130" s="87"/>
      <c r="K130" s="87"/>
      <c r="L130" s="87"/>
      <c r="M130" s="87"/>
      <c r="N130" s="87"/>
    </row>
    <row r="131" spans="1:14" x14ac:dyDescent="0.2">
      <c r="A131" s="224"/>
      <c r="B131" s="87"/>
      <c r="C131" s="87"/>
      <c r="D131" s="87"/>
      <c r="E131" s="87"/>
      <c r="F131" s="87"/>
      <c r="G131" s="87"/>
      <c r="H131" s="87"/>
      <c r="I131" s="87"/>
      <c r="J131" s="87"/>
      <c r="K131" s="87"/>
      <c r="L131" s="87"/>
      <c r="M131" s="87"/>
      <c r="N131" s="87"/>
    </row>
    <row r="132" spans="1:14" x14ac:dyDescent="0.2">
      <c r="A132" s="224"/>
      <c r="B132" s="87"/>
      <c r="C132" s="87"/>
      <c r="D132" s="87"/>
      <c r="E132" s="87"/>
      <c r="F132" s="87"/>
      <c r="G132" s="87"/>
      <c r="H132" s="87"/>
      <c r="I132" s="87"/>
      <c r="J132" s="87"/>
      <c r="K132" s="87"/>
      <c r="L132" s="87"/>
      <c r="M132" s="87"/>
      <c r="N132" s="87"/>
    </row>
    <row r="133" spans="1:14" x14ac:dyDescent="0.2">
      <c r="A133" s="176" t="s">
        <v>278</v>
      </c>
      <c r="B133" s="87"/>
      <c r="C133" s="87"/>
      <c r="D133" s="87"/>
      <c r="E133" s="87"/>
      <c r="F133" s="87"/>
      <c r="G133" s="87"/>
      <c r="H133" s="87"/>
      <c r="I133" s="87"/>
      <c r="J133" s="87"/>
      <c r="K133" s="87"/>
      <c r="L133" s="87"/>
      <c r="M133" s="87"/>
      <c r="N133" s="87"/>
    </row>
    <row r="134" spans="1:14" ht="25.5" x14ac:dyDescent="0.2">
      <c r="A134" s="452" t="s">
        <v>57</v>
      </c>
      <c r="B134" s="451" t="s">
        <v>384</v>
      </c>
      <c r="C134" s="87"/>
      <c r="D134" s="87"/>
      <c r="E134" s="87"/>
      <c r="F134" s="87"/>
      <c r="G134" s="87"/>
      <c r="H134" s="87"/>
      <c r="I134" s="87"/>
      <c r="J134" s="87"/>
      <c r="K134" s="87"/>
      <c r="L134" s="87"/>
      <c r="M134" s="87"/>
      <c r="N134" s="87"/>
    </row>
    <row r="135" spans="1:14" x14ac:dyDescent="0.2">
      <c r="A135" s="452" t="s">
        <v>82</v>
      </c>
      <c r="B135" s="87" t="s">
        <v>275</v>
      </c>
      <c r="C135" s="87"/>
      <c r="D135" s="87"/>
      <c r="E135" s="87"/>
      <c r="F135" s="87"/>
      <c r="G135" s="87"/>
      <c r="H135" s="87"/>
      <c r="I135" s="87"/>
      <c r="J135" s="87"/>
      <c r="K135" s="87"/>
      <c r="L135" s="87"/>
      <c r="M135" s="87"/>
      <c r="N135" s="87"/>
    </row>
    <row r="136" spans="1:14" x14ac:dyDescent="0.2">
      <c r="A136" s="452" t="s">
        <v>201</v>
      </c>
      <c r="B136" s="87" t="s">
        <v>236</v>
      </c>
      <c r="C136" s="87"/>
      <c r="D136" s="87"/>
      <c r="E136" s="87"/>
      <c r="F136" s="87"/>
      <c r="G136" s="87"/>
      <c r="H136" s="87"/>
      <c r="I136" s="87"/>
      <c r="J136" s="87"/>
      <c r="K136" s="87"/>
      <c r="L136" s="87"/>
      <c r="M136" s="87"/>
      <c r="N136" s="87"/>
    </row>
    <row r="137" spans="1:14" x14ac:dyDescent="0.2">
      <c r="A137" s="452"/>
      <c r="B137" s="87" t="s">
        <v>204</v>
      </c>
      <c r="F137" s="87"/>
      <c r="G137" s="87"/>
      <c r="H137" s="87"/>
      <c r="I137" s="87"/>
      <c r="J137" s="87"/>
      <c r="K137" s="87"/>
      <c r="L137" s="87"/>
      <c r="M137" s="87"/>
      <c r="N137" s="87"/>
    </row>
    <row r="138" spans="1:14" x14ac:dyDescent="0.2">
      <c r="A138" s="452" t="s">
        <v>83</v>
      </c>
      <c r="B138" s="87" t="s">
        <v>207</v>
      </c>
      <c r="F138" s="87"/>
      <c r="G138" s="87"/>
      <c r="H138" s="87"/>
      <c r="I138" s="87"/>
      <c r="J138" s="87"/>
      <c r="K138" s="87"/>
      <c r="L138" s="87"/>
      <c r="M138" s="87"/>
      <c r="N138" s="87"/>
    </row>
    <row r="139" spans="1:14" ht="25.5" x14ac:dyDescent="0.2">
      <c r="A139" s="452" t="s">
        <v>205</v>
      </c>
      <c r="B139" s="451" t="s">
        <v>385</v>
      </c>
      <c r="F139" s="87"/>
      <c r="G139" s="87"/>
      <c r="H139" s="87"/>
      <c r="I139" s="87"/>
      <c r="J139" s="87"/>
      <c r="K139" s="87"/>
      <c r="L139" s="87"/>
      <c r="M139" s="87"/>
      <c r="N139" s="87"/>
    </row>
    <row r="140" spans="1:14" x14ac:dyDescent="0.2">
      <c r="A140" s="87"/>
      <c r="F140" s="87"/>
      <c r="G140" s="87"/>
      <c r="H140" s="87"/>
      <c r="I140" s="87"/>
      <c r="J140" s="87"/>
      <c r="K140" s="87"/>
      <c r="L140" s="87"/>
      <c r="M140" s="87"/>
      <c r="N140" s="87"/>
    </row>
  </sheetData>
  <customSheetViews>
    <customSheetView guid="{D98A0717-74D0-4F54-BB8F-A337A1A9E4DF}" showRuler="0" topLeftCell="A127">
      <selection activeCell="F176" sqref="F176"/>
      <pageMargins left="0.75" right="0.75" top="1" bottom="1" header="0.5" footer="0.5"/>
      <pageSetup paperSize="9" scale="70" orientation="portrait"/>
      <headerFooter alignWithMargins="0"/>
    </customSheetView>
    <customSheetView guid="{5D986420-B83B-47C8-8160-784F77FFC196}" showRuler="0">
      <selection activeCell="C30" sqref="C30"/>
      <pageMargins left="0.75" right="0.75" top="1" bottom="1" header="0.5" footer="0.5"/>
      <pageSetup paperSize="9" scale="70" orientation="portrait"/>
      <headerFooter alignWithMargins="0"/>
    </customSheetView>
    <customSheetView guid="{C9029B8D-126A-43F1-8BE9-BB8A7DE12FBF}" showRuler="0" topLeftCell="A96">
      <selection activeCell="C123" sqref="C123"/>
      <pageMargins left="0.75" right="0.75" top="1" bottom="1" header="0.5" footer="0.5"/>
      <pageSetup paperSize="9" scale="70" orientation="portrait"/>
      <headerFooter alignWithMargins="0"/>
    </customSheetView>
    <customSheetView guid="{4284377C-91E6-4152-887E-8DA87560FDD6}" showRuler="0">
      <selection activeCell="C29" sqref="C29"/>
      <pageMargins left="0.75" right="0.75" top="1" bottom="1" header="0.5" footer="0.5"/>
      <pageSetup paperSize="9" scale="70" orientation="portrait"/>
      <headerFooter alignWithMargins="0"/>
    </customSheetView>
    <customSheetView guid="{546B9E27-05F9-47A7-B161-BCC56D613799}" showRuler="0" topLeftCell="A127">
      <selection activeCell="F176" sqref="F176"/>
      <pageMargins left="0.75" right="0.75" top="1" bottom="1" header="0.5" footer="0.5"/>
      <pageSetup paperSize="9" scale="70" orientation="portrait"/>
      <headerFooter alignWithMargins="0"/>
    </customSheetView>
  </customSheetViews>
  <phoneticPr fontId="34" type="noConversion"/>
  <hyperlinks>
    <hyperlink ref="B19" location="Invoerblad!E8" display="Terug naar invoerblad" xr:uid="{00000000-0004-0000-0A00-000000000000}"/>
  </hyperlinks>
  <pageMargins left="0.85" right="0.23622047244094491" top="0.41" bottom="0.98425196850393704" header="0.51181102362204722" footer="0.51181102362204722"/>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A1:AA60"/>
  <sheetViews>
    <sheetView workbookViewId="0">
      <selection activeCell="J40" sqref="J40"/>
    </sheetView>
  </sheetViews>
  <sheetFormatPr defaultRowHeight="12.75" x14ac:dyDescent="0.2"/>
  <cols>
    <col min="1" max="1" width="43" customWidth="1"/>
    <col min="2" max="2" width="15" customWidth="1"/>
    <col min="3" max="3" width="14.83203125" customWidth="1"/>
    <col min="4" max="4" width="15" bestFit="1" customWidth="1"/>
    <col min="5" max="5" width="17.5" customWidth="1"/>
    <col min="6" max="6" width="16" customWidth="1"/>
    <col min="7" max="8" width="16.33203125" bestFit="1" customWidth="1"/>
    <col min="9" max="9" width="16" customWidth="1"/>
    <col min="10" max="10" width="16.33203125" bestFit="1" customWidth="1"/>
    <col min="11" max="11" width="15.6640625" customWidth="1"/>
    <col min="12" max="12" width="13" customWidth="1"/>
    <col min="13" max="13" width="12.83203125" bestFit="1" customWidth="1"/>
    <col min="14" max="14" width="14.83203125" customWidth="1"/>
    <col min="15" max="15" width="14.33203125" bestFit="1" customWidth="1"/>
    <col min="16" max="17" width="12.83203125" bestFit="1" customWidth="1"/>
  </cols>
  <sheetData>
    <row r="1" spans="1:19" ht="13.5" thickBot="1" x14ac:dyDescent="0.25">
      <c r="A1" s="118" t="s">
        <v>63</v>
      </c>
      <c r="B1" s="51"/>
      <c r="C1" s="51"/>
      <c r="D1" s="51"/>
      <c r="E1" s="51"/>
      <c r="F1" s="51"/>
      <c r="G1" s="51"/>
      <c r="H1" s="51"/>
      <c r="I1" s="51"/>
      <c r="J1" s="51"/>
      <c r="K1" s="51"/>
      <c r="L1" s="52"/>
      <c r="M1" s="53"/>
      <c r="N1" s="52"/>
      <c r="O1" s="52"/>
      <c r="P1" s="52"/>
      <c r="Q1" s="52"/>
      <c r="R1" s="49"/>
      <c r="S1" s="49"/>
    </row>
    <row r="2" spans="1:19" ht="13.5" customHeight="1" thickBot="1" x14ac:dyDescent="0.25">
      <c r="A2" s="54" t="s">
        <v>67</v>
      </c>
      <c r="B2" s="55"/>
      <c r="C2" s="56">
        <f>SUM(C3:C5)</f>
        <v>0</v>
      </c>
      <c r="D2" s="57"/>
      <c r="E2" s="57"/>
      <c r="F2" s="57"/>
      <c r="G2" s="57"/>
      <c r="H2" s="57"/>
      <c r="I2" s="57"/>
      <c r="J2" s="57"/>
      <c r="K2" s="57"/>
      <c r="L2" s="57"/>
      <c r="M2" s="54"/>
      <c r="N2" s="57"/>
      <c r="O2" s="57"/>
      <c r="P2" s="57"/>
      <c r="Q2" s="58"/>
      <c r="R2" s="49"/>
      <c r="S2" s="49"/>
    </row>
    <row r="3" spans="1:19" ht="13.5" thickTop="1" x14ac:dyDescent="0.2">
      <c r="A3" s="59" t="s">
        <v>70</v>
      </c>
      <c r="B3" s="64">
        <f>+Invoerblad!E67</f>
        <v>0.222</v>
      </c>
      <c r="C3" s="60">
        <f>B3*Invoerblad!$E$66</f>
        <v>0</v>
      </c>
      <c r="D3" s="61"/>
      <c r="E3" s="61"/>
      <c r="F3" s="61"/>
      <c r="G3" s="61"/>
      <c r="H3" s="61"/>
      <c r="I3" s="61"/>
      <c r="J3" s="61"/>
      <c r="K3" s="61"/>
      <c r="L3" s="61"/>
      <c r="M3" s="59"/>
      <c r="N3" s="61"/>
      <c r="O3" s="61"/>
      <c r="P3" s="61"/>
      <c r="Q3" s="62"/>
      <c r="R3" s="49"/>
      <c r="S3" s="49"/>
    </row>
    <row r="4" spans="1:19" ht="12.75" customHeight="1" x14ac:dyDescent="0.2">
      <c r="A4" s="63"/>
      <c r="B4" s="64"/>
      <c r="C4" s="60"/>
      <c r="D4" s="65"/>
      <c r="E4" s="61"/>
      <c r="F4" s="61"/>
      <c r="G4" s="61"/>
      <c r="H4" s="61"/>
      <c r="I4" s="61"/>
      <c r="J4" s="61"/>
      <c r="K4" s="61"/>
      <c r="L4" s="61"/>
      <c r="M4" s="59"/>
      <c r="N4" s="61"/>
      <c r="O4" s="61"/>
      <c r="P4" s="61"/>
      <c r="Q4" s="62"/>
      <c r="R4" s="49"/>
      <c r="S4" s="49"/>
    </row>
    <row r="5" spans="1:19" x14ac:dyDescent="0.2">
      <c r="A5" s="59" t="s">
        <v>71</v>
      </c>
      <c r="B5" s="64">
        <f>+Invoerblad!E68</f>
        <v>0.77800000000000002</v>
      </c>
      <c r="C5" s="60">
        <f>B5*Invoerblad!$E$66</f>
        <v>0</v>
      </c>
      <c r="D5" s="61"/>
      <c r="E5" s="61"/>
      <c r="F5" s="61"/>
      <c r="G5" s="61"/>
      <c r="H5" s="61"/>
      <c r="I5" s="61"/>
      <c r="J5" s="61"/>
      <c r="K5" s="61"/>
      <c r="L5" s="61"/>
      <c r="M5" s="59"/>
      <c r="N5" s="61"/>
      <c r="O5" s="61"/>
      <c r="P5" s="61"/>
      <c r="Q5" s="62"/>
      <c r="R5" s="49"/>
      <c r="S5" s="49"/>
    </row>
    <row r="6" spans="1:19" x14ac:dyDescent="0.2">
      <c r="A6" s="44"/>
      <c r="B6" s="82"/>
      <c r="C6" s="37"/>
      <c r="D6" s="37"/>
      <c r="E6" s="37"/>
      <c r="F6" s="37"/>
      <c r="G6" s="37"/>
      <c r="H6" s="37"/>
      <c r="I6" s="37"/>
      <c r="J6" s="37"/>
      <c r="K6" s="37"/>
      <c r="L6" s="37"/>
      <c r="M6" s="44"/>
      <c r="N6" s="37"/>
      <c r="O6" s="37"/>
      <c r="P6" s="37"/>
      <c r="Q6" s="45"/>
      <c r="R6" s="49"/>
      <c r="S6" s="49"/>
    </row>
    <row r="7" spans="1:19" x14ac:dyDescent="0.2">
      <c r="A7" s="59" t="s">
        <v>77</v>
      </c>
      <c r="B7" s="66">
        <f>+Invoerblad!E74</f>
        <v>12</v>
      </c>
      <c r="C7" s="66"/>
      <c r="D7" s="70"/>
      <c r="E7" s="61"/>
      <c r="F7" s="61"/>
      <c r="G7" s="61"/>
      <c r="H7" s="61"/>
      <c r="I7" s="61"/>
      <c r="J7" s="61"/>
      <c r="K7" s="61"/>
      <c r="L7" s="61"/>
      <c r="M7" s="59"/>
      <c r="N7" s="61"/>
      <c r="O7" s="61"/>
      <c r="P7" s="61"/>
      <c r="Q7" s="62"/>
      <c r="R7" s="49"/>
      <c r="S7" s="49"/>
    </row>
    <row r="8" spans="1:19" x14ac:dyDescent="0.2">
      <c r="A8" s="59" t="s">
        <v>78</v>
      </c>
      <c r="B8" s="64">
        <v>0.15</v>
      </c>
      <c r="C8" s="66"/>
      <c r="D8" s="61"/>
      <c r="E8" s="61"/>
      <c r="F8" s="61"/>
      <c r="G8" s="61"/>
      <c r="H8" s="61"/>
      <c r="I8" s="61"/>
      <c r="J8" s="61"/>
      <c r="K8" s="61"/>
      <c r="L8" s="61"/>
      <c r="M8" s="59"/>
      <c r="N8" s="61"/>
      <c r="O8" s="61"/>
      <c r="P8" s="61"/>
      <c r="Q8" s="62"/>
      <c r="R8" s="49"/>
      <c r="S8" s="49"/>
    </row>
    <row r="9" spans="1:19" x14ac:dyDescent="0.2">
      <c r="A9" s="115" t="s">
        <v>79</v>
      </c>
      <c r="B9" s="64">
        <v>0.06</v>
      </c>
      <c r="C9" s="66"/>
      <c r="D9" s="138"/>
      <c r="E9" s="61"/>
      <c r="F9" s="61"/>
      <c r="G9" s="61"/>
      <c r="H9" s="61"/>
      <c r="I9" s="61"/>
      <c r="J9" s="61"/>
      <c r="K9" s="61"/>
      <c r="L9" s="61"/>
      <c r="M9" s="59"/>
      <c r="N9" s="61"/>
      <c r="O9" s="61"/>
      <c r="P9" s="61"/>
      <c r="Q9" s="62"/>
      <c r="R9" s="49"/>
      <c r="S9" s="49"/>
    </row>
    <row r="10" spans="1:19" x14ac:dyDescent="0.2">
      <c r="A10" s="59"/>
      <c r="B10" s="61"/>
      <c r="C10" s="61"/>
      <c r="D10" s="61"/>
      <c r="E10" s="61"/>
      <c r="F10" s="61"/>
      <c r="G10" s="61"/>
      <c r="H10" s="61"/>
      <c r="I10" s="61"/>
      <c r="J10" s="61"/>
      <c r="K10" s="61"/>
      <c r="L10" s="61"/>
      <c r="M10" s="59"/>
      <c r="N10" s="61"/>
      <c r="O10" s="61"/>
      <c r="P10" s="61"/>
      <c r="Q10" s="62"/>
      <c r="R10" s="49"/>
      <c r="S10" s="49"/>
    </row>
    <row r="11" spans="1:19" x14ac:dyDescent="0.2">
      <c r="A11" s="59" t="s">
        <v>30</v>
      </c>
      <c r="B11" s="67">
        <v>0</v>
      </c>
      <c r="C11" s="67">
        <v>1</v>
      </c>
      <c r="D11" s="67">
        <v>2</v>
      </c>
      <c r="E11" s="67">
        <v>3</v>
      </c>
      <c r="F11" s="67">
        <v>4</v>
      </c>
      <c r="G11" s="67">
        <v>5</v>
      </c>
      <c r="H11" s="67">
        <v>6</v>
      </c>
      <c r="I11" s="67">
        <v>7</v>
      </c>
      <c r="J11" s="67">
        <v>8</v>
      </c>
      <c r="K11" s="67">
        <v>9</v>
      </c>
      <c r="L11" s="67">
        <v>10</v>
      </c>
      <c r="M11" s="68">
        <v>11</v>
      </c>
      <c r="N11" s="67">
        <v>12</v>
      </c>
      <c r="O11" s="67">
        <v>13</v>
      </c>
      <c r="P11" s="67">
        <v>14</v>
      </c>
      <c r="Q11" s="69">
        <v>15</v>
      </c>
      <c r="R11" s="49"/>
      <c r="S11" s="49"/>
    </row>
    <row r="12" spans="1:19" x14ac:dyDescent="0.2">
      <c r="A12" s="59" t="s">
        <v>72</v>
      </c>
      <c r="B12" s="70">
        <f>C5</f>
        <v>0</v>
      </c>
      <c r="C12" s="70">
        <f>+IF(B12-($C$5/$B$7)&gt;0,B12-($C$5/$B$7),0)</f>
        <v>0</v>
      </c>
      <c r="D12" s="70">
        <f t="shared" ref="D12:K12" si="0">+IF(C12-($C$5/$B$7)&gt;0,C12-($C$5/$B$7),0)</f>
        <v>0</v>
      </c>
      <c r="E12" s="70">
        <f t="shared" si="0"/>
        <v>0</v>
      </c>
      <c r="F12" s="70">
        <f t="shared" si="0"/>
        <v>0</v>
      </c>
      <c r="G12" s="70">
        <f t="shared" si="0"/>
        <v>0</v>
      </c>
      <c r="H12" s="70">
        <f t="shared" si="0"/>
        <v>0</v>
      </c>
      <c r="I12" s="70">
        <f t="shared" si="0"/>
        <v>0</v>
      </c>
      <c r="J12" s="70">
        <f t="shared" si="0"/>
        <v>0</v>
      </c>
      <c r="K12" s="70">
        <f t="shared" si="0"/>
        <v>0</v>
      </c>
      <c r="L12" s="70">
        <f t="shared" ref="L12:Q12" si="1">+IF(K12-($C$5/$B$7)&gt;0,K12-($C$5/$B$7),0)</f>
        <v>0</v>
      </c>
      <c r="M12" s="70">
        <f t="shared" si="1"/>
        <v>0</v>
      </c>
      <c r="N12" s="70">
        <f t="shared" si="1"/>
        <v>0</v>
      </c>
      <c r="O12" s="70">
        <f t="shared" si="1"/>
        <v>0</v>
      </c>
      <c r="P12" s="70">
        <f t="shared" si="1"/>
        <v>0</v>
      </c>
      <c r="Q12" s="70">
        <f t="shared" si="1"/>
        <v>0</v>
      </c>
      <c r="R12" s="49"/>
      <c r="S12" s="49"/>
    </row>
    <row r="13" spans="1:19" x14ac:dyDescent="0.2">
      <c r="A13" s="59" t="s">
        <v>73</v>
      </c>
      <c r="B13" s="70">
        <f>$C$3</f>
        <v>0</v>
      </c>
      <c r="C13" s="70">
        <f>+IF(B13-($C$3/$B$7)&gt;0,B13-($C$3/$B$7),0)</f>
        <v>0</v>
      </c>
      <c r="D13" s="70">
        <f>+IF(C13-($C$3/$B$7)&gt;0,C13-($C$3/$B$7),0)</f>
        <v>0</v>
      </c>
      <c r="E13" s="70">
        <f t="shared" ref="E13:Q13" si="2">+IF(D13-($C$3/$B$7)&gt;0,D13-($C$3/$B$7),0)</f>
        <v>0</v>
      </c>
      <c r="F13" s="70">
        <f t="shared" si="2"/>
        <v>0</v>
      </c>
      <c r="G13" s="70">
        <f t="shared" si="2"/>
        <v>0</v>
      </c>
      <c r="H13" s="70">
        <f t="shared" si="2"/>
        <v>0</v>
      </c>
      <c r="I13" s="70">
        <f t="shared" si="2"/>
        <v>0</v>
      </c>
      <c r="J13" s="70">
        <f t="shared" si="2"/>
        <v>0</v>
      </c>
      <c r="K13" s="70">
        <f t="shared" si="2"/>
        <v>0</v>
      </c>
      <c r="L13" s="70">
        <f t="shared" si="2"/>
        <v>0</v>
      </c>
      <c r="M13" s="70">
        <f t="shared" si="2"/>
        <v>0</v>
      </c>
      <c r="N13" s="70">
        <f t="shared" si="2"/>
        <v>0</v>
      </c>
      <c r="O13" s="70">
        <f t="shared" si="2"/>
        <v>0</v>
      </c>
      <c r="P13" s="70">
        <f t="shared" si="2"/>
        <v>0</v>
      </c>
      <c r="Q13" s="70">
        <f t="shared" si="2"/>
        <v>0</v>
      </c>
      <c r="R13" s="49"/>
      <c r="S13" s="49"/>
    </row>
    <row r="14" spans="1:19" x14ac:dyDescent="0.2">
      <c r="A14" s="59" t="s">
        <v>74</v>
      </c>
      <c r="B14" s="61"/>
      <c r="C14" s="60">
        <f>$B$9*B12</f>
        <v>0</v>
      </c>
      <c r="D14" s="60">
        <f>$B$9*C12</f>
        <v>0</v>
      </c>
      <c r="E14" s="60">
        <f>$B$9*D12</f>
        <v>0</v>
      </c>
      <c r="F14" s="60">
        <f t="shared" ref="F14:L14" si="3">$B$9*E12</f>
        <v>0</v>
      </c>
      <c r="G14" s="60">
        <f t="shared" si="3"/>
        <v>0</v>
      </c>
      <c r="H14" s="60">
        <f t="shared" si="3"/>
        <v>0</v>
      </c>
      <c r="I14" s="60">
        <f t="shared" si="3"/>
        <v>0</v>
      </c>
      <c r="J14" s="60">
        <f t="shared" si="3"/>
        <v>0</v>
      </c>
      <c r="K14" s="60">
        <f t="shared" si="3"/>
        <v>0</v>
      </c>
      <c r="L14" s="60">
        <f t="shared" si="3"/>
        <v>0</v>
      </c>
      <c r="M14" s="70">
        <f>$B$9*L12</f>
        <v>0</v>
      </c>
      <c r="N14" s="60">
        <f>$B$9*M12</f>
        <v>0</v>
      </c>
      <c r="O14" s="60">
        <f>$B$9*N12</f>
        <v>0</v>
      </c>
      <c r="P14" s="60">
        <f>$B$9*O12</f>
        <v>0</v>
      </c>
      <c r="Q14" s="60">
        <f>$B$9*P12</f>
        <v>0</v>
      </c>
      <c r="R14" s="49"/>
      <c r="S14" s="49"/>
    </row>
    <row r="15" spans="1:19" x14ac:dyDescent="0.2">
      <c r="A15" s="59" t="s">
        <v>68</v>
      </c>
      <c r="B15" s="61"/>
      <c r="C15" s="60">
        <f>$B$8*B13</f>
        <v>0</v>
      </c>
      <c r="D15" s="60">
        <f t="shared" ref="D15:L15" si="4">$B$8*C13</f>
        <v>0</v>
      </c>
      <c r="E15" s="60">
        <f>$B$8*D13</f>
        <v>0</v>
      </c>
      <c r="F15" s="60">
        <f t="shared" si="4"/>
        <v>0</v>
      </c>
      <c r="G15" s="60">
        <f t="shared" si="4"/>
        <v>0</v>
      </c>
      <c r="H15" s="60">
        <f t="shared" si="4"/>
        <v>0</v>
      </c>
      <c r="I15" s="60">
        <f t="shared" si="4"/>
        <v>0</v>
      </c>
      <c r="J15" s="60">
        <f t="shared" si="4"/>
        <v>0</v>
      </c>
      <c r="K15" s="60">
        <f t="shared" si="4"/>
        <v>0</v>
      </c>
      <c r="L15" s="60">
        <f t="shared" si="4"/>
        <v>0</v>
      </c>
      <c r="M15" s="60">
        <f>$B$8*L13</f>
        <v>0</v>
      </c>
      <c r="N15" s="60">
        <f>$B$8*M13</f>
        <v>0</v>
      </c>
      <c r="O15" s="60">
        <f>$B$8*N13</f>
        <v>0</v>
      </c>
      <c r="P15" s="60">
        <f>$B$8*O13</f>
        <v>0</v>
      </c>
      <c r="Q15" s="60">
        <f>$B$8*P13</f>
        <v>0</v>
      </c>
      <c r="R15" s="49"/>
      <c r="S15" s="49"/>
    </row>
    <row r="16" spans="1:19" x14ac:dyDescent="0.2">
      <c r="A16" s="59"/>
      <c r="B16" s="61"/>
      <c r="C16" s="61"/>
      <c r="D16" s="61"/>
      <c r="E16" s="61"/>
      <c r="F16" s="61"/>
      <c r="G16" s="61"/>
      <c r="H16" s="61"/>
      <c r="I16" s="61"/>
      <c r="J16" s="61"/>
      <c r="K16" s="61"/>
      <c r="L16" s="61"/>
      <c r="M16" s="59"/>
      <c r="N16" s="61"/>
      <c r="O16" s="61"/>
      <c r="P16" s="61"/>
      <c r="Q16" s="62"/>
      <c r="R16" s="49"/>
      <c r="S16" s="49"/>
    </row>
    <row r="17" spans="1:27" x14ac:dyDescent="0.2">
      <c r="A17" s="116" t="s">
        <v>76</v>
      </c>
      <c r="B17" s="71"/>
      <c r="C17" s="72"/>
      <c r="D17" s="61"/>
      <c r="E17" s="61"/>
      <c r="F17" s="61"/>
      <c r="G17" s="61"/>
      <c r="H17" s="61"/>
      <c r="I17" s="61"/>
      <c r="J17" s="61"/>
      <c r="K17" s="61"/>
      <c r="L17" s="61"/>
      <c r="M17" s="59"/>
      <c r="N17" s="61"/>
      <c r="O17" s="61"/>
      <c r="P17" s="61"/>
      <c r="Q17" s="62"/>
      <c r="R17" s="49"/>
      <c r="S17" s="49"/>
    </row>
    <row r="18" spans="1:27" x14ac:dyDescent="0.2">
      <c r="A18" s="59" t="s">
        <v>69</v>
      </c>
      <c r="B18" s="60">
        <f>NPV(+Invoerblad!E75,C14:Q14)*'Hulpberekeningen 2'!E39</f>
        <v>0</v>
      </c>
      <c r="C18" s="60"/>
      <c r="D18" s="61"/>
      <c r="E18" s="61"/>
      <c r="F18" s="61"/>
      <c r="G18" s="61"/>
      <c r="H18" s="61"/>
      <c r="I18" s="61"/>
      <c r="J18" s="61"/>
      <c r="K18" s="61"/>
      <c r="L18" s="61"/>
      <c r="M18" s="59"/>
      <c r="N18" s="61"/>
      <c r="O18" s="61"/>
      <c r="P18" s="61"/>
      <c r="Q18" s="62"/>
      <c r="R18" s="49"/>
      <c r="S18" s="49"/>
    </row>
    <row r="19" spans="1:27" x14ac:dyDescent="0.2">
      <c r="A19" s="59" t="s">
        <v>68</v>
      </c>
      <c r="B19" s="60">
        <f>NPV(+Invoerblad!E75,C15:Q15)*'Hulpberekeningen 2'!E39</f>
        <v>0</v>
      </c>
      <c r="C19" s="60"/>
      <c r="D19" s="61"/>
      <c r="E19" s="61"/>
      <c r="F19" s="61"/>
      <c r="G19" s="61"/>
      <c r="H19" s="61"/>
      <c r="I19" s="61"/>
      <c r="J19" s="61"/>
      <c r="K19" s="61"/>
      <c r="L19" s="61"/>
      <c r="M19" s="59"/>
      <c r="N19" s="61"/>
      <c r="O19" s="61"/>
      <c r="P19" s="61"/>
      <c r="Q19" s="62"/>
      <c r="R19" s="49"/>
      <c r="S19" s="49"/>
    </row>
    <row r="20" spans="1:27" ht="13.5" thickBot="1" x14ac:dyDescent="0.25">
      <c r="A20" s="73" t="s">
        <v>75</v>
      </c>
      <c r="B20" s="74">
        <f>SUM(B18:B19)</f>
        <v>0</v>
      </c>
      <c r="C20" s="75"/>
      <c r="D20" s="76"/>
      <c r="E20" s="76"/>
      <c r="F20" s="76"/>
      <c r="G20" s="76"/>
      <c r="H20" s="76"/>
      <c r="I20" s="76"/>
      <c r="J20" s="76"/>
      <c r="K20" s="76"/>
      <c r="L20" s="76"/>
      <c r="M20" s="73"/>
      <c r="N20" s="29"/>
      <c r="O20" s="29"/>
      <c r="P20" s="29"/>
      <c r="Q20" s="50"/>
      <c r="R20" s="49"/>
      <c r="S20" s="49"/>
    </row>
    <row r="21" spans="1:27" s="29" customFormat="1" ht="13.5" thickBot="1" x14ac:dyDescent="0.2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row>
    <row r="22" spans="1:27" s="6" customFormat="1" x14ac:dyDescent="0.2">
      <c r="A22" s="117" t="s">
        <v>358</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row>
    <row r="23" spans="1:27" s="6" customFormat="1" x14ac:dyDescent="0.2">
      <c r="A23" s="218" t="s">
        <v>298</v>
      </c>
      <c r="B23" s="93">
        <v>10</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row>
    <row r="24" spans="1:27" s="6" customFormat="1" x14ac:dyDescent="0.2">
      <c r="A24" s="93" t="s">
        <v>80</v>
      </c>
      <c r="B24" s="97">
        <v>0.01</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row>
    <row r="25" spans="1:27" ht="25.5" x14ac:dyDescent="0.2">
      <c r="A25" s="465" t="s">
        <v>359</v>
      </c>
      <c r="B25" s="94">
        <f>+Invoerblad!E71</f>
        <v>0</v>
      </c>
      <c r="C25" s="70">
        <f>+IF(B25-(Invoerblad!$E$71/$B$23)&gt;0,B25-(Invoerblad!$E$71/$B$23),0)</f>
        <v>0</v>
      </c>
      <c r="D25" s="70">
        <f>+IF(C25-(Invoerblad!$E$71/$B$23)&gt;0,C25-(Invoerblad!$E$71/$B$23),0)</f>
        <v>0</v>
      </c>
      <c r="E25" s="70">
        <f>+IF(D25-(Invoerblad!$E$71/$B$23)&gt;0,D25-(Invoerblad!$E$71/$B$23),0)</f>
        <v>0</v>
      </c>
      <c r="F25" s="70">
        <f>+IF(E25-(Invoerblad!$E$71/$B$23)&gt;0,E25-(Invoerblad!$E$71/$B$23),0)</f>
        <v>0</v>
      </c>
      <c r="G25" s="70">
        <f>+IF(F25-(Invoerblad!$E$71/$B$23)&gt;0,F25-(Invoerblad!$E$71/$B$23),0)</f>
        <v>0</v>
      </c>
      <c r="H25" s="70">
        <f>+IF(G25-(Invoerblad!$E$71/$B$23)&gt;0,G25-(Invoerblad!$E$71/$B$23),0)</f>
        <v>0</v>
      </c>
      <c r="I25" s="70">
        <f>+IF(H25-(Invoerblad!$E$71/$B$23)&gt;0,H25-(Invoerblad!$E$71/$B$23),0)</f>
        <v>0</v>
      </c>
      <c r="J25" s="70">
        <f>+IF(I25-(Invoerblad!$E$71/$B$23)&gt;0,I25-(Invoerblad!$E$71/$B$23),0)</f>
        <v>0</v>
      </c>
      <c r="K25" s="70">
        <f>+IF(J25-(Invoerblad!$E$71/$B$23)&gt;0,J25-(Invoerblad!$E$71/$B$23),0)</f>
        <v>0</v>
      </c>
      <c r="L25" s="70">
        <f>+IF(K25-(Invoerblad!$E$71/$B$23)&gt;0,K25-(Invoerblad!$E$71/$B$23),0)</f>
        <v>0</v>
      </c>
      <c r="M25" s="70">
        <f>+IF(L25-(Invoerblad!$E$71/$B$23)&gt;0,L25-(Invoerblad!$E$71/$B$23),0)</f>
        <v>0</v>
      </c>
      <c r="N25" s="70">
        <f>+IF(M25-(Invoerblad!$E$71/$B$23)&gt;0,M25-(Invoerblad!$E$71/$B$23),0)</f>
        <v>0</v>
      </c>
      <c r="O25" s="70">
        <f>+IF(N25-(Invoerblad!$E$71/$B$23)&gt;0,N25-(Invoerblad!$E$71/$B$23),0)</f>
        <v>0</v>
      </c>
      <c r="P25" s="70">
        <f>+IF(O25-(Invoerblad!$E$71/$B$23)&gt;0,O25-(Invoerblad!$E$71/$B$23),0)</f>
        <v>0</v>
      </c>
      <c r="Q25" s="70">
        <f>+IF(P25-(Invoerblad!$E$71/$B$23)&gt;0,P25-(Invoerblad!$E$71/$B$23),0)</f>
        <v>0</v>
      </c>
      <c r="R25" s="77"/>
      <c r="S25" s="77"/>
      <c r="T25" s="77"/>
      <c r="U25" s="77"/>
      <c r="V25" s="77"/>
      <c r="W25" s="77"/>
      <c r="X25" s="77"/>
      <c r="Y25" s="77"/>
      <c r="Z25" s="77"/>
      <c r="AA25" s="77"/>
    </row>
    <row r="26" spans="1:27" x14ac:dyDescent="0.2">
      <c r="A26" s="93" t="s">
        <v>65</v>
      </c>
      <c r="B26" s="93"/>
      <c r="C26" s="299">
        <f>+C25*$B$24</f>
        <v>0</v>
      </c>
      <c r="D26" s="300">
        <f t="shared" ref="D26:L26" si="5">+D25*$B$24</f>
        <v>0</v>
      </c>
      <c r="E26" s="300">
        <f t="shared" si="5"/>
        <v>0</v>
      </c>
      <c r="F26" s="300">
        <f t="shared" si="5"/>
        <v>0</v>
      </c>
      <c r="G26" s="300">
        <f t="shared" si="5"/>
        <v>0</v>
      </c>
      <c r="H26" s="300">
        <f t="shared" si="5"/>
        <v>0</v>
      </c>
      <c r="I26" s="300">
        <f t="shared" si="5"/>
        <v>0</v>
      </c>
      <c r="J26" s="300">
        <f t="shared" si="5"/>
        <v>0</v>
      </c>
      <c r="K26" s="300">
        <f t="shared" si="5"/>
        <v>0</v>
      </c>
      <c r="L26" s="301">
        <f t="shared" si="5"/>
        <v>0</v>
      </c>
      <c r="M26" s="94"/>
      <c r="N26" s="94"/>
      <c r="O26" s="94"/>
      <c r="P26" s="94"/>
      <c r="Q26" s="94"/>
      <c r="R26" s="77"/>
      <c r="S26" s="77"/>
      <c r="T26" s="77"/>
      <c r="U26" s="77"/>
      <c r="V26" s="77"/>
      <c r="W26" s="77"/>
      <c r="X26" s="77"/>
      <c r="Y26" s="77"/>
      <c r="Z26" s="77"/>
      <c r="AA26" s="77"/>
    </row>
    <row r="27" spans="1:27" x14ac:dyDescent="0.2">
      <c r="A27" s="93"/>
      <c r="B27" s="93"/>
      <c r="C27" s="94"/>
      <c r="D27" s="94"/>
      <c r="E27" s="94"/>
      <c r="F27" s="94"/>
      <c r="G27" s="94"/>
      <c r="H27" s="94"/>
      <c r="I27" s="94"/>
      <c r="J27" s="94"/>
      <c r="K27" s="94"/>
      <c r="L27" s="94"/>
      <c r="M27" s="94"/>
      <c r="N27" s="94"/>
      <c r="O27" s="94"/>
      <c r="P27" s="94"/>
      <c r="Q27" s="94"/>
      <c r="R27" s="77"/>
      <c r="S27" s="77"/>
      <c r="T27" s="77"/>
      <c r="U27" s="77"/>
      <c r="V27" s="77"/>
      <c r="W27" s="77"/>
      <c r="X27" s="77"/>
      <c r="Y27" s="77"/>
      <c r="Z27" s="77"/>
      <c r="AA27" s="77"/>
    </row>
    <row r="28" spans="1:27" x14ac:dyDescent="0.2">
      <c r="A28" s="93"/>
      <c r="B28" s="95"/>
      <c r="C28" s="93"/>
      <c r="D28" s="93"/>
      <c r="E28" s="93"/>
      <c r="F28" s="93"/>
      <c r="G28" s="93"/>
      <c r="H28" s="93"/>
      <c r="I28" s="93"/>
      <c r="J28" s="93"/>
      <c r="K28" s="93"/>
      <c r="L28" s="93"/>
      <c r="M28" s="93"/>
      <c r="N28" s="93"/>
      <c r="O28" s="93"/>
      <c r="P28" s="93"/>
      <c r="Q28" s="93"/>
      <c r="R28" s="77"/>
      <c r="S28" s="77"/>
      <c r="T28" s="77"/>
      <c r="U28" s="77"/>
      <c r="V28" s="77"/>
      <c r="W28" s="77"/>
      <c r="X28" s="77"/>
      <c r="Y28" s="77"/>
      <c r="Z28" s="77"/>
      <c r="AA28" s="77"/>
    </row>
    <row r="29" spans="1:27" x14ac:dyDescent="0.2">
      <c r="A29" s="117" t="s">
        <v>76</v>
      </c>
      <c r="B29" s="96">
        <f>NPV(Invoerblad!$E$75,C26:L26)</f>
        <v>0</v>
      </c>
      <c r="C29" s="117" t="s">
        <v>357</v>
      </c>
      <c r="D29" s="302"/>
      <c r="E29" s="93"/>
      <c r="F29" s="93"/>
      <c r="G29" s="93"/>
      <c r="H29" s="93"/>
      <c r="I29" s="93"/>
      <c r="J29" s="93"/>
      <c r="K29" s="93"/>
      <c r="L29" s="93"/>
      <c r="M29" s="93"/>
      <c r="N29" s="93"/>
      <c r="O29" s="93"/>
      <c r="P29" s="93"/>
      <c r="Q29" s="93"/>
      <c r="R29" s="77"/>
      <c r="S29" s="77"/>
      <c r="T29" s="77"/>
      <c r="U29" s="77"/>
      <c r="V29" s="77"/>
      <c r="W29" s="77"/>
      <c r="X29" s="77"/>
      <c r="Y29" s="77"/>
      <c r="Z29" s="77"/>
      <c r="AA29" s="77"/>
    </row>
    <row r="30" spans="1:27" x14ac:dyDescent="0.2">
      <c r="A30" s="93"/>
      <c r="B30" s="93"/>
      <c r="C30" s="302"/>
      <c r="D30" s="302"/>
      <c r="E30" s="93"/>
      <c r="F30" s="93"/>
      <c r="G30" s="93"/>
      <c r="H30" s="93"/>
      <c r="I30" s="93"/>
      <c r="J30" s="93"/>
      <c r="K30" s="93"/>
      <c r="L30" s="93"/>
      <c r="M30" s="93"/>
      <c r="N30" s="93"/>
      <c r="O30" s="93"/>
      <c r="P30" s="93"/>
      <c r="Q30" s="93"/>
      <c r="R30" s="77"/>
      <c r="S30" s="77"/>
      <c r="T30" s="77"/>
      <c r="U30" s="77"/>
      <c r="V30" s="77"/>
      <c r="W30" s="77"/>
      <c r="X30" s="77"/>
      <c r="Y30" s="77"/>
      <c r="Z30" s="77"/>
      <c r="AA30" s="77"/>
    </row>
    <row r="31" spans="1:27" x14ac:dyDescent="0.2">
      <c r="A31" s="77"/>
      <c r="B31" s="77"/>
      <c r="C31" s="302"/>
      <c r="D31" s="302"/>
      <c r="E31" s="77"/>
      <c r="F31" s="77"/>
      <c r="G31" s="77"/>
      <c r="H31" s="77"/>
      <c r="I31" s="77"/>
      <c r="J31" s="77"/>
      <c r="K31" s="77"/>
      <c r="L31" s="77"/>
      <c r="M31" s="77"/>
      <c r="N31" s="77"/>
      <c r="O31" s="77"/>
      <c r="P31" s="77"/>
      <c r="Q31" s="77"/>
      <c r="R31" s="77"/>
      <c r="S31" s="77"/>
      <c r="T31" s="77"/>
      <c r="U31" s="77"/>
      <c r="V31" s="77"/>
      <c r="W31" s="77"/>
      <c r="X31" s="77"/>
      <c r="Y31" s="77"/>
      <c r="Z31" s="77"/>
      <c r="AA31" s="77"/>
    </row>
    <row r="32" spans="1:27" x14ac:dyDescent="0.2">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1:27"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row>
    <row r="34" spans="1:27" x14ac:dyDescent="0.2">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7" x14ac:dyDescent="0.2">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1:27" x14ac:dyDescent="0.2">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row>
    <row r="37" spans="1:27" x14ac:dyDescent="0.2">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row>
    <row r="38" spans="1:27" x14ac:dyDescent="0.2">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row>
    <row r="39" spans="1:27" x14ac:dyDescent="0.2">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row>
    <row r="41" spans="1:27" x14ac:dyDescent="0.2">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row>
    <row r="42" spans="1:27" x14ac:dyDescent="0.2">
      <c r="A42" s="77"/>
      <c r="B42" s="77"/>
      <c r="C42" s="60"/>
      <c r="D42" s="60"/>
      <c r="E42" s="60"/>
      <c r="F42" s="60"/>
      <c r="G42" s="60"/>
      <c r="H42" s="60"/>
      <c r="I42" s="60"/>
      <c r="J42" s="60"/>
      <c r="K42" s="60"/>
      <c r="L42" s="60"/>
      <c r="M42" s="60"/>
      <c r="N42" s="37"/>
      <c r="O42" s="37"/>
      <c r="P42" s="38"/>
      <c r="Q42" s="38"/>
      <c r="R42" s="38"/>
      <c r="S42" s="38"/>
    </row>
    <row r="43" spans="1:27" x14ac:dyDescent="0.2">
      <c r="A43" s="77"/>
      <c r="B43" s="77"/>
      <c r="C43" s="60"/>
      <c r="D43" s="60"/>
      <c r="E43" s="60"/>
      <c r="F43" s="60"/>
      <c r="G43" s="60"/>
      <c r="H43" s="60"/>
      <c r="I43" s="60"/>
      <c r="J43" s="60"/>
      <c r="K43" s="60"/>
      <c r="L43" s="60"/>
      <c r="M43" s="60"/>
      <c r="N43" s="37"/>
      <c r="O43" s="6"/>
    </row>
    <row r="44" spans="1:27" x14ac:dyDescent="0.2">
      <c r="A44" s="77"/>
      <c r="B44" s="77"/>
      <c r="C44" s="60"/>
      <c r="D44" s="60"/>
      <c r="E44" s="60"/>
      <c r="F44" s="60"/>
      <c r="G44" s="60"/>
      <c r="H44" s="60"/>
      <c r="I44" s="60"/>
      <c r="J44" s="60"/>
      <c r="K44" s="60"/>
      <c r="L44" s="60"/>
      <c r="M44" s="60"/>
      <c r="N44" s="37"/>
      <c r="O44" s="6"/>
    </row>
    <row r="45" spans="1:27" x14ac:dyDescent="0.2">
      <c r="A45" s="77"/>
      <c r="B45" s="77"/>
      <c r="C45" s="60"/>
      <c r="D45" s="60"/>
      <c r="E45" s="60"/>
      <c r="F45" s="60"/>
      <c r="G45" s="60"/>
      <c r="H45" s="60"/>
      <c r="I45" s="60"/>
      <c r="J45" s="60"/>
      <c r="K45" s="60"/>
      <c r="L45" s="60"/>
      <c r="M45" s="60"/>
      <c r="N45" s="37"/>
      <c r="O45" s="6"/>
    </row>
    <row r="46" spans="1:27" x14ac:dyDescent="0.2">
      <c r="A46" s="61"/>
      <c r="B46" s="60"/>
      <c r="C46" s="60"/>
      <c r="D46" s="60"/>
      <c r="E46" s="60"/>
      <c r="F46" s="60"/>
      <c r="G46" s="60"/>
      <c r="H46" s="60"/>
      <c r="I46" s="60"/>
      <c r="J46" s="60"/>
      <c r="K46" s="60"/>
      <c r="L46" s="78"/>
      <c r="M46" s="60"/>
      <c r="N46" s="37"/>
      <c r="O46" s="6"/>
    </row>
    <row r="47" spans="1:27" x14ac:dyDescent="0.2">
      <c r="A47" s="61"/>
      <c r="B47" s="60"/>
      <c r="C47" s="60"/>
      <c r="D47" s="60"/>
      <c r="E47" s="60"/>
      <c r="F47" s="60"/>
      <c r="G47" s="60"/>
      <c r="H47" s="60"/>
      <c r="I47" s="60"/>
      <c r="J47" s="60"/>
      <c r="K47" s="60"/>
      <c r="L47" s="60"/>
      <c r="M47" s="60"/>
      <c r="N47" s="37"/>
      <c r="O47" s="6"/>
    </row>
    <row r="48" spans="1:27" x14ac:dyDescent="0.2">
      <c r="A48" s="61"/>
      <c r="B48" s="60"/>
      <c r="C48" s="60"/>
      <c r="D48" s="60"/>
      <c r="E48" s="60"/>
      <c r="F48" s="60"/>
      <c r="G48" s="60"/>
      <c r="H48" s="60"/>
      <c r="I48" s="60"/>
      <c r="J48" s="60"/>
      <c r="K48" s="60"/>
      <c r="L48" s="60"/>
      <c r="M48" s="60"/>
      <c r="N48" s="37"/>
      <c r="O48" s="6"/>
    </row>
    <row r="49" spans="1:15" x14ac:dyDescent="0.2">
      <c r="A49" s="61"/>
      <c r="B49" s="60"/>
      <c r="C49" s="60"/>
      <c r="D49" s="60"/>
      <c r="E49" s="60"/>
      <c r="F49" s="60"/>
      <c r="G49" s="60"/>
      <c r="H49" s="60"/>
      <c r="I49" s="60"/>
      <c r="J49" s="60"/>
      <c r="K49" s="60"/>
      <c r="L49" s="60"/>
      <c r="M49" s="60"/>
      <c r="N49" s="37"/>
      <c r="O49" s="6"/>
    </row>
    <row r="50" spans="1:15" x14ac:dyDescent="0.2">
      <c r="A50" s="61"/>
      <c r="B50" s="60"/>
      <c r="C50" s="60"/>
      <c r="D50" s="60"/>
      <c r="E50" s="60"/>
      <c r="F50" s="60"/>
      <c r="G50" s="60"/>
      <c r="H50" s="60"/>
      <c r="I50" s="60"/>
      <c r="J50" s="60"/>
      <c r="K50" s="60"/>
      <c r="L50" s="60"/>
      <c r="M50" s="60"/>
      <c r="N50" s="37"/>
      <c r="O50" s="6"/>
    </row>
    <row r="51" spans="1:15" x14ac:dyDescent="0.2">
      <c r="A51" s="61"/>
      <c r="B51" s="60"/>
      <c r="C51" s="60"/>
      <c r="D51" s="60"/>
      <c r="E51" s="60"/>
      <c r="F51" s="60"/>
      <c r="G51" s="60"/>
      <c r="H51" s="60"/>
      <c r="I51" s="60"/>
      <c r="J51" s="60"/>
      <c r="K51" s="60"/>
      <c r="L51" s="60"/>
      <c r="M51" s="60"/>
      <c r="N51" s="37"/>
      <c r="O51" s="6"/>
    </row>
    <row r="52" spans="1:15" x14ac:dyDescent="0.2">
      <c r="A52" s="61"/>
      <c r="B52" s="60"/>
      <c r="C52" s="60"/>
      <c r="D52" s="60"/>
      <c r="E52" s="60"/>
      <c r="F52" s="60"/>
      <c r="G52" s="60"/>
      <c r="H52" s="60"/>
      <c r="I52" s="60"/>
      <c r="J52" s="60"/>
      <c r="K52" s="60"/>
      <c r="L52" s="60"/>
      <c r="M52" s="60"/>
      <c r="N52" s="37"/>
      <c r="O52" s="6"/>
    </row>
    <row r="53" spans="1:15" x14ac:dyDescent="0.2">
      <c r="A53" s="61"/>
      <c r="B53" s="60"/>
      <c r="C53" s="60"/>
      <c r="D53" s="60"/>
      <c r="E53" s="60"/>
      <c r="F53" s="60"/>
      <c r="G53" s="60"/>
      <c r="H53" s="60"/>
      <c r="I53" s="60"/>
      <c r="J53" s="60"/>
      <c r="K53" s="60"/>
      <c r="L53" s="60"/>
      <c r="M53" s="60"/>
      <c r="N53" s="37"/>
      <c r="O53" s="6"/>
    </row>
    <row r="54" spans="1:15" x14ac:dyDescent="0.2">
      <c r="A54" s="61"/>
      <c r="B54" s="60"/>
      <c r="C54" s="60"/>
      <c r="D54" s="60"/>
      <c r="E54" s="60"/>
      <c r="F54" s="60"/>
      <c r="G54" s="60"/>
      <c r="H54" s="60"/>
      <c r="I54" s="60"/>
      <c r="J54" s="60"/>
      <c r="K54" s="60"/>
      <c r="L54" s="60"/>
      <c r="M54" s="60"/>
      <c r="N54" s="37"/>
      <c r="O54" s="6"/>
    </row>
    <row r="55" spans="1:15" x14ac:dyDescent="0.2">
      <c r="A55" s="61"/>
      <c r="B55" s="60"/>
      <c r="C55" s="60"/>
      <c r="D55" s="60"/>
      <c r="E55" s="60"/>
      <c r="F55" s="60"/>
      <c r="G55" s="60"/>
      <c r="H55" s="60"/>
      <c r="I55" s="60"/>
      <c r="J55" s="60"/>
      <c r="K55" s="60"/>
      <c r="L55" s="60"/>
      <c r="M55" s="60"/>
      <c r="N55" s="37"/>
      <c r="O55" s="6"/>
    </row>
    <row r="56" spans="1:15" x14ac:dyDescent="0.2">
      <c r="A56" s="61"/>
      <c r="B56" s="60"/>
      <c r="C56" s="60"/>
      <c r="D56" s="60"/>
      <c r="E56" s="60"/>
      <c r="F56" s="60"/>
      <c r="G56" s="60"/>
      <c r="H56" s="60"/>
      <c r="I56" s="60"/>
      <c r="J56" s="60"/>
      <c r="K56" s="60"/>
      <c r="L56" s="60"/>
      <c r="M56" s="60"/>
      <c r="N56" s="37"/>
      <c r="O56" s="6"/>
    </row>
    <row r="57" spans="1:15" x14ac:dyDescent="0.2">
      <c r="A57" s="61"/>
      <c r="B57" s="60"/>
      <c r="C57" s="60"/>
      <c r="D57" s="60"/>
      <c r="E57" s="60"/>
      <c r="F57" s="60"/>
      <c r="G57" s="60"/>
      <c r="H57" s="60"/>
      <c r="I57" s="60"/>
      <c r="J57" s="60"/>
      <c r="K57" s="60"/>
      <c r="L57" s="60"/>
      <c r="M57" s="60"/>
      <c r="N57" s="37"/>
      <c r="O57" s="6"/>
    </row>
    <row r="58" spans="1:15" x14ac:dyDescent="0.2">
      <c r="A58" s="61"/>
      <c r="B58" s="79"/>
      <c r="C58" s="79"/>
      <c r="D58" s="79"/>
      <c r="E58" s="79"/>
      <c r="F58" s="79"/>
      <c r="G58" s="79"/>
      <c r="H58" s="79"/>
      <c r="I58" s="79"/>
      <c r="J58" s="79"/>
      <c r="K58" s="79"/>
      <c r="L58" s="78"/>
      <c r="M58" s="79"/>
      <c r="N58" s="37"/>
      <c r="O58" s="6"/>
    </row>
    <row r="59" spans="1:15" x14ac:dyDescent="0.2">
      <c r="A59" s="61"/>
      <c r="B59" s="61"/>
      <c r="C59" s="61"/>
      <c r="D59" s="61"/>
      <c r="E59" s="61"/>
      <c r="F59" s="61"/>
      <c r="G59" s="61"/>
      <c r="H59" s="61"/>
      <c r="I59" s="61"/>
      <c r="J59" s="61"/>
      <c r="K59" s="61"/>
      <c r="L59" s="80"/>
      <c r="M59" s="61"/>
      <c r="N59" s="37"/>
      <c r="O59" s="6"/>
    </row>
    <row r="60" spans="1:15" x14ac:dyDescent="0.2">
      <c r="A60" s="37"/>
      <c r="B60" s="37"/>
      <c r="C60" s="37"/>
      <c r="D60" s="37"/>
      <c r="E60" s="37"/>
      <c r="F60" s="37"/>
      <c r="G60" s="37"/>
      <c r="H60" s="37"/>
      <c r="I60" s="37"/>
      <c r="J60" s="37"/>
      <c r="K60" s="37"/>
      <c r="L60" s="37"/>
      <c r="M60" s="37"/>
      <c r="N60" s="37"/>
      <c r="O60" s="6"/>
    </row>
  </sheetData>
  <customSheetViews>
    <customSheetView guid="{D98A0717-74D0-4F54-BB8F-A337A1A9E4DF}" fitToPage="1" showRuler="0">
      <selection activeCell="E20" sqref="E20"/>
      <pageMargins left="0.75" right="0.75" top="1" bottom="1" header="0.5" footer="0.5"/>
      <pageSetup paperSize="9" scale="47" orientation="landscape"/>
      <headerFooter alignWithMargins="0"/>
    </customSheetView>
    <customSheetView guid="{5D986420-B83B-47C8-8160-784F77FFC196}" fitToPage="1" showRuler="0" topLeftCell="A4">
      <selection activeCell="C31" sqref="C31"/>
      <pageMargins left="0.75" right="0.75" top="1" bottom="1" header="0.5" footer="0.5"/>
      <pageSetup paperSize="9" scale="47" orientation="landscape"/>
      <headerFooter alignWithMargins="0"/>
    </customSheetView>
    <customSheetView guid="{C9029B8D-126A-43F1-8BE9-BB8A7DE12FBF}" fitToPage="1" showRuler="0">
      <selection activeCell="E20" sqref="E20"/>
      <pageMargins left="0.75" right="0.75" top="1" bottom="1" header="0.5" footer="0.5"/>
      <pageSetup paperSize="9" scale="47" orientation="landscape"/>
      <headerFooter alignWithMargins="0"/>
    </customSheetView>
    <customSheetView guid="{4284377C-91E6-4152-887E-8DA87560FDD6}" fitToPage="1" showRuler="0">
      <selection activeCell="E20" sqref="E20"/>
      <pageMargins left="0.75" right="0.75" top="1" bottom="1" header="0.5" footer="0.5"/>
      <pageSetup paperSize="9" scale="47" orientation="landscape"/>
      <headerFooter alignWithMargins="0"/>
    </customSheetView>
    <customSheetView guid="{546B9E27-05F9-47A7-B161-BCC56D613799}" fitToPage="1" showRuler="0">
      <selection activeCell="E20" sqref="E20"/>
      <pageMargins left="0.75" right="0.75" top="1" bottom="1" header="0.5" footer="0.5"/>
      <pageSetup paperSize="9" scale="47" orientation="landscape"/>
      <headerFooter alignWithMargins="0"/>
    </customSheetView>
  </customSheetViews>
  <phoneticPr fontId="0" type="noConversion"/>
  <pageMargins left="0.75" right="0.75" top="1" bottom="1" header="0.5" footer="0.5"/>
  <pageSetup paperSize="9" scale="47"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1">
    <pageSetUpPr fitToPage="1"/>
  </sheetPr>
  <dimension ref="A1:O15"/>
  <sheetViews>
    <sheetView workbookViewId="0">
      <selection activeCell="C25" sqref="C25"/>
    </sheetView>
  </sheetViews>
  <sheetFormatPr defaultRowHeight="12.75" x14ac:dyDescent="0.2"/>
  <cols>
    <col min="1" max="1" width="63.6640625" bestFit="1" customWidth="1"/>
    <col min="3" max="3" width="14.1640625" bestFit="1" customWidth="1"/>
    <col min="4" max="15" width="13" bestFit="1" customWidth="1"/>
  </cols>
  <sheetData>
    <row r="1" spans="1:15" ht="18.75" x14ac:dyDescent="0.3">
      <c r="A1" s="287" t="s">
        <v>438</v>
      </c>
    </row>
    <row r="3" spans="1:15" x14ac:dyDescent="0.2">
      <c r="A3" t="s">
        <v>49</v>
      </c>
    </row>
    <row r="4" spans="1:15" x14ac:dyDescent="0.2">
      <c r="A4" t="s">
        <v>197</v>
      </c>
      <c r="B4" s="182">
        <f>Invoerblad!E48</f>
        <v>0</v>
      </c>
    </row>
    <row r="5" spans="1:15" x14ac:dyDescent="0.2">
      <c r="C5" t="s">
        <v>47</v>
      </c>
    </row>
    <row r="6" spans="1:15" x14ac:dyDescent="0.2">
      <c r="C6">
        <v>1</v>
      </c>
      <c r="D6">
        <v>2</v>
      </c>
      <c r="E6">
        <v>3</v>
      </c>
      <c r="F6">
        <v>4</v>
      </c>
      <c r="G6">
        <v>5</v>
      </c>
      <c r="H6">
        <v>6</v>
      </c>
      <c r="I6">
        <v>7</v>
      </c>
      <c r="J6">
        <v>8</v>
      </c>
      <c r="K6">
        <v>9</v>
      </c>
      <c r="L6">
        <v>10</v>
      </c>
      <c r="M6">
        <v>11</v>
      </c>
      <c r="N6">
        <v>12</v>
      </c>
      <c r="O6">
        <v>13</v>
      </c>
    </row>
    <row r="7" spans="1:15" x14ac:dyDescent="0.2">
      <c r="A7" t="s">
        <v>66</v>
      </c>
      <c r="C7" s="7">
        <f>Invoerblad!$E$54/'Hulpberekeningen 2'!$E$1*'Hulpberekeningen 2'!E24</f>
        <v>0</v>
      </c>
      <c r="D7" s="7">
        <f>Invoerblad!$E$54/'Hulpberekeningen 2'!$E$1*'Hulpberekeningen 2'!F24</f>
        <v>0</v>
      </c>
      <c r="E7" s="7">
        <f>Invoerblad!$E$54/'Hulpberekeningen 2'!$E$1*'Hulpberekeningen 2'!G24</f>
        <v>0</v>
      </c>
      <c r="F7" s="7">
        <f>Invoerblad!$E$54/'Hulpberekeningen 2'!$E$1*'Hulpberekeningen 2'!H24</f>
        <v>0</v>
      </c>
      <c r="G7" s="7">
        <f>Invoerblad!$E$54/'Hulpberekeningen 2'!$E$1*'Hulpberekeningen 2'!I24</f>
        <v>0</v>
      </c>
      <c r="H7" s="7">
        <f>Invoerblad!$E$54/'Hulpberekeningen 2'!$E$1*'Hulpberekeningen 2'!J24</f>
        <v>0</v>
      </c>
      <c r="I7" s="7">
        <f>Invoerblad!$E$54/'Hulpberekeningen 2'!$E$1*'Hulpberekeningen 2'!K24</f>
        <v>0</v>
      </c>
      <c r="J7" s="7">
        <f>Invoerblad!$E$54/'Hulpberekeningen 2'!$E$1*'Hulpberekeningen 2'!L24</f>
        <v>0</v>
      </c>
      <c r="K7" s="7">
        <f>Invoerblad!$E$54/'Hulpberekeningen 2'!$E$1*'Hulpberekeningen 2'!M24</f>
        <v>0</v>
      </c>
      <c r="L7" s="7">
        <f>Invoerblad!$E$54/'Hulpberekeningen 2'!$E$1*'Hulpberekeningen 2'!N24</f>
        <v>0</v>
      </c>
      <c r="M7" s="7">
        <f>Invoerblad!$E$54/'Hulpberekeningen 2'!$E$1*'Hulpberekeningen 2'!O24</f>
        <v>0</v>
      </c>
      <c r="N7" s="7">
        <f>Invoerblad!$E$54/'Hulpberekeningen 2'!$E$1*'Hulpberekeningen 2'!P24</f>
        <v>0</v>
      </c>
      <c r="O7" s="7">
        <f>Invoerblad!$E$54/'Hulpberekeningen 2'!$E$1*'Hulpberekeningen 2'!Q24</f>
        <v>0</v>
      </c>
    </row>
    <row r="8" spans="1:15" x14ac:dyDescent="0.2">
      <c r="A8" t="s">
        <v>48</v>
      </c>
      <c r="C8" s="7">
        <f>+Invoerblad!K54</f>
        <v>0</v>
      </c>
      <c r="D8" s="7">
        <f>+Invoerblad!L54</f>
        <v>0</v>
      </c>
      <c r="E8" s="7">
        <f>+Invoerblad!M54</f>
        <v>0</v>
      </c>
      <c r="F8" s="7">
        <f>+Invoerblad!N54</f>
        <v>0</v>
      </c>
      <c r="G8" s="7">
        <f>+Invoerblad!O54</f>
        <v>0</v>
      </c>
      <c r="H8" s="7">
        <f>+Invoerblad!P54</f>
        <v>0</v>
      </c>
      <c r="I8" s="7">
        <f>+Invoerblad!Q54</f>
        <v>0</v>
      </c>
      <c r="J8" s="7">
        <f>+Invoerblad!R54</f>
        <v>0</v>
      </c>
      <c r="K8" s="7">
        <f>+Invoerblad!S54</f>
        <v>0</v>
      </c>
      <c r="L8" s="7">
        <f>+Invoerblad!T54</f>
        <v>0</v>
      </c>
      <c r="M8" s="7">
        <f>+Invoerblad!U54</f>
        <v>0</v>
      </c>
      <c r="N8" s="7">
        <f>+Invoerblad!V54</f>
        <v>0</v>
      </c>
      <c r="O8" s="7">
        <f>+Invoerblad!W54</f>
        <v>0</v>
      </c>
    </row>
    <row r="9" spans="1:15" x14ac:dyDescent="0.2">
      <c r="C9" s="7"/>
      <c r="D9" s="7"/>
      <c r="E9" s="7"/>
      <c r="F9" s="7"/>
      <c r="G9" s="7"/>
      <c r="H9" s="7"/>
      <c r="I9" s="7"/>
      <c r="J9" s="7"/>
      <c r="K9" s="7"/>
      <c r="L9" s="7"/>
      <c r="M9" s="7"/>
      <c r="N9" s="7"/>
      <c r="O9" s="7"/>
    </row>
    <row r="10" spans="1:15" x14ac:dyDescent="0.2">
      <c r="A10" t="s">
        <v>50</v>
      </c>
      <c r="C10" s="7">
        <f>+C8-C7</f>
        <v>0</v>
      </c>
      <c r="D10" s="7">
        <f t="shared" ref="D10:L10" si="0">+D8-D7</f>
        <v>0</v>
      </c>
      <c r="E10" s="7">
        <f t="shared" si="0"/>
        <v>0</v>
      </c>
      <c r="F10" s="7">
        <f t="shared" si="0"/>
        <v>0</v>
      </c>
      <c r="G10" s="7">
        <f t="shared" si="0"/>
        <v>0</v>
      </c>
      <c r="H10" s="7">
        <f t="shared" si="0"/>
        <v>0</v>
      </c>
      <c r="I10" s="7">
        <f t="shared" si="0"/>
        <v>0</v>
      </c>
      <c r="J10" s="7">
        <f t="shared" si="0"/>
        <v>0</v>
      </c>
      <c r="K10" s="7">
        <f t="shared" si="0"/>
        <v>0</v>
      </c>
      <c r="L10" s="7">
        <f t="shared" si="0"/>
        <v>0</v>
      </c>
      <c r="M10" s="7">
        <f>+M8-M7</f>
        <v>0</v>
      </c>
      <c r="N10" s="7">
        <f>+N8-N7</f>
        <v>0</v>
      </c>
      <c r="O10" s="7">
        <f>+O8-O7</f>
        <v>0</v>
      </c>
    </row>
    <row r="11" spans="1:15" x14ac:dyDescent="0.2">
      <c r="C11" s="7"/>
      <c r="D11" s="7"/>
      <c r="E11" s="7"/>
      <c r="F11" s="7"/>
      <c r="G11" s="7"/>
      <c r="H11" s="7"/>
      <c r="I11" s="7"/>
      <c r="J11" s="7"/>
      <c r="K11" s="7"/>
      <c r="L11" s="7"/>
      <c r="M11" s="7"/>
      <c r="N11" s="7"/>
      <c r="O11" s="7"/>
    </row>
    <row r="12" spans="1:15" x14ac:dyDescent="0.2">
      <c r="A12" t="s">
        <v>51</v>
      </c>
      <c r="C12" s="7">
        <f>+C10*Invoerblad!$E$48</f>
        <v>0</v>
      </c>
      <c r="D12" s="7">
        <f>+D10*Invoerblad!$E$48</f>
        <v>0</v>
      </c>
      <c r="E12" s="7">
        <f>+E10*Invoerblad!$E$48</f>
        <v>0</v>
      </c>
      <c r="F12" s="7">
        <f>+F10*Invoerblad!$E$48</f>
        <v>0</v>
      </c>
      <c r="G12" s="7">
        <f>+G10*Invoerblad!$E$48</f>
        <v>0</v>
      </c>
      <c r="H12" s="7">
        <f>+H10*Invoerblad!$E$48</f>
        <v>0</v>
      </c>
      <c r="I12" s="7">
        <f>+I10*Invoerblad!$E$48</f>
        <v>0</v>
      </c>
      <c r="J12" s="7">
        <f>+J10*Invoerblad!$E$48</f>
        <v>0</v>
      </c>
      <c r="K12" s="7">
        <f>+K10*Invoerblad!$E$48</f>
        <v>0</v>
      </c>
      <c r="L12" s="7">
        <f>+L10*Invoerblad!$E$48</f>
        <v>0</v>
      </c>
      <c r="M12" s="7">
        <f>+M10*Invoerblad!$E$48</f>
        <v>0</v>
      </c>
      <c r="N12" s="7">
        <f>+N10*Invoerblad!$E$48</f>
        <v>0</v>
      </c>
      <c r="O12" s="7">
        <f>+O10*Invoerblad!$E$48</f>
        <v>0</v>
      </c>
    </row>
    <row r="13" spans="1:15" ht="13.5" thickBot="1" x14ac:dyDescent="0.25"/>
    <row r="14" spans="1:15" ht="13.5" thickBot="1" x14ac:dyDescent="0.25">
      <c r="A14" t="s">
        <v>26</v>
      </c>
      <c r="C14" s="48">
        <f>NPV(Invoerblad!$E$75,C12:O12)*'Hulpberekeningen 2'!$E$39</f>
        <v>0</v>
      </c>
    </row>
    <row r="15" spans="1:15" x14ac:dyDescent="0.2">
      <c r="A15" t="s">
        <v>85</v>
      </c>
      <c r="C15" s="84" t="e">
        <f>+C14/(Invoerblad!$E$54-Invoerblad!$E$44)</f>
        <v>#DIV/0!</v>
      </c>
    </row>
  </sheetData>
  <customSheetViews>
    <customSheetView guid="{D98A0717-74D0-4F54-BB8F-A337A1A9E4DF}" fitToPage="1" showRuler="0">
      <selection activeCell="A20" sqref="A20:A21"/>
      <pageMargins left="0.75" right="0.75" top="1" bottom="1" header="0.5" footer="0.5"/>
      <pageSetup paperSize="9" scale="70" orientation="landscape"/>
      <headerFooter alignWithMargins="0"/>
    </customSheetView>
    <customSheetView guid="{5D986420-B83B-47C8-8160-784F77FFC196}" fitToPage="1" showRuler="0">
      <selection activeCell="A20" sqref="A20:A21"/>
      <pageMargins left="0.75" right="0.75" top="1" bottom="1" header="0.5" footer="0.5"/>
      <pageSetup paperSize="9" scale="70" orientation="landscape"/>
      <headerFooter alignWithMargins="0"/>
    </customSheetView>
    <customSheetView guid="{C9029B8D-126A-43F1-8BE9-BB8A7DE12FBF}" fitToPage="1" showRuler="0">
      <selection activeCell="A20" sqref="A20:A21"/>
      <pageMargins left="0.75" right="0.75" top="1" bottom="1" header="0.5" footer="0.5"/>
      <pageSetup paperSize="9" scale="70" orientation="landscape"/>
      <headerFooter alignWithMargins="0"/>
    </customSheetView>
    <customSheetView guid="{4284377C-91E6-4152-887E-8DA87560FDD6}" fitToPage="1" showRuler="0">
      <selection activeCell="A20" sqref="A20:A21"/>
      <pageMargins left="0.75" right="0.75" top="1" bottom="1" header="0.5" footer="0.5"/>
      <pageSetup paperSize="9" scale="70" orientation="landscape"/>
      <headerFooter alignWithMargins="0"/>
    </customSheetView>
    <customSheetView guid="{546B9E27-05F9-47A7-B161-BCC56D613799}" fitToPage="1" showRuler="0">
      <selection activeCell="A20" sqref="A20:A21"/>
      <pageMargins left="0.75" right="0.75" top="1" bottom="1" header="0.5" footer="0.5"/>
      <pageSetup paperSize="9" scale="70" orientation="landscape"/>
      <headerFooter alignWithMargins="0"/>
    </customSheetView>
  </customSheetViews>
  <phoneticPr fontId="0" type="noConversion"/>
  <pageMargins left="0.75" right="0.75" top="1" bottom="1" header="0.5" footer="0.5"/>
  <pageSetup paperSize="9" scale="7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9">
    <pageSetUpPr fitToPage="1"/>
  </sheetPr>
  <dimension ref="A1:G40"/>
  <sheetViews>
    <sheetView workbookViewId="0">
      <selection activeCell="C13" sqref="C13"/>
    </sheetView>
  </sheetViews>
  <sheetFormatPr defaultRowHeight="12.75" x14ac:dyDescent="0.2"/>
  <cols>
    <col min="2" max="2" width="49.1640625" customWidth="1"/>
    <col min="3" max="3" width="14.6640625" bestFit="1" customWidth="1"/>
    <col min="6" max="6" width="11.33203125" customWidth="1"/>
  </cols>
  <sheetData>
    <row r="1" spans="1:7" ht="18.75" x14ac:dyDescent="0.3">
      <c r="A1" s="287" t="s">
        <v>439</v>
      </c>
      <c r="B1" s="2"/>
      <c r="F1" s="190">
        <f>+Invoerblad!N3</f>
        <v>0</v>
      </c>
    </row>
    <row r="2" spans="1:7" ht="18.75" x14ac:dyDescent="0.3">
      <c r="A2" s="100"/>
      <c r="B2" s="2"/>
      <c r="F2" s="194"/>
    </row>
    <row r="3" spans="1:7" ht="14.25" x14ac:dyDescent="0.2">
      <c r="A3" s="3" t="s">
        <v>387</v>
      </c>
      <c r="B3" s="3"/>
      <c r="C3" s="3"/>
      <c r="D3" s="3"/>
    </row>
    <row r="4" spans="1:7" x14ac:dyDescent="0.2">
      <c r="A4" s="1"/>
      <c r="B4" s="2"/>
    </row>
    <row r="5" spans="1:7" x14ac:dyDescent="0.2">
      <c r="A5" s="1" t="s">
        <v>388</v>
      </c>
      <c r="B5" s="2"/>
    </row>
    <row r="6" spans="1:7" x14ac:dyDescent="0.2">
      <c r="B6" s="2"/>
    </row>
    <row r="7" spans="1:7" x14ac:dyDescent="0.2">
      <c r="A7" s="145" t="s">
        <v>389</v>
      </c>
      <c r="B7" s="2" t="s">
        <v>390</v>
      </c>
      <c r="C7" s="178" t="s">
        <v>391</v>
      </c>
    </row>
    <row r="8" spans="1:7" x14ac:dyDescent="0.2">
      <c r="A8">
        <v>1</v>
      </c>
      <c r="B8" t="s">
        <v>392</v>
      </c>
      <c r="C8" s="179"/>
      <c r="D8" s="7"/>
      <c r="E8" s="7"/>
      <c r="F8" s="7"/>
      <c r="G8" s="7"/>
    </row>
    <row r="9" spans="1:7" hidden="1" x14ac:dyDescent="0.2">
      <c r="B9" t="s">
        <v>393</v>
      </c>
      <c r="C9" s="180">
        <f>POWER((C8+1),1/12)-1</f>
        <v>0</v>
      </c>
      <c r="D9" s="181"/>
      <c r="E9" s="81"/>
      <c r="F9" s="81"/>
      <c r="G9" s="7"/>
    </row>
    <row r="10" spans="1:7" hidden="1" x14ac:dyDescent="0.2">
      <c r="C10" s="182"/>
      <c r="D10" s="182"/>
      <c r="E10" s="35"/>
      <c r="G10" s="7"/>
    </row>
    <row r="11" spans="1:7" x14ac:dyDescent="0.2">
      <c r="A11">
        <v>2</v>
      </c>
      <c r="B11" t="s">
        <v>394</v>
      </c>
      <c r="C11" s="183"/>
      <c r="E11" s="8"/>
      <c r="F11" s="81"/>
    </row>
    <row r="12" spans="1:7" x14ac:dyDescent="0.2">
      <c r="A12">
        <v>3</v>
      </c>
      <c r="B12" t="s">
        <v>398</v>
      </c>
      <c r="C12" s="183"/>
      <c r="E12" s="8"/>
      <c r="F12" s="81"/>
    </row>
    <row r="13" spans="1:7" x14ac:dyDescent="0.2">
      <c r="A13">
        <v>4</v>
      </c>
      <c r="B13" t="s">
        <v>399</v>
      </c>
      <c r="C13" s="183"/>
      <c r="E13" s="8"/>
      <c r="F13" s="81"/>
    </row>
    <row r="14" spans="1:7" x14ac:dyDescent="0.2">
      <c r="A14">
        <v>5</v>
      </c>
      <c r="B14" t="s">
        <v>400</v>
      </c>
      <c r="C14" s="183"/>
      <c r="E14" s="8"/>
      <c r="F14" s="81"/>
    </row>
    <row r="15" spans="1:7" x14ac:dyDescent="0.2">
      <c r="A15">
        <v>6</v>
      </c>
      <c r="B15" t="s">
        <v>401</v>
      </c>
      <c r="C15" s="184"/>
    </row>
    <row r="17" spans="1:7" x14ac:dyDescent="0.2">
      <c r="A17" s="145" t="s">
        <v>3</v>
      </c>
    </row>
    <row r="18" spans="1:7" x14ac:dyDescent="0.2">
      <c r="A18">
        <v>7</v>
      </c>
      <c r="B18" t="s">
        <v>402</v>
      </c>
      <c r="C18" s="165">
        <f>-PV(C9,C12,C11,,C15)</f>
        <v>0</v>
      </c>
    </row>
    <row r="19" spans="1:7" ht="13.5" thickBot="1" x14ac:dyDescent="0.25">
      <c r="A19">
        <v>8</v>
      </c>
      <c r="B19" t="s">
        <v>403</v>
      </c>
      <c r="C19" s="165">
        <f>C13/POWER((1+C9),C14)</f>
        <v>0</v>
      </c>
    </row>
    <row r="20" spans="1:7" ht="13.5" thickBot="1" x14ac:dyDescent="0.25">
      <c r="A20" s="2">
        <v>9</v>
      </c>
      <c r="B20" s="2" t="s">
        <v>404</v>
      </c>
      <c r="C20" s="185">
        <f>+C18+C19</f>
        <v>0</v>
      </c>
    </row>
    <row r="23" spans="1:7" x14ac:dyDescent="0.2">
      <c r="A23" s="2" t="s">
        <v>405</v>
      </c>
    </row>
    <row r="24" spans="1:7" x14ac:dyDescent="0.2">
      <c r="C24" s="186"/>
      <c r="D24" s="7"/>
      <c r="E24" s="7"/>
      <c r="F24" s="7"/>
      <c r="G24" s="7"/>
    </row>
    <row r="25" spans="1:7" x14ac:dyDescent="0.2">
      <c r="A25">
        <v>1</v>
      </c>
      <c r="B25" t="s">
        <v>232</v>
      </c>
      <c r="C25" s="186"/>
      <c r="D25" s="187"/>
      <c r="E25" s="7"/>
      <c r="F25" s="7"/>
      <c r="G25" s="7"/>
    </row>
    <row r="26" spans="1:7" x14ac:dyDescent="0.2">
      <c r="B26" t="s">
        <v>229</v>
      </c>
      <c r="C26" s="186"/>
      <c r="D26" s="187"/>
      <c r="E26" s="7"/>
      <c r="F26" s="7"/>
      <c r="G26" s="7"/>
    </row>
    <row r="27" spans="1:7" x14ac:dyDescent="0.2">
      <c r="B27" s="317" t="s">
        <v>111</v>
      </c>
      <c r="C27" s="186"/>
      <c r="D27" s="187"/>
      <c r="E27" s="7"/>
      <c r="F27" s="7"/>
      <c r="G27" s="7"/>
    </row>
    <row r="28" spans="1:7" x14ac:dyDescent="0.2">
      <c r="A28">
        <v>2</v>
      </c>
      <c r="B28" s="1" t="s">
        <v>406</v>
      </c>
      <c r="C28" s="186"/>
      <c r="D28" s="187"/>
      <c r="E28" s="7"/>
      <c r="F28" s="7"/>
      <c r="G28" s="7"/>
    </row>
    <row r="29" spans="1:7" x14ac:dyDescent="0.2">
      <c r="A29">
        <v>4</v>
      </c>
      <c r="B29" t="s">
        <v>409</v>
      </c>
      <c r="C29" s="7"/>
      <c r="D29" s="7"/>
      <c r="E29" s="7"/>
      <c r="F29" s="7"/>
      <c r="G29" s="7"/>
    </row>
    <row r="30" spans="1:7" x14ac:dyDescent="0.2">
      <c r="A30">
        <v>5</v>
      </c>
      <c r="B30" t="s">
        <v>230</v>
      </c>
      <c r="C30" s="7"/>
      <c r="D30" s="7"/>
      <c r="E30" s="7"/>
      <c r="F30" s="7"/>
      <c r="G30" s="7"/>
    </row>
    <row r="31" spans="1:7" x14ac:dyDescent="0.2">
      <c r="B31" t="s">
        <v>231</v>
      </c>
      <c r="C31" s="7"/>
      <c r="D31" s="7"/>
      <c r="E31" s="7"/>
      <c r="F31" s="7"/>
      <c r="G31" s="7"/>
    </row>
    <row r="32" spans="1:7" x14ac:dyDescent="0.2">
      <c r="A32">
        <v>6</v>
      </c>
      <c r="B32" t="s">
        <v>0</v>
      </c>
      <c r="C32" s="7"/>
      <c r="D32" s="7"/>
      <c r="E32" s="7"/>
      <c r="F32" s="7"/>
      <c r="G32" s="7"/>
    </row>
    <row r="33" spans="1:7" x14ac:dyDescent="0.2">
      <c r="A33">
        <v>9</v>
      </c>
      <c r="B33" t="s">
        <v>2</v>
      </c>
      <c r="C33" s="7"/>
      <c r="D33" s="7"/>
      <c r="E33" s="7"/>
      <c r="F33" s="7"/>
      <c r="G33" s="7"/>
    </row>
    <row r="34" spans="1:7" x14ac:dyDescent="0.2">
      <c r="C34" s="7"/>
      <c r="D34" s="7"/>
      <c r="E34" s="7"/>
      <c r="F34" s="7"/>
      <c r="G34" s="7"/>
    </row>
    <row r="36" spans="1:7" x14ac:dyDescent="0.2">
      <c r="B36" s="1"/>
    </row>
    <row r="37" spans="1:7" x14ac:dyDescent="0.2">
      <c r="B37" s="1"/>
    </row>
    <row r="38" spans="1:7" x14ac:dyDescent="0.2">
      <c r="B38" s="1"/>
    </row>
    <row r="39" spans="1:7" x14ac:dyDescent="0.2">
      <c r="B39" s="1"/>
    </row>
    <row r="40" spans="1:7" x14ac:dyDescent="0.2">
      <c r="B40" s="1"/>
    </row>
  </sheetData>
  <customSheetViews>
    <customSheetView guid="{D98A0717-74D0-4F54-BB8F-A337A1A9E4DF}" fitToPage="1" hiddenRows="1" showRuler="0">
      <selection activeCell="H39" sqref="H39"/>
      <pageMargins left="0.75" right="0.75" top="1" bottom="1" header="0.5" footer="0.5"/>
      <pageSetup paperSize="9" orientation="landscape"/>
      <headerFooter alignWithMargins="0"/>
    </customSheetView>
    <customSheetView guid="{5D986420-B83B-47C8-8160-784F77FFC196}" fitToPage="1" hiddenRows="1" showRuler="0">
      <selection activeCell="H39" sqref="H39"/>
      <pageMargins left="0.75" right="0.75" top="1" bottom="1" header="0.5" footer="0.5"/>
      <pageSetup paperSize="9" orientation="landscape"/>
      <headerFooter alignWithMargins="0"/>
    </customSheetView>
    <customSheetView guid="{C9029B8D-126A-43F1-8BE9-BB8A7DE12FBF}" fitToPage="1" hiddenRows="1" showRuler="0">
      <selection activeCell="H39" sqref="H39"/>
      <pageMargins left="0.75" right="0.75" top="1" bottom="1" header="0.5" footer="0.5"/>
      <pageSetup paperSize="9" orientation="landscape"/>
      <headerFooter alignWithMargins="0"/>
    </customSheetView>
    <customSheetView guid="{4284377C-91E6-4152-887E-8DA87560FDD6}" fitToPage="1" hiddenRows="1" showRuler="0">
      <selection activeCell="H39" sqref="H39"/>
      <pageMargins left="0.75" right="0.75" top="1" bottom="1" header="0.5" footer="0.5"/>
      <pageSetup paperSize="9" orientation="landscape"/>
      <headerFooter alignWithMargins="0"/>
    </customSheetView>
    <customSheetView guid="{546B9E27-05F9-47A7-B161-BCC56D613799}" fitToPage="1" hiddenRows="1" showRuler="0">
      <selection activeCell="H39" sqref="H39"/>
      <pageMargins left="0.75" right="0.75" top="1" bottom="1" header="0.5" footer="0.5"/>
      <pageSetup paperSize="9" orientation="landscape"/>
      <headerFooter alignWithMargins="0"/>
    </customSheetView>
  </customSheetViews>
  <phoneticPr fontId="34" type="noConversion"/>
  <hyperlinks>
    <hyperlink ref="B27" r:id="rId1" xr:uid="{00000000-0004-0000-0200-000000000000}"/>
  </hyperlink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3">
    <pageSetUpPr fitToPage="1"/>
  </sheetPr>
  <dimension ref="A1:IV47"/>
  <sheetViews>
    <sheetView showGridLines="0" zoomScale="60" workbookViewId="0"/>
  </sheetViews>
  <sheetFormatPr defaultRowHeight="12.75" x14ac:dyDescent="0.2"/>
  <cols>
    <col min="1" max="1" width="46.1640625" customWidth="1"/>
    <col min="2" max="2" width="21.33203125" customWidth="1"/>
    <col min="3" max="3" width="24.1640625" customWidth="1"/>
    <col min="4" max="4" width="22.6640625" customWidth="1"/>
    <col min="5" max="5" width="19.83203125" bestFit="1" customWidth="1"/>
    <col min="6" max="6" width="19.1640625" customWidth="1"/>
    <col min="7" max="7" width="19" bestFit="1" customWidth="1"/>
    <col min="8" max="9" width="18.83203125" bestFit="1" customWidth="1"/>
    <col min="10" max="10" width="19.33203125" bestFit="1" customWidth="1"/>
    <col min="11" max="11" width="19" customWidth="1"/>
    <col min="12" max="12" width="19.33203125" bestFit="1" customWidth="1"/>
    <col min="13" max="13" width="17.1640625" bestFit="1" customWidth="1"/>
    <col min="14" max="14" width="15.6640625" customWidth="1"/>
    <col min="15" max="15" width="16.5" bestFit="1" customWidth="1"/>
    <col min="16" max="16" width="16.33203125" bestFit="1" customWidth="1"/>
    <col min="17" max="17" width="15.1640625" bestFit="1" customWidth="1"/>
    <col min="18" max="18" width="16.5" bestFit="1" customWidth="1"/>
    <col min="19" max="19" width="15.1640625" bestFit="1" customWidth="1"/>
    <col min="20" max="20" width="14.83203125" bestFit="1" customWidth="1"/>
    <col min="21" max="22" width="17.33203125" bestFit="1" customWidth="1"/>
    <col min="23" max="23" width="16.5" bestFit="1" customWidth="1"/>
    <col min="24" max="24" width="14.83203125" bestFit="1" customWidth="1"/>
    <col min="25" max="25" width="17.1640625" bestFit="1" customWidth="1"/>
    <col min="26" max="26" width="14.83203125" bestFit="1" customWidth="1"/>
    <col min="27" max="27" width="15.1640625" bestFit="1" customWidth="1"/>
  </cols>
  <sheetData>
    <row r="1" spans="1:256" s="197" customFormat="1" ht="20.25" x14ac:dyDescent="0.3">
      <c r="A1" s="196" t="s">
        <v>440</v>
      </c>
      <c r="B1" s="137" t="s">
        <v>212</v>
      </c>
      <c r="C1" s="198"/>
      <c r="D1" s="198"/>
      <c r="E1" s="198"/>
      <c r="F1" s="198"/>
      <c r="G1" s="198"/>
      <c r="H1" s="198"/>
      <c r="I1" s="198"/>
    </row>
    <row r="2" spans="1:256" x14ac:dyDescent="0.2">
      <c r="A2" s="2" t="s">
        <v>213</v>
      </c>
      <c r="B2" s="2"/>
    </row>
    <row r="3" spans="1:256" x14ac:dyDescent="0.2">
      <c r="A3" s="2"/>
      <c r="B3" s="46"/>
    </row>
    <row r="4" spans="1:256" x14ac:dyDescent="0.2">
      <c r="A4" s="2"/>
      <c r="B4" s="46"/>
    </row>
    <row r="5" spans="1:256" s="1" customFormat="1" ht="13.5" thickBot="1" x14ac:dyDescent="0.25">
      <c r="A5"/>
      <c r="B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thickBot="1" x14ac:dyDescent="0.3">
      <c r="A6" s="32" t="s">
        <v>23</v>
      </c>
      <c r="B6" s="30" t="s">
        <v>9</v>
      </c>
      <c r="C6" s="12">
        <v>1</v>
      </c>
      <c r="D6" s="12">
        <v>2</v>
      </c>
      <c r="E6" s="12">
        <v>3</v>
      </c>
      <c r="F6" s="12">
        <v>4</v>
      </c>
      <c r="G6" s="12">
        <v>5</v>
      </c>
      <c r="H6" s="12">
        <v>6</v>
      </c>
      <c r="I6" s="12">
        <v>7</v>
      </c>
      <c r="J6" s="12">
        <v>8</v>
      </c>
      <c r="K6" s="12">
        <v>9</v>
      </c>
      <c r="L6" s="12">
        <v>10</v>
      </c>
      <c r="M6" s="12">
        <v>11</v>
      </c>
      <c r="N6" s="12">
        <v>12</v>
      </c>
      <c r="O6" s="12">
        <v>13</v>
      </c>
      <c r="P6" s="12">
        <v>14</v>
      </c>
      <c r="Q6" s="12">
        <v>15</v>
      </c>
    </row>
    <row r="7" spans="1:256" ht="13.5" customHeight="1" x14ac:dyDescent="0.25">
      <c r="A7" s="31"/>
      <c r="B7" s="13"/>
      <c r="C7" s="17"/>
      <c r="D7" s="17"/>
      <c r="E7" s="17"/>
      <c r="F7" s="17"/>
      <c r="G7" s="17"/>
      <c r="H7" s="17"/>
      <c r="I7" s="17"/>
      <c r="J7" s="17"/>
      <c r="K7" s="17"/>
      <c r="L7" s="17"/>
      <c r="M7" s="17"/>
      <c r="N7" s="17"/>
      <c r="O7" s="17"/>
    </row>
    <row r="8" spans="1:256" ht="13.5" customHeight="1" x14ac:dyDescent="0.25">
      <c r="A8" s="9" t="s">
        <v>25</v>
      </c>
      <c r="B8" s="13"/>
      <c r="C8" s="28">
        <f>+Invoerblad!K107</f>
        <v>0</v>
      </c>
      <c r="D8" s="28">
        <f>+Invoerblad!L107</f>
        <v>0</v>
      </c>
      <c r="E8" s="28">
        <f>+Invoerblad!M107</f>
        <v>0</v>
      </c>
      <c r="F8" s="28">
        <f>+Invoerblad!N107</f>
        <v>0</v>
      </c>
      <c r="G8" s="28">
        <f>+Invoerblad!O107</f>
        <v>0</v>
      </c>
      <c r="H8" s="28">
        <f>+Invoerblad!P107</f>
        <v>0</v>
      </c>
      <c r="I8" s="28">
        <f>+Invoerblad!Q107</f>
        <v>0</v>
      </c>
      <c r="J8" s="28">
        <f>+Invoerblad!R107</f>
        <v>0</v>
      </c>
      <c r="K8" s="28">
        <f>+Invoerblad!S107</f>
        <v>0</v>
      </c>
      <c r="L8" s="28">
        <f>+Invoerblad!T107</f>
        <v>0</v>
      </c>
      <c r="M8" s="28">
        <f>+Invoerblad!U107</f>
        <v>0</v>
      </c>
      <c r="N8" s="28">
        <f>+Invoerblad!V107</f>
        <v>0</v>
      </c>
      <c r="O8" s="28">
        <f>+Invoerblad!W107</f>
        <v>0</v>
      </c>
    </row>
    <row r="9" spans="1:256" ht="13.5" customHeight="1" x14ac:dyDescent="0.25">
      <c r="A9" s="9" t="s">
        <v>55</v>
      </c>
      <c r="B9" s="13"/>
      <c r="C9" s="28" t="e">
        <f>+Invoerblad!#REF!</f>
        <v>#REF!</v>
      </c>
      <c r="D9" s="28" t="e">
        <f>+Invoerblad!#REF!</f>
        <v>#REF!</v>
      </c>
      <c r="E9" s="28" t="e">
        <f>+Invoerblad!#REF!</f>
        <v>#REF!</v>
      </c>
      <c r="F9" s="28" t="e">
        <f>+Invoerblad!#REF!</f>
        <v>#REF!</v>
      </c>
      <c r="G9" s="28" t="e">
        <f>+Invoerblad!#REF!</f>
        <v>#REF!</v>
      </c>
      <c r="H9" s="28" t="e">
        <f>+Invoerblad!#REF!</f>
        <v>#REF!</v>
      </c>
      <c r="I9" s="28" t="e">
        <f>+Invoerblad!#REF!</f>
        <v>#REF!</v>
      </c>
      <c r="J9" s="28" t="e">
        <f>+Invoerblad!#REF!</f>
        <v>#REF!</v>
      </c>
      <c r="K9" s="28" t="e">
        <f>+Invoerblad!#REF!</f>
        <v>#REF!</v>
      </c>
      <c r="L9" s="28" t="e">
        <f>+Invoerblad!#REF!</f>
        <v>#REF!</v>
      </c>
      <c r="M9" s="28" t="e">
        <f>+Invoerblad!#REF!+Invoerblad!#REF!</f>
        <v>#REF!</v>
      </c>
      <c r="N9" s="28" t="e">
        <f>+Invoerblad!#REF!+Invoerblad!#REF!</f>
        <v>#REF!</v>
      </c>
      <c r="O9" s="28" t="e">
        <f>+Invoerblad!#REF!+Invoerblad!#REF!</f>
        <v>#REF!</v>
      </c>
    </row>
    <row r="10" spans="1:256" ht="15" x14ac:dyDescent="0.25">
      <c r="A10" s="19"/>
      <c r="B10" s="13"/>
      <c r="C10" s="20"/>
      <c r="D10" s="20"/>
      <c r="E10" s="20"/>
      <c r="F10" s="20"/>
      <c r="G10" s="20"/>
      <c r="H10" s="20"/>
      <c r="I10" s="20"/>
      <c r="J10" s="20"/>
      <c r="K10" s="20"/>
      <c r="L10" s="20"/>
      <c r="M10" s="20"/>
      <c r="N10" s="20"/>
      <c r="O10" s="20"/>
    </row>
    <row r="11" spans="1:256" ht="15" x14ac:dyDescent="0.25">
      <c r="A11" s="9" t="s">
        <v>56</v>
      </c>
      <c r="B11" s="13"/>
      <c r="C11" s="28" t="e">
        <f>+Invoerblad!#REF!+Invoerblad!#REF!+Invoerblad!#REF!+Invoerblad!#REF!+Invoerblad!#REF!</f>
        <v>#REF!</v>
      </c>
      <c r="D11" s="28" t="e">
        <f>+Invoerblad!#REF!+Invoerblad!#REF!+Invoerblad!#REF!+Invoerblad!#REF!+Invoerblad!#REF!</f>
        <v>#REF!</v>
      </c>
      <c r="E11" s="28" t="e">
        <f>+Invoerblad!#REF!+Invoerblad!#REF!+Invoerblad!#REF!+Invoerblad!#REF!+Invoerblad!#REF!</f>
        <v>#REF!</v>
      </c>
      <c r="F11" s="28" t="e">
        <f>+Invoerblad!#REF!+Invoerblad!#REF!+Invoerblad!#REF!+Invoerblad!#REF!+Invoerblad!#REF!</f>
        <v>#REF!</v>
      </c>
      <c r="G11" s="28" t="e">
        <f>+Invoerblad!#REF!+Invoerblad!#REF!+Invoerblad!#REF!+Invoerblad!#REF!+Invoerblad!#REF!</f>
        <v>#REF!</v>
      </c>
      <c r="H11" s="28" t="e">
        <f>+Invoerblad!#REF!+Invoerblad!#REF!+Invoerblad!#REF!+Invoerblad!#REF!+Invoerblad!#REF!</f>
        <v>#REF!</v>
      </c>
      <c r="I11" s="28" t="e">
        <f>+Invoerblad!#REF!+Invoerblad!#REF!+Invoerblad!#REF!+Invoerblad!#REF!+Invoerblad!#REF!</f>
        <v>#REF!</v>
      </c>
      <c r="J11" s="28" t="e">
        <f>+Invoerblad!#REF!+Invoerblad!#REF!+Invoerblad!#REF!+Invoerblad!#REF!+Invoerblad!#REF!</f>
        <v>#REF!</v>
      </c>
      <c r="K11" s="28" t="e">
        <f>+Invoerblad!#REF!+Invoerblad!#REF!+Invoerblad!#REF!+Invoerblad!#REF!+Invoerblad!#REF!</f>
        <v>#REF!</v>
      </c>
      <c r="L11" s="28" t="e">
        <f>+Invoerblad!#REF!+Invoerblad!#REF!+Invoerblad!#REF!+Invoerblad!#REF!+Invoerblad!#REF!</f>
        <v>#REF!</v>
      </c>
      <c r="M11" s="28" t="e">
        <f>+Invoerblad!#REF!+Invoerblad!#REF!+Invoerblad!#REF!+Invoerblad!#REF!+Invoerblad!#REF!</f>
        <v>#REF!</v>
      </c>
      <c r="N11" s="28" t="e">
        <f>+Invoerblad!#REF!+Invoerblad!#REF!+Invoerblad!#REF!+Invoerblad!#REF!+Invoerblad!#REF!</f>
        <v>#REF!</v>
      </c>
      <c r="O11" s="28" t="e">
        <f>+Invoerblad!#REF!+Invoerblad!#REF!+Invoerblad!#REF!+Invoerblad!#REF!+Invoerblad!#REF!</f>
        <v>#REF!</v>
      </c>
    </row>
    <row r="12" spans="1:256" ht="13.5" customHeight="1" x14ac:dyDescent="0.25">
      <c r="A12" s="19"/>
      <c r="B12" s="13"/>
      <c r="C12" s="20"/>
      <c r="D12" s="20"/>
      <c r="E12" s="20"/>
      <c r="F12" s="20"/>
      <c r="G12" s="20"/>
      <c r="H12" s="20"/>
      <c r="I12" s="20"/>
      <c r="J12" s="20"/>
      <c r="K12" s="20"/>
      <c r="L12" s="20"/>
      <c r="M12" s="20"/>
      <c r="N12" s="20"/>
      <c r="O12" s="20"/>
    </row>
    <row r="13" spans="1:256" ht="13.5" customHeight="1" x14ac:dyDescent="0.25">
      <c r="A13" s="9"/>
      <c r="B13" s="13"/>
      <c r="C13" s="43"/>
      <c r="D13" s="43"/>
      <c r="E13" s="43"/>
      <c r="F13" s="43"/>
      <c r="G13" s="43"/>
      <c r="H13" s="43"/>
      <c r="I13" s="43"/>
      <c r="J13" s="43"/>
      <c r="K13" s="43"/>
      <c r="L13" s="43"/>
      <c r="M13" s="43"/>
      <c r="N13" s="43"/>
      <c r="O13" s="43"/>
    </row>
    <row r="14" spans="1:256" ht="13.5" customHeight="1" x14ac:dyDescent="0.25">
      <c r="A14" s="9"/>
      <c r="B14" s="13"/>
      <c r="C14" s="20"/>
      <c r="D14" s="20"/>
      <c r="E14" s="20"/>
      <c r="F14" s="20"/>
      <c r="G14" s="20"/>
      <c r="H14" s="20"/>
      <c r="I14" s="20"/>
      <c r="J14" s="20"/>
      <c r="K14" s="20"/>
      <c r="L14" s="20"/>
      <c r="M14" s="20"/>
      <c r="N14" s="20"/>
      <c r="O14" s="20"/>
    </row>
    <row r="15" spans="1:256" ht="13.5" customHeight="1" x14ac:dyDescent="0.25">
      <c r="A15" s="9"/>
      <c r="B15" s="13"/>
      <c r="C15" s="20"/>
      <c r="D15" s="20"/>
      <c r="E15" s="20"/>
      <c r="F15" s="20"/>
      <c r="G15" s="20"/>
      <c r="H15" s="20"/>
      <c r="I15" s="20"/>
      <c r="J15" s="20"/>
      <c r="K15" s="20"/>
      <c r="L15" s="20"/>
      <c r="M15" s="20"/>
      <c r="N15" s="20"/>
      <c r="O15" s="20"/>
    </row>
    <row r="16" spans="1:256" s="24" customFormat="1" ht="16.5" customHeight="1" x14ac:dyDescent="0.25">
      <c r="A16" s="39" t="s">
        <v>21</v>
      </c>
      <c r="B16" s="17"/>
      <c r="C16" s="42" t="e">
        <f>SUM(C7:C15)</f>
        <v>#REF!</v>
      </c>
      <c r="D16" s="42" t="e">
        <f t="shared" ref="D16:L16" si="0">SUM(D7:D15)</f>
        <v>#REF!</v>
      </c>
      <c r="E16" s="42" t="e">
        <f t="shared" si="0"/>
        <v>#REF!</v>
      </c>
      <c r="F16" s="42" t="e">
        <f t="shared" si="0"/>
        <v>#REF!</v>
      </c>
      <c r="G16" s="42" t="e">
        <f t="shared" si="0"/>
        <v>#REF!</v>
      </c>
      <c r="H16" s="42" t="e">
        <f t="shared" si="0"/>
        <v>#REF!</v>
      </c>
      <c r="I16" s="42" t="e">
        <f t="shared" si="0"/>
        <v>#REF!</v>
      </c>
      <c r="J16" s="42" t="e">
        <f t="shared" si="0"/>
        <v>#REF!</v>
      </c>
      <c r="K16" s="42" t="e">
        <f t="shared" si="0"/>
        <v>#REF!</v>
      </c>
      <c r="L16" s="42" t="e">
        <f t="shared" si="0"/>
        <v>#REF!</v>
      </c>
      <c r="M16" s="42" t="e">
        <f>SUM(M7:M15)</f>
        <v>#REF!</v>
      </c>
      <c r="N16" s="42" t="e">
        <f>SUM(N7:N15)</f>
        <v>#REF!</v>
      </c>
      <c r="O16" s="42" t="e">
        <f>SUM(O7:O15)</f>
        <v>#REF!</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 x14ac:dyDescent="0.25">
      <c r="A17" s="9"/>
      <c r="B17" s="13"/>
      <c r="C17" s="22"/>
      <c r="D17" s="22"/>
      <c r="E17" s="22"/>
      <c r="F17" s="22"/>
      <c r="G17" s="22"/>
      <c r="H17" s="22"/>
      <c r="I17" s="22"/>
      <c r="J17" s="22"/>
      <c r="K17" s="22"/>
      <c r="L17" s="22"/>
      <c r="M17" s="23"/>
      <c r="N17" s="23"/>
      <c r="O17" s="23"/>
    </row>
    <row r="18" spans="1:256" ht="15" x14ac:dyDescent="0.25">
      <c r="A18" s="9" t="s">
        <v>24</v>
      </c>
      <c r="B18" s="15"/>
      <c r="C18" s="28">
        <f>+Invoerblad!K111+Invoerblad!K113+Invoerblad!K114</f>
        <v>0</v>
      </c>
      <c r="D18" s="28">
        <f>+Invoerblad!L111+Invoerblad!L113+Invoerblad!L114</f>
        <v>0</v>
      </c>
      <c r="E18" s="28">
        <f>+Invoerblad!M111+Invoerblad!M113+Invoerblad!M114</f>
        <v>0</v>
      </c>
      <c r="F18" s="28">
        <f>+Invoerblad!N111+Invoerblad!N113+Invoerblad!N114</f>
        <v>0</v>
      </c>
      <c r="G18" s="28">
        <f>+Invoerblad!O111+Invoerblad!O113+Invoerblad!O114</f>
        <v>0</v>
      </c>
      <c r="H18" s="28">
        <f>+Invoerblad!P111+Invoerblad!P113+Invoerblad!P114</f>
        <v>0</v>
      </c>
      <c r="I18" s="28">
        <f>+Invoerblad!Q111+Invoerblad!Q113+Invoerblad!Q114</f>
        <v>0</v>
      </c>
      <c r="J18" s="28">
        <f>+Invoerblad!R111+Invoerblad!R113+Invoerblad!R114</f>
        <v>0</v>
      </c>
      <c r="K18" s="28">
        <f>+Invoerblad!S111+Invoerblad!S113+Invoerblad!S114</f>
        <v>0</v>
      </c>
      <c r="L18" s="28">
        <f>+Invoerblad!T111+Invoerblad!T113+Invoerblad!T114</f>
        <v>0</v>
      </c>
      <c r="M18" s="28">
        <f>+Invoerblad!U111+Invoerblad!U113+Invoerblad!U114</f>
        <v>0</v>
      </c>
      <c r="N18" s="28">
        <f>+Invoerblad!V111+Invoerblad!V113+Invoerblad!V114</f>
        <v>0</v>
      </c>
      <c r="O18" s="28">
        <f>+Invoerblad!W111+Invoerblad!W113+Invoerblad!W114</f>
        <v>0</v>
      </c>
    </row>
    <row r="19" spans="1:256" ht="15" x14ac:dyDescent="0.25">
      <c r="A19" s="9"/>
      <c r="B19" s="15"/>
      <c r="C19" s="20"/>
      <c r="D19" s="20"/>
      <c r="E19" s="20"/>
      <c r="F19" s="20"/>
      <c r="G19" s="20"/>
      <c r="H19" s="20"/>
      <c r="I19" s="20"/>
      <c r="J19" s="20"/>
      <c r="K19" s="20"/>
      <c r="L19" s="20"/>
      <c r="M19" s="20"/>
      <c r="N19" s="20"/>
      <c r="O19" s="20"/>
    </row>
    <row r="20" spans="1:256" ht="15" x14ac:dyDescent="0.25">
      <c r="A20" s="9"/>
      <c r="B20" s="15"/>
      <c r="C20" s="20"/>
      <c r="D20" s="20"/>
      <c r="E20" s="20"/>
      <c r="F20" s="20"/>
      <c r="G20" s="20"/>
      <c r="H20" s="20"/>
      <c r="I20" s="20"/>
      <c r="J20" s="20"/>
      <c r="K20" s="20"/>
      <c r="L20" s="20"/>
      <c r="M20" s="20"/>
      <c r="N20" s="20"/>
      <c r="O20" s="20"/>
    </row>
    <row r="21" spans="1:256" ht="15" x14ac:dyDescent="0.25">
      <c r="A21" s="9"/>
      <c r="B21" s="15"/>
      <c r="C21" s="20"/>
      <c r="D21" s="20"/>
      <c r="E21" s="20"/>
      <c r="F21" s="20"/>
      <c r="G21" s="20"/>
      <c r="H21" s="20"/>
      <c r="I21" s="20"/>
      <c r="J21" s="20"/>
      <c r="K21" s="20"/>
      <c r="L21" s="20"/>
      <c r="M21" s="20"/>
      <c r="N21" s="20"/>
      <c r="O21" s="20"/>
    </row>
    <row r="22" spans="1:256" ht="15" x14ac:dyDescent="0.25">
      <c r="A22" s="9"/>
      <c r="B22" s="15"/>
      <c r="C22" s="20"/>
      <c r="D22" s="20"/>
      <c r="E22" s="20"/>
      <c r="F22" s="20"/>
      <c r="G22" s="20"/>
      <c r="H22" s="20"/>
      <c r="I22" s="20"/>
      <c r="J22" s="20"/>
      <c r="K22" s="20"/>
      <c r="L22" s="20"/>
      <c r="M22" s="20"/>
      <c r="N22" s="20"/>
      <c r="O22" s="20"/>
    </row>
    <row r="23" spans="1:256" s="24" customFormat="1" ht="15" x14ac:dyDescent="0.25">
      <c r="A23" s="40" t="s">
        <v>22</v>
      </c>
      <c r="B23" s="27"/>
      <c r="C23" s="41">
        <f>SUM(C18:C22)</f>
        <v>0</v>
      </c>
      <c r="D23" s="41">
        <f t="shared" ref="D23:L23" si="1">SUM(D18:D22)</f>
        <v>0</v>
      </c>
      <c r="E23" s="41">
        <f t="shared" si="1"/>
        <v>0</v>
      </c>
      <c r="F23" s="41">
        <f t="shared" si="1"/>
        <v>0</v>
      </c>
      <c r="G23" s="41">
        <f t="shared" si="1"/>
        <v>0</v>
      </c>
      <c r="H23" s="41">
        <f t="shared" si="1"/>
        <v>0</v>
      </c>
      <c r="I23" s="41">
        <f t="shared" si="1"/>
        <v>0</v>
      </c>
      <c r="J23" s="41">
        <f t="shared" si="1"/>
        <v>0</v>
      </c>
      <c r="K23" s="41">
        <f t="shared" si="1"/>
        <v>0</v>
      </c>
      <c r="L23" s="41">
        <f t="shared" si="1"/>
        <v>0</v>
      </c>
      <c r="M23" s="41">
        <f>SUM(M18:M22)</f>
        <v>0</v>
      </c>
      <c r="N23" s="41">
        <f>SUM(N18:N22)</f>
        <v>0</v>
      </c>
      <c r="O23" s="41">
        <f>SUM(O18:O22)</f>
        <v>0</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4" customFormat="1" ht="15" x14ac:dyDescent="0.25">
      <c r="A24" s="14"/>
      <c r="B24" s="27"/>
      <c r="C24" s="28"/>
      <c r="D24" s="28"/>
      <c r="E24" s="28"/>
      <c r="F24" s="28"/>
      <c r="G24" s="28"/>
      <c r="H24" s="28"/>
      <c r="I24" s="28"/>
      <c r="J24" s="28"/>
      <c r="K24" s="28"/>
      <c r="L24" s="28"/>
      <c r="M24" s="28"/>
      <c r="N24" s="28"/>
      <c r="O24" s="28"/>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5" customFormat="1" ht="15" x14ac:dyDescent="0.25">
      <c r="A25" s="14" t="s">
        <v>15</v>
      </c>
      <c r="B25" s="28"/>
      <c r="C25" s="28">
        <f>(Invoerblad!$E$65-SUM(Invoerblad!$K$54:$W$54))/Invoerblad!$E$74+Invoerblad!K54</f>
        <v>0</v>
      </c>
      <c r="D25" s="28">
        <f>(Invoerblad!$E$65-SUM(Invoerblad!$K$54:$W$54))/Invoerblad!$E$74+Invoerblad!L54</f>
        <v>0</v>
      </c>
      <c r="E25" s="28">
        <f>(Invoerblad!$E$65-SUM(Invoerblad!$K$54:$W$54))/Invoerblad!$E$74+Invoerblad!M54</f>
        <v>0</v>
      </c>
      <c r="F25" s="28">
        <f>(Invoerblad!$E$65-SUM(Invoerblad!$K$54:$W$54))/Invoerblad!$E$74+Invoerblad!N54</f>
        <v>0</v>
      </c>
      <c r="G25" s="28">
        <f>(Invoerblad!$E$65-SUM(Invoerblad!$K$54:$W$54))/Invoerblad!$E$74+Invoerblad!O54</f>
        <v>0</v>
      </c>
      <c r="H25" s="28">
        <f>(Invoerblad!$E$65-SUM(Invoerblad!$K$54:$W$54))/Invoerblad!$E$74+Invoerblad!P54</f>
        <v>0</v>
      </c>
      <c r="I25" s="28">
        <f>(Invoerblad!$E$65-SUM(Invoerblad!$K$54:$W$54))/Invoerblad!$E$74+Invoerblad!Q54</f>
        <v>0</v>
      </c>
      <c r="J25" s="28">
        <f>(Invoerblad!$E$65-SUM(Invoerblad!$K$54:$W$54))/Invoerblad!$E$74+Invoerblad!R54</f>
        <v>0</v>
      </c>
      <c r="K25" s="28">
        <f>(Invoerblad!$E$65-SUM(Invoerblad!$K$54:$W$54))/Invoerblad!$E$74+Invoerblad!S54</f>
        <v>0</v>
      </c>
      <c r="L25" s="28">
        <f>(Invoerblad!$E$65-SUM(Invoerblad!$K$54:$W$54))/Invoerblad!$E$74+Invoerblad!T54</f>
        <v>0</v>
      </c>
      <c r="M25" s="28">
        <f>+Invoerblad!U54</f>
        <v>0</v>
      </c>
      <c r="N25" s="28">
        <f>+Invoerblad!V54</f>
        <v>0</v>
      </c>
      <c r="O25" s="28">
        <f>+Invoerblad!W54</f>
        <v>0</v>
      </c>
      <c r="P25" s="8"/>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25" customFormat="1" ht="13.5" customHeight="1" x14ac:dyDescent="0.25">
      <c r="A26" s="14" t="s">
        <v>16</v>
      </c>
      <c r="B26" s="27"/>
      <c r="C26" s="28">
        <f>Invoerblad!E70*Invoerblad!E73</f>
        <v>0</v>
      </c>
      <c r="D26" s="28">
        <f>Invoerblad!$E70*Invoerblad!$E73*((Invoerblad!$E$74-1)/Invoerblad!$E$74)</f>
        <v>0</v>
      </c>
      <c r="E26" s="28">
        <f>Invoerblad!$E70*Invoerblad!$E73*((Invoerblad!$E$74-2)/Invoerblad!$E$74)</f>
        <v>0</v>
      </c>
      <c r="F26" s="28">
        <f>Invoerblad!$E70*Invoerblad!$E73*((Invoerblad!$E$74-3)/Invoerblad!$E$74)</f>
        <v>0</v>
      </c>
      <c r="G26" s="28">
        <f>Invoerblad!$E70*Invoerblad!$E73*((Invoerblad!$E$74-4)/Invoerblad!$E$74)</f>
        <v>0</v>
      </c>
      <c r="H26" s="28">
        <f>Invoerblad!$E70*Invoerblad!$E73*((Invoerblad!$E$74-5)/Invoerblad!$E$74)</f>
        <v>0</v>
      </c>
      <c r="I26" s="28">
        <f>Invoerblad!$E70*Invoerblad!$E73*((Invoerblad!$E$74-6)/Invoerblad!$E$74)</f>
        <v>0</v>
      </c>
      <c r="J26" s="28">
        <f>Invoerblad!$E70*Invoerblad!$E73*((Invoerblad!$E$74-7)/Invoerblad!$E$74)</f>
        <v>0</v>
      </c>
      <c r="K26" s="28">
        <f>Invoerblad!$E70*Invoerblad!$E73*((Invoerblad!$E$74-8)/Invoerblad!$E$74)</f>
        <v>0</v>
      </c>
      <c r="L26" s="28">
        <f>Invoerblad!$E70*Invoerblad!$E73*((Invoerblad!$E$74-9)/Invoerblad!$E$74)</f>
        <v>0</v>
      </c>
      <c r="M26" s="28"/>
      <c r="N26" s="28"/>
      <c r="O26" s="28"/>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5" customFormat="1" ht="15" x14ac:dyDescent="0.25">
      <c r="A27" s="40" t="s">
        <v>17</v>
      </c>
      <c r="B27" s="27"/>
      <c r="C27" s="41">
        <f t="shared" ref="C27:L27" si="2">+C23+C25+C26</f>
        <v>0</v>
      </c>
      <c r="D27" s="41">
        <f t="shared" si="2"/>
        <v>0</v>
      </c>
      <c r="E27" s="41">
        <f t="shared" si="2"/>
        <v>0</v>
      </c>
      <c r="F27" s="41">
        <f t="shared" si="2"/>
        <v>0</v>
      </c>
      <c r="G27" s="41">
        <f t="shared" si="2"/>
        <v>0</v>
      </c>
      <c r="H27" s="41">
        <f t="shared" si="2"/>
        <v>0</v>
      </c>
      <c r="I27" s="41">
        <f t="shared" si="2"/>
        <v>0</v>
      </c>
      <c r="J27" s="41">
        <f t="shared" si="2"/>
        <v>0</v>
      </c>
      <c r="K27" s="41">
        <f t="shared" si="2"/>
        <v>0</v>
      </c>
      <c r="L27" s="41">
        <f t="shared" si="2"/>
        <v>0</v>
      </c>
      <c r="M27" s="41">
        <f>+M23+M25+M26</f>
        <v>0</v>
      </c>
      <c r="N27" s="41">
        <f>+N23+N25+N26</f>
        <v>0</v>
      </c>
      <c r="O27" s="41">
        <f>+O23+O25+O26</f>
        <v>0</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25" customFormat="1" ht="15" x14ac:dyDescent="0.25">
      <c r="A28" s="14"/>
      <c r="B28" s="27"/>
      <c r="C28" s="28"/>
      <c r="D28" s="28"/>
      <c r="E28" s="28"/>
      <c r="F28" s="28"/>
      <c r="G28" s="28"/>
      <c r="H28" s="28"/>
      <c r="I28" s="28"/>
      <c r="J28" s="28"/>
      <c r="K28" s="28"/>
      <c r="L28" s="28"/>
      <c r="M28" s="28"/>
      <c r="N28" s="28"/>
      <c r="O28" s="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22" customFormat="1" ht="15" x14ac:dyDescent="0.25">
      <c r="A29" s="16" t="s">
        <v>18</v>
      </c>
      <c r="B29" s="10"/>
      <c r="C29" s="23" t="e">
        <f t="shared" ref="C29:O29" si="3">C16-C27</f>
        <v>#REF!</v>
      </c>
      <c r="D29" s="23" t="e">
        <f t="shared" si="3"/>
        <v>#REF!</v>
      </c>
      <c r="E29" s="23" t="e">
        <f t="shared" si="3"/>
        <v>#REF!</v>
      </c>
      <c r="F29" s="23" t="e">
        <f t="shared" si="3"/>
        <v>#REF!</v>
      </c>
      <c r="G29" s="23" t="e">
        <f t="shared" si="3"/>
        <v>#REF!</v>
      </c>
      <c r="H29" s="23" t="e">
        <f t="shared" si="3"/>
        <v>#REF!</v>
      </c>
      <c r="I29" s="23" t="e">
        <f t="shared" si="3"/>
        <v>#REF!</v>
      </c>
      <c r="J29" s="23" t="e">
        <f t="shared" si="3"/>
        <v>#REF!</v>
      </c>
      <c r="K29" s="23" t="e">
        <f t="shared" si="3"/>
        <v>#REF!</v>
      </c>
      <c r="L29" s="23" t="e">
        <f t="shared" si="3"/>
        <v>#REF!</v>
      </c>
      <c r="M29" s="23" t="e">
        <f t="shared" si="3"/>
        <v>#REF!</v>
      </c>
      <c r="N29" s="23" t="e">
        <f t="shared" si="3"/>
        <v>#REF!</v>
      </c>
      <c r="O29" s="23" t="e">
        <f t="shared" si="3"/>
        <v>#REF!</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4" customFormat="1" ht="15" x14ac:dyDescent="0.25">
      <c r="A30" s="156"/>
      <c r="B30" s="157"/>
      <c r="C30" s="158"/>
      <c r="D30" s="158"/>
      <c r="E30" s="158"/>
      <c r="F30" s="158"/>
      <c r="G30" s="158"/>
      <c r="H30" s="158"/>
      <c r="I30" s="158"/>
      <c r="J30" s="158"/>
      <c r="K30" s="158"/>
      <c r="L30" s="158"/>
      <c r="M30" s="158"/>
      <c r="N30" s="158"/>
      <c r="O30" s="158"/>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4" customFormat="1" ht="15" x14ac:dyDescent="0.25">
      <c r="A31" s="156" t="s">
        <v>100</v>
      </c>
      <c r="B31" s="157"/>
      <c r="C31" s="28">
        <f>+Invoerblad!K51</f>
        <v>0</v>
      </c>
      <c r="D31" s="28">
        <f>+Invoerblad!L51</f>
        <v>0</v>
      </c>
      <c r="E31" s="28">
        <f>+Invoerblad!M51</f>
        <v>0</v>
      </c>
      <c r="F31" s="28">
        <f>+Invoerblad!N51</f>
        <v>0</v>
      </c>
      <c r="G31" s="28">
        <f>+Invoerblad!O51</f>
        <v>0</v>
      </c>
      <c r="H31" s="28">
        <f>+Invoerblad!P51</f>
        <v>0</v>
      </c>
      <c r="I31" s="28">
        <f>+Invoerblad!Q51</f>
        <v>0</v>
      </c>
      <c r="J31" s="28">
        <f>+Invoerblad!R51</f>
        <v>0</v>
      </c>
      <c r="K31" s="28">
        <f>+Invoerblad!S51</f>
        <v>0</v>
      </c>
      <c r="L31" s="28">
        <f>+Invoerblad!T51</f>
        <v>0</v>
      </c>
      <c r="M31" s="28">
        <f>+Invoerblad!U51</f>
        <v>0</v>
      </c>
      <c r="N31" s="28">
        <f>+Invoerblad!V51</f>
        <v>0</v>
      </c>
      <c r="O31" s="28">
        <f>+Invoerblad!W51</f>
        <v>0</v>
      </c>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6" customFormat="1" ht="15.75" x14ac:dyDescent="0.25">
      <c r="A32" s="156" t="s">
        <v>101</v>
      </c>
      <c r="B32" s="121"/>
      <c r="C32" s="28">
        <f>+Invoerblad!K57</f>
        <v>0</v>
      </c>
      <c r="D32" s="28">
        <f>+Invoerblad!L57</f>
        <v>0</v>
      </c>
      <c r="E32" s="28">
        <f>+Invoerblad!M57</f>
        <v>0</v>
      </c>
      <c r="F32" s="28">
        <f>+Invoerblad!N57</f>
        <v>0</v>
      </c>
      <c r="G32" s="28">
        <f>+Invoerblad!O57</f>
        <v>0</v>
      </c>
      <c r="H32" s="28">
        <f>+Invoerblad!P57</f>
        <v>0</v>
      </c>
      <c r="I32" s="28">
        <f>+Invoerblad!Q57</f>
        <v>0</v>
      </c>
      <c r="J32" s="28">
        <f>+Invoerblad!R57</f>
        <v>0</v>
      </c>
      <c r="K32" s="28">
        <f>+Invoerblad!S57</f>
        <v>0</v>
      </c>
      <c r="L32" s="28">
        <f>+Invoerblad!T57</f>
        <v>0</v>
      </c>
      <c r="M32" s="28">
        <f>+Invoerblad!U57</f>
        <v>0</v>
      </c>
      <c r="N32" s="28">
        <f>+Invoerblad!V57</f>
        <v>0</v>
      </c>
      <c r="O32" s="28">
        <f>+Invoerblad!W57</f>
        <v>0</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6" customFormat="1" ht="15.75" x14ac:dyDescent="0.25">
      <c r="A33" s="156"/>
      <c r="B33" s="121"/>
      <c r="C33" s="107"/>
      <c r="I33" s="107"/>
      <c r="J33" s="107"/>
      <c r="K33" s="107"/>
      <c r="L33" s="107"/>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6" customFormat="1" ht="15.75" x14ac:dyDescent="0.25">
      <c r="A34" s="16" t="s">
        <v>103</v>
      </c>
      <c r="B34" s="121"/>
      <c r="C34" s="28" t="e">
        <f>+C29-C31-C32</f>
        <v>#REF!</v>
      </c>
      <c r="D34" s="28" t="e">
        <f t="shared" ref="D34:O34" si="4">+D29-D31-D32</f>
        <v>#REF!</v>
      </c>
      <c r="E34" s="28" t="e">
        <f t="shared" si="4"/>
        <v>#REF!</v>
      </c>
      <c r="F34" s="28" t="e">
        <f t="shared" si="4"/>
        <v>#REF!</v>
      </c>
      <c r="G34" s="28" t="e">
        <f t="shared" si="4"/>
        <v>#REF!</v>
      </c>
      <c r="H34" s="28" t="e">
        <f t="shared" si="4"/>
        <v>#REF!</v>
      </c>
      <c r="I34" s="28" t="e">
        <f t="shared" si="4"/>
        <v>#REF!</v>
      </c>
      <c r="J34" s="28" t="e">
        <f t="shared" si="4"/>
        <v>#REF!</v>
      </c>
      <c r="K34" s="28" t="e">
        <f t="shared" si="4"/>
        <v>#REF!</v>
      </c>
      <c r="L34" s="28" t="e">
        <f t="shared" si="4"/>
        <v>#REF!</v>
      </c>
      <c r="M34" s="28" t="e">
        <f t="shared" si="4"/>
        <v>#REF!</v>
      </c>
      <c r="N34" s="28" t="e">
        <f t="shared" si="4"/>
        <v>#REF!</v>
      </c>
      <c r="O34" s="28" t="e">
        <f t="shared" si="4"/>
        <v>#REF!</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6" customFormat="1" ht="15.75" x14ac:dyDescent="0.25">
      <c r="A35" s="156"/>
      <c r="B35" s="121"/>
      <c r="C35" s="107"/>
      <c r="I35" s="107"/>
      <c r="J35" s="107"/>
      <c r="K35" s="107"/>
      <c r="L35" s="10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6" customFormat="1" ht="18.75" x14ac:dyDescent="0.3">
      <c r="A36" s="120" t="s">
        <v>97</v>
      </c>
      <c r="B36" s="121"/>
      <c r="C36" s="28" t="e">
        <f>-C34*Invoerblad!$E$48</f>
        <v>#REF!</v>
      </c>
      <c r="D36" s="28" t="e">
        <f>-D34*Invoerblad!$E$48</f>
        <v>#REF!</v>
      </c>
      <c r="E36" s="28" t="e">
        <f>-E34*Invoerblad!$E$48</f>
        <v>#REF!</v>
      </c>
      <c r="F36" s="28" t="e">
        <f>-F34*Invoerblad!$E$48</f>
        <v>#REF!</v>
      </c>
      <c r="G36" s="28" t="e">
        <f>-G34*Invoerblad!$E$48</f>
        <v>#REF!</v>
      </c>
      <c r="H36" s="28" t="e">
        <f>-H34*Invoerblad!$E$48</f>
        <v>#REF!</v>
      </c>
      <c r="I36" s="28" t="e">
        <f>-I34*Invoerblad!$E$48</f>
        <v>#REF!</v>
      </c>
      <c r="J36" s="28" t="e">
        <f>-J34*Invoerblad!$E$48</f>
        <v>#REF!</v>
      </c>
      <c r="K36" s="28" t="e">
        <f>-K34*Invoerblad!$E$48</f>
        <v>#REF!</v>
      </c>
      <c r="L36" s="28" t="e">
        <f>-L34*Invoerblad!$E$48</f>
        <v>#REF!</v>
      </c>
      <c r="M36" s="28" t="e">
        <f>-M34*Invoerblad!$E$48</f>
        <v>#REF!</v>
      </c>
      <c r="N36" s="28" t="e">
        <f>-N34*Invoerblad!$E$48</f>
        <v>#REF!</v>
      </c>
      <c r="O36" s="28" t="e">
        <f>-O34*Invoerblad!$E$48</f>
        <v>#REF!</v>
      </c>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6" customFormat="1" ht="18.75" x14ac:dyDescent="0.3">
      <c r="A37" s="120" t="s">
        <v>98</v>
      </c>
      <c r="B37" s="121"/>
      <c r="C37" s="28" t="e">
        <f>+C29+C36</f>
        <v>#REF!</v>
      </c>
      <c r="D37" s="28" t="e">
        <f t="shared" ref="D37:L37" si="5">+D29+D36</f>
        <v>#REF!</v>
      </c>
      <c r="E37" s="28" t="e">
        <f t="shared" si="5"/>
        <v>#REF!</v>
      </c>
      <c r="F37" s="28" t="e">
        <f t="shared" si="5"/>
        <v>#REF!</v>
      </c>
      <c r="G37" s="28" t="e">
        <f t="shared" si="5"/>
        <v>#REF!</v>
      </c>
      <c r="H37" s="28" t="e">
        <f t="shared" si="5"/>
        <v>#REF!</v>
      </c>
      <c r="I37" s="28" t="e">
        <f t="shared" si="5"/>
        <v>#REF!</v>
      </c>
      <c r="J37" s="28" t="e">
        <f t="shared" si="5"/>
        <v>#REF!</v>
      </c>
      <c r="K37" s="28" t="e">
        <f t="shared" si="5"/>
        <v>#REF!</v>
      </c>
      <c r="L37" s="28" t="e">
        <f t="shared" si="5"/>
        <v>#REF!</v>
      </c>
      <c r="M37" s="28" t="e">
        <f>+M29+M36</f>
        <v>#REF!</v>
      </c>
      <c r="N37" s="28" t="e">
        <f>+N29+N36</f>
        <v>#REF!</v>
      </c>
      <c r="O37" s="28" t="e">
        <f>+O29+O36</f>
        <v>#REF!</v>
      </c>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6" customFormat="1" ht="18.75" x14ac:dyDescent="0.3">
      <c r="A38" s="120"/>
      <c r="B38" s="121"/>
      <c r="C38" s="107"/>
      <c r="I38" s="107"/>
      <c r="J38" s="107"/>
      <c r="K38" s="107"/>
      <c r="L38" s="107"/>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6" customFormat="1" ht="18.75" x14ac:dyDescent="0.3">
      <c r="A39" s="120" t="s">
        <v>99</v>
      </c>
      <c r="B39" s="28">
        <f>-Invoerblad!E34+Invoerblad!E44</f>
        <v>0</v>
      </c>
      <c r="C39" s="28" t="e">
        <f>+C37+C25+C26</f>
        <v>#REF!</v>
      </c>
      <c r="D39" s="28" t="e">
        <f t="shared" ref="D39:O39" si="6">+D37+D25+D26</f>
        <v>#REF!</v>
      </c>
      <c r="E39" s="28" t="e">
        <f t="shared" si="6"/>
        <v>#REF!</v>
      </c>
      <c r="F39" s="28" t="e">
        <f t="shared" si="6"/>
        <v>#REF!</v>
      </c>
      <c r="G39" s="28" t="e">
        <f t="shared" si="6"/>
        <v>#REF!</v>
      </c>
      <c r="H39" s="28" t="e">
        <f t="shared" si="6"/>
        <v>#REF!</v>
      </c>
      <c r="I39" s="28" t="e">
        <f t="shared" si="6"/>
        <v>#REF!</v>
      </c>
      <c r="J39" s="28" t="e">
        <f t="shared" si="6"/>
        <v>#REF!</v>
      </c>
      <c r="K39" s="28" t="e">
        <f t="shared" si="6"/>
        <v>#REF!</v>
      </c>
      <c r="L39" s="28" t="e">
        <f t="shared" si="6"/>
        <v>#REF!</v>
      </c>
      <c r="M39" s="28" t="e">
        <f t="shared" si="6"/>
        <v>#REF!</v>
      </c>
      <c r="N39" s="28" t="e">
        <f t="shared" si="6"/>
        <v>#REF!</v>
      </c>
      <c r="O39" s="28" t="e">
        <f t="shared" si="6"/>
        <v>#REF!</v>
      </c>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6" customFormat="1" ht="18.75" x14ac:dyDescent="0.3">
      <c r="A40" s="120"/>
      <c r="B40" s="155"/>
      <c r="C40" s="155" t="e">
        <f>+B39+C39</f>
        <v>#REF!</v>
      </c>
      <c r="D40" s="155" t="e">
        <f>+C40+D39</f>
        <v>#REF!</v>
      </c>
      <c r="E40" s="155" t="e">
        <f t="shared" ref="E40:L40" si="7">+D40+E39</f>
        <v>#REF!</v>
      </c>
      <c r="F40" s="155" t="e">
        <f t="shared" si="7"/>
        <v>#REF!</v>
      </c>
      <c r="G40" s="155" t="e">
        <f t="shared" si="7"/>
        <v>#REF!</v>
      </c>
      <c r="H40" s="155" t="e">
        <f t="shared" si="7"/>
        <v>#REF!</v>
      </c>
      <c r="I40" s="155" t="e">
        <f t="shared" si="7"/>
        <v>#REF!</v>
      </c>
      <c r="J40" s="155" t="e">
        <f t="shared" si="7"/>
        <v>#REF!</v>
      </c>
      <c r="K40" s="155" t="e">
        <f t="shared" si="7"/>
        <v>#REF!</v>
      </c>
      <c r="L40" s="155" t="e">
        <f t="shared" si="7"/>
        <v>#REF!</v>
      </c>
      <c r="M40" s="155" t="e">
        <f>+L40+M39</f>
        <v>#REF!</v>
      </c>
      <c r="N40" s="155" t="e">
        <f>+M40+N39</f>
        <v>#REF!</v>
      </c>
      <c r="O40" s="155" t="e">
        <f>+N40+O39</f>
        <v>#REF!</v>
      </c>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6" customFormat="1" ht="18.75" x14ac:dyDescent="0.3">
      <c r="A41" s="120"/>
      <c r="B41" s="155" t="e">
        <f>SUM(C41:L41)</f>
        <v>#REF!</v>
      </c>
      <c r="C41" s="155" t="e">
        <f>+C39/(1+0.08)^C6</f>
        <v>#REF!</v>
      </c>
      <c r="D41" s="155" t="e">
        <f t="shared" ref="D41:O41" si="8">+D39/(1+0.08)^D6</f>
        <v>#REF!</v>
      </c>
      <c r="E41" s="155" t="e">
        <f t="shared" si="8"/>
        <v>#REF!</v>
      </c>
      <c r="F41" s="155" t="e">
        <f t="shared" si="8"/>
        <v>#REF!</v>
      </c>
      <c r="G41" s="155" t="e">
        <f t="shared" si="8"/>
        <v>#REF!</v>
      </c>
      <c r="H41" s="155" t="e">
        <f t="shared" si="8"/>
        <v>#REF!</v>
      </c>
      <c r="I41" s="155" t="e">
        <f t="shared" si="8"/>
        <v>#REF!</v>
      </c>
      <c r="J41" s="155" t="e">
        <f t="shared" si="8"/>
        <v>#REF!</v>
      </c>
      <c r="K41" s="155" t="e">
        <f t="shared" si="8"/>
        <v>#REF!</v>
      </c>
      <c r="L41" s="155" t="e">
        <f t="shared" si="8"/>
        <v>#REF!</v>
      </c>
      <c r="M41" s="155" t="e">
        <f t="shared" si="8"/>
        <v>#REF!</v>
      </c>
      <c r="N41" s="155" t="e">
        <f t="shared" si="8"/>
        <v>#REF!</v>
      </c>
      <c r="O41" s="155" t="e">
        <f t="shared" si="8"/>
        <v>#REF!</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6" customFormat="1" ht="18.75" x14ac:dyDescent="0.3">
      <c r="A42" s="120"/>
      <c r="B42" s="155"/>
      <c r="C42" s="155"/>
      <c r="D42" s="155"/>
      <c r="E42" s="155"/>
      <c r="F42" s="155"/>
      <c r="G42" s="155"/>
      <c r="H42" s="155"/>
      <c r="I42" s="155"/>
      <c r="J42" s="155"/>
      <c r="K42" s="155"/>
      <c r="L42" s="155"/>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6" customFormat="1" ht="18.75" x14ac:dyDescent="0.3">
      <c r="A43" s="120"/>
      <c r="B43" s="155"/>
      <c r="C43" s="155"/>
      <c r="D43" s="155"/>
      <c r="E43" s="155"/>
      <c r="F43" s="155"/>
      <c r="G43" s="155"/>
      <c r="H43" s="155"/>
      <c r="I43" s="155"/>
      <c r="J43" s="155"/>
      <c r="K43" s="155"/>
      <c r="L43" s="155"/>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5" x14ac:dyDescent="0.25">
      <c r="B44" s="155"/>
      <c r="C44" s="8"/>
    </row>
    <row r="45" spans="1:256" ht="15" x14ac:dyDescent="0.25">
      <c r="A45" s="2"/>
      <c r="B45" s="155"/>
    </row>
    <row r="46" spans="1:256" x14ac:dyDescent="0.2">
      <c r="B46" s="8"/>
    </row>
    <row r="47" spans="1:256" x14ac:dyDescent="0.2">
      <c r="A47" s="154"/>
    </row>
  </sheetData>
  <customSheetViews>
    <customSheetView guid="{D98A0717-74D0-4F54-BB8F-A337A1A9E4D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D986420-B83B-47C8-8160-784F77FFC19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C9029B8D-126A-43F1-8BE9-BB8A7DE12FB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4284377C-91E6-4152-887E-8DA87560FDD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46B9E27-05F9-47A7-B161-BCC56D613799}"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s>
  <phoneticPr fontId="0" type="noConversion"/>
  <pageMargins left="0.59055118110236227" right="0.59055118110236227" top="0.59055118110236227" bottom="0.59055118110236227" header="0.51181102362204722" footer="0.51181102362204722"/>
  <pageSetup paperSize="9" scale="43"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pageSetUpPr fitToPage="1"/>
  </sheetPr>
  <dimension ref="A1:R132"/>
  <sheetViews>
    <sheetView showGridLines="0" zoomScale="75" workbookViewId="0">
      <selection activeCell="C19" sqref="C19"/>
    </sheetView>
  </sheetViews>
  <sheetFormatPr defaultColWidth="9.33203125" defaultRowHeight="12.75" x14ac:dyDescent="0.2"/>
  <cols>
    <col min="1" max="1" width="17.83203125" customWidth="1"/>
    <col min="3" max="3" width="39.6640625" customWidth="1"/>
    <col min="4" max="4" width="33.33203125" customWidth="1"/>
    <col min="5" max="5" width="22.6640625" bestFit="1" customWidth="1"/>
    <col min="7" max="7" width="23.6640625" bestFit="1" customWidth="1"/>
    <col min="8" max="8" width="13.1640625" bestFit="1" customWidth="1"/>
    <col min="9" max="9" width="19.83203125" bestFit="1" customWidth="1"/>
    <col min="10" max="10" width="21.6640625" bestFit="1" customWidth="1"/>
    <col min="11" max="11" width="20" bestFit="1" customWidth="1"/>
    <col min="12" max="12" width="21.83203125" bestFit="1" customWidth="1"/>
    <col min="13" max="13" width="15.1640625" bestFit="1" customWidth="1"/>
    <col min="18" max="18" width="37.83203125" customWidth="1"/>
  </cols>
  <sheetData>
    <row r="1" spans="1:18" ht="20.25" x14ac:dyDescent="0.3">
      <c r="A1" s="193" t="s">
        <v>441</v>
      </c>
      <c r="F1" s="340" t="s">
        <v>6</v>
      </c>
      <c r="G1" s="297"/>
    </row>
    <row r="2" spans="1:18" ht="20.25" x14ac:dyDescent="0.3">
      <c r="A2" s="193"/>
      <c r="D2" s="153"/>
      <c r="F2" s="18"/>
    </row>
    <row r="3" spans="1:18" x14ac:dyDescent="0.2">
      <c r="F3" s="18"/>
    </row>
    <row r="4" spans="1:18" ht="13.5" thickBot="1" x14ac:dyDescent="0.25">
      <c r="F4" s="18"/>
    </row>
    <row r="5" spans="1:18" x14ac:dyDescent="0.2">
      <c r="A5" s="101" t="s">
        <v>81</v>
      </c>
      <c r="B5" s="33"/>
      <c r="C5" s="33"/>
      <c r="D5" s="33"/>
      <c r="E5" s="102"/>
      <c r="F5" s="296"/>
      <c r="H5" s="148" t="s">
        <v>289</v>
      </c>
      <c r="L5" s="8"/>
      <c r="M5" s="8"/>
      <c r="N5" s="8"/>
    </row>
    <row r="6" spans="1:18" x14ac:dyDescent="0.2">
      <c r="A6" s="103"/>
      <c r="B6" s="6"/>
      <c r="C6" s="6"/>
      <c r="D6" s="6"/>
      <c r="E6" s="104"/>
      <c r="F6" s="18"/>
      <c r="L6" s="8"/>
      <c r="M6" s="8"/>
      <c r="N6" s="8"/>
    </row>
    <row r="7" spans="1:18" x14ac:dyDescent="0.2">
      <c r="A7" s="438" t="s">
        <v>10</v>
      </c>
      <c r="B7" s="130" t="s">
        <v>43</v>
      </c>
      <c r="C7" s="130"/>
      <c r="D7" s="21"/>
      <c r="E7" s="104">
        <f>Invoerblad!E34</f>
        <v>0</v>
      </c>
      <c r="F7" s="18"/>
      <c r="J7" t="s">
        <v>12</v>
      </c>
      <c r="K7" t="s">
        <v>105</v>
      </c>
      <c r="L7" s="8" t="s">
        <v>106</v>
      </c>
      <c r="M7" s="8" t="s">
        <v>107</v>
      </c>
      <c r="N7" s="8"/>
    </row>
    <row r="8" spans="1:18" x14ac:dyDescent="0.2">
      <c r="A8" s="438"/>
      <c r="B8" s="130"/>
      <c r="C8" s="130"/>
      <c r="D8" s="21"/>
      <c r="E8" s="104"/>
      <c r="F8" s="18"/>
      <c r="I8" t="s">
        <v>104</v>
      </c>
      <c r="J8" t="s">
        <v>237</v>
      </c>
      <c r="K8" t="s">
        <v>238</v>
      </c>
      <c r="L8" t="s">
        <v>108</v>
      </c>
    </row>
    <row r="9" spans="1:18" x14ac:dyDescent="0.2">
      <c r="A9" s="438" t="s">
        <v>11</v>
      </c>
      <c r="B9" s="130" t="s">
        <v>322</v>
      </c>
      <c r="C9" s="130"/>
      <c r="D9" s="21"/>
      <c r="E9" s="104"/>
      <c r="F9" s="18"/>
      <c r="I9">
        <v>1</v>
      </c>
      <c r="J9" s="7">
        <f>+'Hulpberekeningen 1'!G5</f>
        <v>0</v>
      </c>
      <c r="K9" s="7">
        <f>+E36</f>
        <v>0</v>
      </c>
      <c r="L9" s="8">
        <f>+K9+D23</f>
        <v>0</v>
      </c>
      <c r="M9" s="8" t="str">
        <f>IF(J9=0,"",IF(+J9-K9&lt;0,0,J9-K9))</f>
        <v/>
      </c>
    </row>
    <row r="10" spans="1:18" x14ac:dyDescent="0.2">
      <c r="A10" s="438"/>
      <c r="B10" s="130"/>
      <c r="C10" s="130"/>
      <c r="D10" s="21"/>
      <c r="E10" s="104"/>
      <c r="F10" s="18"/>
      <c r="I10">
        <v>2</v>
      </c>
      <c r="J10" s="7">
        <f>+'Overzicht MSK toets'!J9+'Hulpberekeningen 1'!H5</f>
        <v>0</v>
      </c>
      <c r="K10" s="7">
        <f t="shared" ref="K10:L23" si="0">+K9</f>
        <v>0</v>
      </c>
      <c r="L10" s="8">
        <f t="shared" si="0"/>
        <v>0</v>
      </c>
      <c r="M10" s="8" t="str">
        <f t="shared" ref="M10:M23" si="1">IF(J10=0,"",IF(+J10-K10&lt;0,0,J10-K10))</f>
        <v/>
      </c>
    </row>
    <row r="11" spans="1:18" x14ac:dyDescent="0.2">
      <c r="A11" s="438"/>
      <c r="B11" s="130"/>
      <c r="C11" s="130" t="s">
        <v>308</v>
      </c>
      <c r="D11" s="21">
        <f>IF(LEFT(Invoerblad!F15,5)="apr09",0,'Rendement geinv. vermogen'!$B$29)</f>
        <v>0</v>
      </c>
      <c r="E11" s="104"/>
      <c r="F11" s="18"/>
      <c r="I11">
        <v>3</v>
      </c>
      <c r="J11" s="7">
        <f>+'Overzicht MSK toets'!J10+'Hulpberekeningen 1'!I5</f>
        <v>0</v>
      </c>
      <c r="K11" s="7">
        <f t="shared" si="0"/>
        <v>0</v>
      </c>
      <c r="L11" s="8">
        <f t="shared" si="0"/>
        <v>0</v>
      </c>
      <c r="M11" s="8" t="str">
        <f t="shared" si="1"/>
        <v/>
      </c>
      <c r="R11" s="8"/>
    </row>
    <row r="12" spans="1:18" x14ac:dyDescent="0.2">
      <c r="A12" s="438"/>
      <c r="B12" s="130"/>
      <c r="C12" s="130" t="s">
        <v>41</v>
      </c>
      <c r="D12" s="21">
        <f>+Invoerblad!E52</f>
        <v>0</v>
      </c>
      <c r="E12" s="104"/>
      <c r="F12" s="133"/>
      <c r="I12">
        <v>4</v>
      </c>
      <c r="J12" s="7">
        <f>+'Overzicht MSK toets'!J11+'Hulpberekeningen 1'!J5</f>
        <v>0</v>
      </c>
      <c r="K12" s="7">
        <f t="shared" si="0"/>
        <v>0</v>
      </c>
      <c r="L12" s="8">
        <f t="shared" si="0"/>
        <v>0</v>
      </c>
      <c r="M12" s="8" t="str">
        <f t="shared" si="1"/>
        <v/>
      </c>
    </row>
    <row r="13" spans="1:18" ht="13.5" thickBot="1" x14ac:dyDescent="0.25">
      <c r="A13" s="438"/>
      <c r="B13" s="130"/>
      <c r="C13" s="130"/>
      <c r="D13" s="83"/>
      <c r="E13" s="104"/>
      <c r="F13" s="18"/>
      <c r="I13">
        <v>5</v>
      </c>
      <c r="J13" s="7">
        <f>+'Overzicht MSK toets'!J12+'Hulpberekeningen 1'!K5</f>
        <v>0</v>
      </c>
      <c r="K13" s="7">
        <f t="shared" si="0"/>
        <v>0</v>
      </c>
      <c r="L13" s="8">
        <f t="shared" si="0"/>
        <v>0</v>
      </c>
      <c r="M13" s="8" t="str">
        <f t="shared" si="1"/>
        <v/>
      </c>
    </row>
    <row r="14" spans="1:18" x14ac:dyDescent="0.2">
      <c r="A14" s="438"/>
      <c r="B14" s="130" t="s">
        <v>28</v>
      </c>
      <c r="C14" s="439" t="s">
        <v>42</v>
      </c>
      <c r="D14" s="106">
        <f>SUM(D11:D12)</f>
        <v>0</v>
      </c>
      <c r="E14" s="104"/>
      <c r="F14" s="18"/>
      <c r="I14">
        <v>6</v>
      </c>
      <c r="J14" s="7">
        <f>+'Overzicht MSK toets'!J13+'Hulpberekeningen 1'!L5</f>
        <v>0</v>
      </c>
      <c r="K14" s="7">
        <f t="shared" si="0"/>
        <v>0</v>
      </c>
      <c r="L14" s="8">
        <f t="shared" si="0"/>
        <v>0</v>
      </c>
      <c r="M14" s="8" t="str">
        <f t="shared" si="1"/>
        <v/>
      </c>
      <c r="R14" s="8"/>
    </row>
    <row r="15" spans="1:18" x14ac:dyDescent="0.2">
      <c r="A15" s="438"/>
      <c r="B15" s="130"/>
      <c r="C15" s="439"/>
      <c r="D15" s="21"/>
      <c r="E15" s="104"/>
      <c r="F15" s="18"/>
      <c r="I15">
        <v>7</v>
      </c>
      <c r="J15" s="7">
        <f>+'Overzicht MSK toets'!J14+'Hulpberekeningen 1'!M5</f>
        <v>0</v>
      </c>
      <c r="K15" s="7">
        <f t="shared" si="0"/>
        <v>0</v>
      </c>
      <c r="L15" s="8">
        <f t="shared" si="0"/>
        <v>0</v>
      </c>
      <c r="M15" s="8" t="str">
        <f t="shared" si="1"/>
        <v/>
      </c>
      <c r="R15" s="8"/>
    </row>
    <row r="16" spans="1:18" x14ac:dyDescent="0.2">
      <c r="A16" s="438"/>
      <c r="B16" s="130"/>
      <c r="C16" s="440" t="str">
        <f>Invoerblad!B39</f>
        <v>…. subsidies (euro's)</v>
      </c>
      <c r="D16" s="21">
        <f>+Invoerblad!E39</f>
        <v>0</v>
      </c>
      <c r="E16" s="104"/>
      <c r="F16" s="18"/>
      <c r="I16">
        <v>8</v>
      </c>
      <c r="J16" s="7">
        <f>+'Overzicht MSK toets'!J15+'Hulpberekeningen 1'!N5</f>
        <v>0</v>
      </c>
      <c r="K16" s="7">
        <f t="shared" si="0"/>
        <v>0</v>
      </c>
      <c r="L16" s="8">
        <f t="shared" si="0"/>
        <v>0</v>
      </c>
      <c r="M16" s="8" t="str">
        <f t="shared" si="1"/>
        <v/>
      </c>
      <c r="R16" s="8"/>
    </row>
    <row r="17" spans="1:18" x14ac:dyDescent="0.2">
      <c r="A17" s="438"/>
      <c r="B17" s="130"/>
      <c r="C17" s="440" t="str">
        <f>Invoerblad!B40</f>
        <v>…. subsidies (euro's)</v>
      </c>
      <c r="D17" s="21">
        <f>+Invoerblad!E40</f>
        <v>0</v>
      </c>
      <c r="E17" s="104"/>
      <c r="F17" s="18"/>
      <c r="I17">
        <v>9</v>
      </c>
      <c r="J17" s="7">
        <f>+'Overzicht MSK toets'!J16+'Hulpberekeningen 1'!O5</f>
        <v>0</v>
      </c>
      <c r="K17" s="7">
        <f t="shared" si="0"/>
        <v>0</v>
      </c>
      <c r="L17" s="8">
        <f t="shared" si="0"/>
        <v>0</v>
      </c>
      <c r="M17" s="8" t="str">
        <f t="shared" si="1"/>
        <v/>
      </c>
      <c r="R17" s="8"/>
    </row>
    <row r="18" spans="1:18" x14ac:dyDescent="0.2">
      <c r="A18" s="438"/>
      <c r="B18" s="130"/>
      <c r="C18" s="440" t="str">
        <f>Invoerblad!B41</f>
        <v>…. subsidies (euro's)</v>
      </c>
      <c r="D18" s="21">
        <f>+Invoerblad!E41</f>
        <v>0</v>
      </c>
      <c r="E18" s="104"/>
      <c r="F18" s="18"/>
      <c r="I18">
        <v>10</v>
      </c>
      <c r="J18" s="200">
        <f>+'Overzicht MSK toets'!J17+'Hulpberekeningen 1'!P5</f>
        <v>0</v>
      </c>
      <c r="K18" s="7">
        <f t="shared" si="0"/>
        <v>0</v>
      </c>
      <c r="L18" s="8">
        <f t="shared" si="0"/>
        <v>0</v>
      </c>
      <c r="M18" s="8" t="str">
        <f t="shared" si="1"/>
        <v/>
      </c>
      <c r="R18" s="8"/>
    </row>
    <row r="19" spans="1:18" x14ac:dyDescent="0.2">
      <c r="A19" s="438"/>
      <c r="B19" s="130"/>
      <c r="C19" s="440" t="s">
        <v>199</v>
      </c>
      <c r="D19" s="21">
        <f>SUM(Invoerblad!E42)</f>
        <v>0</v>
      </c>
      <c r="E19" s="104"/>
      <c r="F19" s="18"/>
      <c r="I19">
        <v>11</v>
      </c>
      <c r="J19" s="200">
        <f>+'Overzicht MSK toets'!J18+'Hulpberekeningen 1'!Q5</f>
        <v>0</v>
      </c>
      <c r="K19" s="7">
        <f t="shared" si="0"/>
        <v>0</v>
      </c>
      <c r="L19" s="8">
        <f t="shared" si="0"/>
        <v>0</v>
      </c>
      <c r="M19" s="8" t="str">
        <f t="shared" si="1"/>
        <v/>
      </c>
      <c r="R19" s="8"/>
    </row>
    <row r="20" spans="1:18" x14ac:dyDescent="0.2">
      <c r="A20" s="438"/>
      <c r="B20" s="130"/>
      <c r="C20" s="440" t="s">
        <v>147</v>
      </c>
      <c r="D20" s="114">
        <f>Invoerblad!E43</f>
        <v>0</v>
      </c>
      <c r="E20" s="104"/>
      <c r="F20" s="18"/>
      <c r="I20">
        <v>12</v>
      </c>
      <c r="J20" s="200">
        <f>+'Overzicht MSK toets'!J19+'Hulpberekeningen 1'!R5</f>
        <v>0</v>
      </c>
      <c r="K20" s="7">
        <f t="shared" si="0"/>
        <v>0</v>
      </c>
      <c r="L20" s="8">
        <f t="shared" si="0"/>
        <v>0</v>
      </c>
      <c r="M20" s="8" t="str">
        <f t="shared" si="1"/>
        <v/>
      </c>
      <c r="R20" s="8"/>
    </row>
    <row r="21" spans="1:18" x14ac:dyDescent="0.2">
      <c r="A21" s="438"/>
      <c r="B21" s="130"/>
      <c r="C21" s="440" t="s">
        <v>39</v>
      </c>
      <c r="D21" s="21">
        <f>+Invoerblad!E60</f>
        <v>0</v>
      </c>
      <c r="E21" s="104"/>
      <c r="F21" s="18"/>
      <c r="I21">
        <v>13</v>
      </c>
      <c r="J21" s="7">
        <f>+'Overzicht MSK toets'!J20+'Hulpberekeningen 1'!S5</f>
        <v>0</v>
      </c>
      <c r="K21" s="7">
        <f t="shared" si="0"/>
        <v>0</v>
      </c>
      <c r="L21" s="8">
        <f t="shared" si="0"/>
        <v>0</v>
      </c>
      <c r="M21" s="8" t="str">
        <f t="shared" si="1"/>
        <v/>
      </c>
      <c r="R21" s="8"/>
    </row>
    <row r="22" spans="1:18" ht="13.5" thickBot="1" x14ac:dyDescent="0.25">
      <c r="A22" s="438"/>
      <c r="B22" s="130"/>
      <c r="C22" s="440" t="s">
        <v>40</v>
      </c>
      <c r="D22" s="83">
        <f>+Invoerblad!E55</f>
        <v>0</v>
      </c>
      <c r="E22" s="104"/>
      <c r="F22" s="441"/>
      <c r="I22">
        <v>14</v>
      </c>
      <c r="J22" s="7">
        <f>+'Overzicht MSK toets'!J21+'Hulpberekeningen 1'!T5</f>
        <v>0</v>
      </c>
      <c r="K22" s="7">
        <f t="shared" si="0"/>
        <v>0</v>
      </c>
      <c r="L22" s="8">
        <f t="shared" si="0"/>
        <v>0</v>
      </c>
      <c r="M22" s="8" t="str">
        <f t="shared" si="1"/>
        <v/>
      </c>
    </row>
    <row r="23" spans="1:18" x14ac:dyDescent="0.2">
      <c r="A23" s="438"/>
      <c r="B23" s="130" t="s">
        <v>29</v>
      </c>
      <c r="C23" s="439" t="s">
        <v>42</v>
      </c>
      <c r="D23" s="106">
        <f>SUM(D16:D22)</f>
        <v>0</v>
      </c>
      <c r="E23" s="104"/>
      <c r="F23" s="441"/>
      <c r="I23">
        <v>15</v>
      </c>
      <c r="J23" s="200">
        <f>+'Overzicht MSK toets'!J22+'Hulpberekeningen 1'!U5</f>
        <v>0</v>
      </c>
      <c r="K23" s="7">
        <f t="shared" si="0"/>
        <v>0</v>
      </c>
      <c r="L23" s="8">
        <f t="shared" si="0"/>
        <v>0</v>
      </c>
      <c r="M23" s="8" t="str">
        <f t="shared" si="1"/>
        <v/>
      </c>
      <c r="R23" s="7"/>
    </row>
    <row r="24" spans="1:18" x14ac:dyDescent="0.2">
      <c r="A24" s="438"/>
      <c r="B24" s="130" t="s">
        <v>11</v>
      </c>
      <c r="C24" s="130" t="s">
        <v>44</v>
      </c>
      <c r="D24" s="106"/>
      <c r="E24" s="104">
        <f>+D23+D14</f>
        <v>0</v>
      </c>
      <c r="F24" s="18"/>
      <c r="J24" s="200"/>
      <c r="K24" s="7"/>
      <c r="L24" s="8"/>
      <c r="M24" s="8"/>
      <c r="R24" s="8"/>
    </row>
    <row r="25" spans="1:18" x14ac:dyDescent="0.2">
      <c r="A25" s="438"/>
      <c r="B25" s="130"/>
      <c r="C25" s="130"/>
      <c r="D25" s="21"/>
      <c r="E25" s="104"/>
      <c r="F25" s="18"/>
      <c r="J25" s="200"/>
      <c r="K25" s="7"/>
      <c r="L25" s="8"/>
      <c r="M25" s="8"/>
      <c r="Q25" s="35"/>
      <c r="R25" s="7"/>
    </row>
    <row r="26" spans="1:18" x14ac:dyDescent="0.2">
      <c r="A26" s="438" t="s">
        <v>46</v>
      </c>
      <c r="B26" s="130" t="s">
        <v>45</v>
      </c>
      <c r="C26" s="130"/>
      <c r="D26" s="106"/>
      <c r="E26" s="104">
        <f>+E7-E24</f>
        <v>0</v>
      </c>
      <c r="F26" s="18"/>
      <c r="J26" s="200"/>
      <c r="K26" s="7"/>
      <c r="L26" s="8"/>
      <c r="M26" s="8"/>
    </row>
    <row r="27" spans="1:18" x14ac:dyDescent="0.2">
      <c r="A27" s="438"/>
      <c r="B27" s="130"/>
      <c r="C27" s="130"/>
      <c r="D27" s="21"/>
      <c r="E27" s="104"/>
      <c r="F27" s="18"/>
      <c r="J27" s="200"/>
      <c r="K27" s="7"/>
      <c r="L27" s="8"/>
      <c r="M27" s="8"/>
    </row>
    <row r="28" spans="1:18" ht="15" x14ac:dyDescent="0.25">
      <c r="A28" s="438" t="s">
        <v>31</v>
      </c>
      <c r="B28" s="130" t="s">
        <v>38</v>
      </c>
      <c r="C28" s="130"/>
      <c r="D28" s="21"/>
      <c r="E28" s="104">
        <f>+'Rendement geinv. vermogen'!B20</f>
        <v>0</v>
      </c>
      <c r="F28" s="340" t="s">
        <v>6</v>
      </c>
      <c r="J28" s="200"/>
      <c r="K28" s="7"/>
      <c r="L28" s="8"/>
      <c r="M28" s="8"/>
    </row>
    <row r="29" spans="1:18" x14ac:dyDescent="0.2">
      <c r="A29" s="438"/>
      <c r="B29" s="130"/>
      <c r="C29" s="130"/>
      <c r="D29" s="21"/>
      <c r="E29" s="104"/>
    </row>
    <row r="30" spans="1:18" x14ac:dyDescent="0.2">
      <c r="A30" s="438" t="s">
        <v>161</v>
      </c>
      <c r="B30" s="130" t="s">
        <v>329</v>
      </c>
      <c r="C30" s="130"/>
      <c r="D30" s="21"/>
      <c r="E30" s="104">
        <f>Invoerblad!I107</f>
        <v>0</v>
      </c>
    </row>
    <row r="31" spans="1:18" x14ac:dyDescent="0.2">
      <c r="A31" s="438"/>
      <c r="B31" s="130"/>
      <c r="C31" s="130"/>
      <c r="D31" s="21"/>
      <c r="E31" s="104"/>
    </row>
    <row r="32" spans="1:18" x14ac:dyDescent="0.2">
      <c r="A32" s="438" t="s">
        <v>12</v>
      </c>
      <c r="B32" s="130" t="s">
        <v>330</v>
      </c>
      <c r="C32" s="130"/>
      <c r="D32" s="21"/>
      <c r="E32" s="119">
        <f>SUM(Invoerblad!I108:I113)</f>
        <v>0</v>
      </c>
    </row>
    <row r="33" spans="1:7" x14ac:dyDescent="0.2">
      <c r="A33" s="438"/>
      <c r="B33" s="130"/>
      <c r="C33" s="130"/>
      <c r="D33" s="21"/>
      <c r="E33" s="104"/>
    </row>
    <row r="34" spans="1:7" x14ac:dyDescent="0.2">
      <c r="A34" s="438" t="s">
        <v>162</v>
      </c>
      <c r="B34" s="130" t="s">
        <v>310</v>
      </c>
      <c r="C34" s="130"/>
      <c r="D34" s="21"/>
      <c r="E34" s="119">
        <f>SUM(Invoerblad!I119:I122)</f>
        <v>0</v>
      </c>
    </row>
    <row r="35" spans="1:7" x14ac:dyDescent="0.2">
      <c r="A35" s="438"/>
      <c r="B35" s="130"/>
      <c r="C35" s="130"/>
      <c r="D35" s="21"/>
      <c r="E35" s="104"/>
    </row>
    <row r="36" spans="1:7" x14ac:dyDescent="0.2">
      <c r="A36" s="103" t="s">
        <v>163</v>
      </c>
      <c r="B36" s="130" t="s">
        <v>88</v>
      </c>
      <c r="C36" s="130"/>
      <c r="D36" s="21"/>
      <c r="E36" s="104">
        <f>+E26+E28-E32-E30+E34</f>
        <v>0</v>
      </c>
      <c r="F36" s="18"/>
    </row>
    <row r="37" spans="1:7" x14ac:dyDescent="0.2">
      <c r="A37" s="438"/>
      <c r="B37" s="130"/>
      <c r="C37" s="130"/>
      <c r="D37" s="21"/>
      <c r="E37" s="104"/>
      <c r="F37" s="18"/>
    </row>
    <row r="38" spans="1:7" ht="15" x14ac:dyDescent="0.25">
      <c r="A38" s="438" t="s">
        <v>164</v>
      </c>
      <c r="B38" s="130" t="s">
        <v>109</v>
      </c>
      <c r="C38" s="130"/>
      <c r="D38" s="21"/>
      <c r="E38" s="104">
        <f>+Invoerblad!I91+Invoerblad!I92+Invoerblad!I93+Invoerblad!I30</f>
        <v>0</v>
      </c>
      <c r="F38" s="340" t="s">
        <v>6</v>
      </c>
    </row>
    <row r="39" spans="1:7" x14ac:dyDescent="0.2">
      <c r="A39" s="438"/>
      <c r="B39" s="130"/>
      <c r="C39" s="130"/>
      <c r="D39" s="21"/>
      <c r="E39" s="104"/>
    </row>
    <row r="40" spans="1:7" x14ac:dyDescent="0.2">
      <c r="A40" s="103" t="s">
        <v>312</v>
      </c>
      <c r="B40" s="124" t="s">
        <v>165</v>
      </c>
      <c r="C40" s="6"/>
      <c r="D40" s="21"/>
      <c r="E40" s="104">
        <f>E36-E38</f>
        <v>0</v>
      </c>
      <c r="F40" s="18"/>
    </row>
    <row r="41" spans="1:7" x14ac:dyDescent="0.2">
      <c r="A41" s="103"/>
      <c r="B41" s="124"/>
      <c r="C41" s="6"/>
      <c r="D41" s="21"/>
      <c r="E41" s="104"/>
      <c r="F41" s="18"/>
    </row>
    <row r="42" spans="1:7" x14ac:dyDescent="0.2">
      <c r="B42" s="124"/>
      <c r="C42" s="6"/>
      <c r="D42" s="21"/>
      <c r="E42" s="111"/>
      <c r="F42" s="18"/>
    </row>
    <row r="43" spans="1:7" x14ac:dyDescent="0.2">
      <c r="A43" s="103" t="s">
        <v>167</v>
      </c>
      <c r="B43" s="124" t="s">
        <v>166</v>
      </c>
      <c r="C43" s="6"/>
      <c r="D43" s="21"/>
      <c r="E43" s="111">
        <f>IF(E40&lt;0,-E40,0)</f>
        <v>0</v>
      </c>
      <c r="F43" s="18"/>
    </row>
    <row r="44" spans="1:7" x14ac:dyDescent="0.2">
      <c r="A44" s="103"/>
      <c r="B44" s="124"/>
      <c r="C44" s="6"/>
      <c r="D44" s="21"/>
      <c r="E44" s="111"/>
      <c r="F44" s="18"/>
    </row>
    <row r="45" spans="1:7" ht="13.5" thickBot="1" x14ac:dyDescent="0.25">
      <c r="A45" s="108"/>
      <c r="B45" s="29"/>
      <c r="C45" s="29"/>
      <c r="D45" s="83"/>
      <c r="E45" s="112"/>
      <c r="F45" s="18"/>
      <c r="G45" s="133"/>
    </row>
    <row r="46" spans="1:7" x14ac:dyDescent="0.2">
      <c r="D46" s="7"/>
      <c r="E46" s="7"/>
      <c r="F46" s="18"/>
      <c r="G46" s="133"/>
    </row>
    <row r="47" spans="1:7" ht="13.5" thickBot="1" x14ac:dyDescent="0.25">
      <c r="D47" s="7"/>
      <c r="E47" s="7"/>
      <c r="G47" s="132"/>
    </row>
    <row r="48" spans="1:7" ht="15.75" x14ac:dyDescent="0.25">
      <c r="A48" s="349" t="s">
        <v>278</v>
      </c>
      <c r="B48" s="33"/>
      <c r="C48" s="33"/>
      <c r="D48" s="113"/>
      <c r="E48" s="102"/>
      <c r="F48" s="18"/>
      <c r="G48" s="132"/>
    </row>
    <row r="49" spans="1:7" x14ac:dyDescent="0.2">
      <c r="A49" s="103"/>
      <c r="B49" s="6"/>
      <c r="C49" s="6"/>
      <c r="D49" s="21"/>
      <c r="E49" s="104"/>
      <c r="F49" s="18"/>
      <c r="G49" s="132"/>
    </row>
    <row r="50" spans="1:7" x14ac:dyDescent="0.2">
      <c r="A50" s="438" t="s">
        <v>494</v>
      </c>
      <c r="B50" s="6"/>
      <c r="C50" s="6"/>
      <c r="D50" s="21"/>
      <c r="E50" s="104"/>
      <c r="F50" s="18"/>
      <c r="G50" s="132"/>
    </row>
    <row r="51" spans="1:7" x14ac:dyDescent="0.2">
      <c r="A51" s="110"/>
      <c r="B51" s="6"/>
      <c r="C51" s="6"/>
      <c r="D51" s="21"/>
      <c r="E51" s="104"/>
      <c r="F51" s="18"/>
      <c r="G51" s="132"/>
    </row>
    <row r="52" spans="1:7" x14ac:dyDescent="0.2">
      <c r="A52" s="110"/>
      <c r="B52" s="6"/>
      <c r="C52" s="6"/>
      <c r="D52" s="21"/>
      <c r="E52" s="104"/>
      <c r="F52" s="18"/>
      <c r="G52" s="132"/>
    </row>
    <row r="53" spans="1:7" ht="15" x14ac:dyDescent="0.25">
      <c r="A53" s="110" t="s">
        <v>57</v>
      </c>
      <c r="B53" s="124" t="s">
        <v>428</v>
      </c>
      <c r="C53" s="6"/>
      <c r="D53" s="21"/>
      <c r="E53" s="442">
        <f>IF(E43&lt;=10000,0,SMALL('Hulpberekeningen 1'!H46:H47,1))</f>
        <v>0</v>
      </c>
      <c r="F53" s="340" t="s">
        <v>6</v>
      </c>
      <c r="G53" s="132"/>
    </row>
    <row r="54" spans="1:7" x14ac:dyDescent="0.2">
      <c r="A54" s="103"/>
      <c r="B54" s="6"/>
      <c r="C54" s="6"/>
      <c r="D54" s="21"/>
      <c r="E54" s="104"/>
      <c r="F54" s="18"/>
      <c r="G54" s="132"/>
    </row>
    <row r="55" spans="1:7" x14ac:dyDescent="0.2">
      <c r="A55" s="103" t="s">
        <v>58</v>
      </c>
      <c r="B55" s="6" t="s">
        <v>292</v>
      </c>
      <c r="C55" s="6"/>
      <c r="D55" s="21"/>
      <c r="E55" s="111">
        <f>+'Hulpberekeningen 1'!$N$29</f>
        <v>0</v>
      </c>
      <c r="F55" s="123"/>
      <c r="G55" s="132"/>
    </row>
    <row r="56" spans="1:7" x14ac:dyDescent="0.2">
      <c r="A56" s="103"/>
      <c r="B56" s="6"/>
      <c r="C56" s="6"/>
      <c r="D56" s="21"/>
      <c r="E56" s="111"/>
      <c r="F56" s="123"/>
      <c r="G56" s="132"/>
    </row>
    <row r="57" spans="1:7" ht="15.75" x14ac:dyDescent="0.25">
      <c r="A57" s="110" t="s">
        <v>82</v>
      </c>
      <c r="B57" s="124" t="s">
        <v>112</v>
      </c>
      <c r="C57" s="6"/>
      <c r="D57" s="21"/>
      <c r="E57" s="350">
        <f ca="1">+'Hulpberekeningen 1'!N15</f>
        <v>0</v>
      </c>
      <c r="F57" s="340" t="s">
        <v>6</v>
      </c>
      <c r="G57" s="132"/>
    </row>
    <row r="58" spans="1:7" ht="15.75" x14ac:dyDescent="0.25">
      <c r="A58" s="110" t="s">
        <v>201</v>
      </c>
      <c r="B58" s="494" t="s">
        <v>467</v>
      </c>
      <c r="C58" s="6"/>
      <c r="D58" s="203"/>
      <c r="E58" s="445">
        <f ca="1">'Hulpberekeningen 1'!$H$42</f>
        <v>0</v>
      </c>
      <c r="F58" s="340" t="s">
        <v>6</v>
      </c>
      <c r="G58" s="132"/>
    </row>
    <row r="59" spans="1:7" x14ac:dyDescent="0.2">
      <c r="A59" s="103"/>
      <c r="B59" s="6"/>
      <c r="C59" s="6"/>
      <c r="D59" s="21"/>
      <c r="E59" s="104"/>
      <c r="F59" s="18"/>
      <c r="G59" s="132"/>
    </row>
    <row r="60" spans="1:7" x14ac:dyDescent="0.2">
      <c r="A60" s="103"/>
      <c r="B60" s="37"/>
      <c r="C60" s="6"/>
      <c r="D60" s="21"/>
      <c r="E60" s="104"/>
      <c r="F60" s="18"/>
      <c r="G60" s="132"/>
    </row>
    <row r="61" spans="1:7" x14ac:dyDescent="0.2">
      <c r="A61" s="103" t="s">
        <v>83</v>
      </c>
      <c r="B61" s="6" t="s">
        <v>290</v>
      </c>
      <c r="C61" s="6"/>
      <c r="D61" s="21"/>
      <c r="E61" s="111">
        <f>+'Hulpberekeningen 1'!T10</f>
        <v>0</v>
      </c>
      <c r="F61" s="18"/>
      <c r="G61" s="132"/>
    </row>
    <row r="62" spans="1:7" ht="15" x14ac:dyDescent="0.25">
      <c r="A62" s="110"/>
      <c r="B62" s="174"/>
      <c r="C62" s="6"/>
      <c r="D62" s="21"/>
      <c r="E62" s="111"/>
      <c r="F62" s="340" t="s">
        <v>6</v>
      </c>
      <c r="G62" s="132"/>
    </row>
    <row r="63" spans="1:7" x14ac:dyDescent="0.2">
      <c r="A63" s="103"/>
      <c r="B63" s="6"/>
      <c r="C63" s="6"/>
      <c r="D63" s="21"/>
      <c r="E63" s="104"/>
      <c r="F63" s="18"/>
      <c r="G63" s="132"/>
    </row>
    <row r="64" spans="1:7" ht="15" x14ac:dyDescent="0.25">
      <c r="A64" s="103" t="s">
        <v>211</v>
      </c>
      <c r="B64" s="6" t="s">
        <v>291</v>
      </c>
      <c r="C64" s="6"/>
      <c r="D64" s="6"/>
      <c r="E64" s="111">
        <f ca="1">+E61-E57</f>
        <v>0</v>
      </c>
      <c r="F64" s="340" t="s">
        <v>6</v>
      </c>
      <c r="G64" s="133"/>
    </row>
    <row r="65" spans="1:14" x14ac:dyDescent="0.2">
      <c r="A65" s="110"/>
      <c r="B65" s="124"/>
      <c r="C65" s="6"/>
      <c r="D65" s="6"/>
      <c r="E65" s="111"/>
      <c r="F65" s="18"/>
      <c r="G65" s="133"/>
    </row>
    <row r="66" spans="1:14" ht="13.5" thickBot="1" x14ac:dyDescent="0.25">
      <c r="A66" s="108"/>
      <c r="B66" s="29"/>
      <c r="C66" s="29"/>
      <c r="D66" s="29"/>
      <c r="E66" s="109"/>
      <c r="F66" s="18"/>
    </row>
    <row r="67" spans="1:14" ht="15.75" x14ac:dyDescent="0.25">
      <c r="A67" s="220"/>
      <c r="B67" s="217"/>
      <c r="C67" s="107"/>
      <c r="D67" s="107"/>
      <c r="E67" s="219"/>
      <c r="G67" s="129"/>
      <c r="H67" s="98"/>
      <c r="I67" s="8"/>
    </row>
    <row r="68" spans="1:14" ht="15.75" x14ac:dyDescent="0.25">
      <c r="A68" s="471"/>
      <c r="B68" s="217"/>
      <c r="C68" s="107"/>
      <c r="D68" s="107"/>
      <c r="E68" s="219"/>
      <c r="F68" s="18"/>
      <c r="G68" s="99"/>
      <c r="H68" s="18"/>
    </row>
    <row r="69" spans="1:14" x14ac:dyDescent="0.2">
      <c r="A69" s="201"/>
      <c r="B69" s="107"/>
      <c r="C69" s="107"/>
      <c r="D69" s="107"/>
      <c r="E69" s="221"/>
      <c r="F69" s="18"/>
      <c r="G69" s="99"/>
      <c r="H69" s="18"/>
    </row>
    <row r="70" spans="1:14" x14ac:dyDescent="0.2">
      <c r="A70" s="201"/>
      <c r="B70" s="107"/>
      <c r="C70" s="107"/>
      <c r="D70" s="107"/>
      <c r="E70" s="221"/>
      <c r="F70" s="18"/>
      <c r="G70" s="144"/>
      <c r="H70" s="18"/>
    </row>
    <row r="71" spans="1:14" x14ac:dyDescent="0.2">
      <c r="A71" s="201"/>
      <c r="B71" s="107"/>
      <c r="C71" s="107"/>
      <c r="D71" s="107"/>
      <c r="E71" s="221"/>
      <c r="F71" s="18"/>
      <c r="G71" s="144"/>
      <c r="H71" s="18"/>
    </row>
    <row r="72" spans="1:14" ht="15.75" x14ac:dyDescent="0.25">
      <c r="A72" s="201"/>
      <c r="B72" s="191"/>
      <c r="C72" s="192"/>
      <c r="D72" s="124"/>
      <c r="E72" s="222"/>
      <c r="G72" s="144"/>
      <c r="H72" s="18"/>
    </row>
    <row r="73" spans="1:14" x14ac:dyDescent="0.2">
      <c r="A73" s="201"/>
      <c r="B73" s="6"/>
      <c r="C73" s="6"/>
      <c r="D73" s="217"/>
      <c r="E73" s="221"/>
      <c r="G73" s="166"/>
      <c r="H73" s="18"/>
    </row>
    <row r="74" spans="1:14" ht="15.75" x14ac:dyDescent="0.25">
      <c r="A74" s="201"/>
      <c r="B74" s="6"/>
      <c r="C74" s="6"/>
      <c r="D74" s="6"/>
      <c r="E74" s="21"/>
      <c r="G74" s="121"/>
      <c r="H74" s="217"/>
      <c r="I74" s="107"/>
      <c r="J74" s="107"/>
      <c r="K74" s="219"/>
    </row>
    <row r="75" spans="1:14" ht="15.75" x14ac:dyDescent="0.25">
      <c r="A75" s="201"/>
      <c r="B75" s="6"/>
      <c r="C75" s="6"/>
      <c r="D75" s="6"/>
      <c r="E75" s="223"/>
      <c r="G75" s="220"/>
      <c r="H75" s="217"/>
      <c r="I75" s="107"/>
      <c r="J75" s="107"/>
      <c r="K75" s="219"/>
    </row>
    <row r="76" spans="1:14" ht="15.75" hidden="1" x14ac:dyDescent="0.25">
      <c r="A76" s="201"/>
      <c r="E76" s="7"/>
      <c r="G76" s="220"/>
      <c r="H76" s="217"/>
      <c r="I76" s="107"/>
      <c r="J76" s="107"/>
      <c r="K76" s="219"/>
    </row>
    <row r="77" spans="1:14" ht="15.75" x14ac:dyDescent="0.25">
      <c r="A77" s="201"/>
      <c r="C77" s="153"/>
      <c r="E77" s="7"/>
      <c r="G77" s="121"/>
      <c r="H77" s="107"/>
      <c r="I77" s="107"/>
      <c r="J77" s="107"/>
      <c r="K77" s="221"/>
      <c r="L77" s="6"/>
      <c r="M77" s="6"/>
      <c r="N77" s="6"/>
    </row>
    <row r="78" spans="1:14" ht="15.75" x14ac:dyDescent="0.25">
      <c r="A78" s="201"/>
      <c r="E78" s="7"/>
      <c r="G78" s="308"/>
      <c r="H78" s="315"/>
      <c r="I78" s="309"/>
      <c r="J78" s="309"/>
      <c r="K78" s="310"/>
      <c r="L78" s="309"/>
      <c r="M78" s="309"/>
      <c r="N78" s="6"/>
    </row>
    <row r="79" spans="1:14" ht="15.75" hidden="1" x14ac:dyDescent="0.25">
      <c r="A79" s="201"/>
      <c r="E79" s="7"/>
      <c r="G79" s="308"/>
      <c r="H79" s="308"/>
      <c r="I79" s="309"/>
      <c r="J79" s="309"/>
      <c r="K79" s="310"/>
      <c r="L79" s="309"/>
      <c r="M79" s="309"/>
      <c r="N79" s="6"/>
    </row>
    <row r="80" spans="1:14" ht="15.75" x14ac:dyDescent="0.25">
      <c r="A80" s="201"/>
      <c r="E80" s="7"/>
      <c r="G80" s="308"/>
      <c r="H80" s="308"/>
      <c r="I80" s="311"/>
      <c r="J80" s="312"/>
      <c r="K80" s="313"/>
      <c r="L80" s="309"/>
      <c r="M80" s="309"/>
      <c r="N80" s="6"/>
    </row>
    <row r="81" spans="1:14" ht="15.75" x14ac:dyDescent="0.25">
      <c r="A81" s="201"/>
      <c r="E81" s="7"/>
      <c r="G81" s="308"/>
      <c r="H81" s="308"/>
      <c r="I81" s="309"/>
      <c r="J81" s="309"/>
      <c r="K81" s="310"/>
      <c r="L81" s="309"/>
      <c r="M81" s="309"/>
      <c r="N81" s="6"/>
    </row>
    <row r="82" spans="1:14" ht="15.75" x14ac:dyDescent="0.25">
      <c r="A82" s="201"/>
      <c r="E82" s="7"/>
      <c r="G82" s="308"/>
      <c r="H82" s="308"/>
      <c r="I82" s="309"/>
      <c r="J82" s="309"/>
      <c r="K82" s="310"/>
      <c r="L82" s="309"/>
      <c r="M82" s="309"/>
      <c r="N82" s="6"/>
    </row>
    <row r="83" spans="1:14" ht="15.75" x14ac:dyDescent="0.25">
      <c r="A83" s="201"/>
      <c r="E83" s="7"/>
      <c r="G83" s="308"/>
      <c r="H83" s="308"/>
      <c r="I83" s="309"/>
      <c r="J83" s="309"/>
      <c r="K83" s="314"/>
      <c r="L83" s="309"/>
      <c r="M83" s="309"/>
      <c r="N83" s="6"/>
    </row>
    <row r="84" spans="1:14" ht="15.75" x14ac:dyDescent="0.25">
      <c r="A84" s="201"/>
      <c r="E84" s="7"/>
      <c r="G84" s="308"/>
      <c r="H84" s="308"/>
      <c r="I84" s="309"/>
      <c r="J84" s="309"/>
      <c r="K84" s="309"/>
      <c r="L84" s="309"/>
      <c r="M84" s="309"/>
      <c r="N84" s="6"/>
    </row>
    <row r="85" spans="1:14" ht="20.25" customHeight="1" x14ac:dyDescent="0.25">
      <c r="A85" s="201"/>
      <c r="E85" s="7"/>
      <c r="G85" s="308"/>
      <c r="H85" s="308"/>
      <c r="I85" s="309"/>
      <c r="J85" s="309"/>
      <c r="K85" s="309"/>
      <c r="L85" s="309"/>
      <c r="M85" s="309"/>
      <c r="N85" s="6"/>
    </row>
    <row r="86" spans="1:14" ht="17.25" customHeight="1" x14ac:dyDescent="0.25">
      <c r="A86" s="201"/>
      <c r="E86" s="7"/>
      <c r="G86" s="316"/>
      <c r="H86" s="316"/>
      <c r="I86" s="309"/>
      <c r="J86" s="309"/>
      <c r="K86" s="309"/>
      <c r="L86" s="309"/>
      <c r="M86" s="309"/>
      <c r="N86" s="6"/>
    </row>
    <row r="87" spans="1:14" ht="17.25" customHeight="1" x14ac:dyDescent="0.2">
      <c r="A87" s="201"/>
      <c r="E87" s="7"/>
      <c r="G87" s="6"/>
      <c r="H87" s="21"/>
      <c r="I87" s="6"/>
      <c r="J87" s="6"/>
      <c r="K87" s="6"/>
      <c r="L87" s="6"/>
      <c r="M87" s="6"/>
      <c r="N87" s="6"/>
    </row>
    <row r="88" spans="1:14" ht="17.25" customHeight="1" x14ac:dyDescent="0.2">
      <c r="A88" s="201"/>
      <c r="E88" s="7"/>
      <c r="H88" s="7"/>
    </row>
    <row r="89" spans="1:14" ht="17.25" customHeight="1" x14ac:dyDescent="0.2">
      <c r="A89" s="201"/>
      <c r="E89" s="7"/>
      <c r="H89" s="7"/>
    </row>
    <row r="90" spans="1:14" ht="17.25" customHeight="1" x14ac:dyDescent="0.2">
      <c r="A90" s="201"/>
      <c r="E90" s="7"/>
      <c r="H90" s="7"/>
    </row>
    <row r="91" spans="1:14" ht="17.25" customHeight="1" x14ac:dyDescent="0.2">
      <c r="A91" s="201"/>
      <c r="E91" s="7"/>
      <c r="H91" s="7"/>
    </row>
    <row r="92" spans="1:14" ht="17.25" customHeight="1" x14ac:dyDescent="0.2">
      <c r="A92" s="201"/>
      <c r="E92" s="7"/>
      <c r="H92" s="7"/>
    </row>
    <row r="93" spans="1:14" ht="17.25" customHeight="1" x14ac:dyDescent="0.2">
      <c r="A93" s="201"/>
      <c r="E93" s="7"/>
      <c r="H93" s="7"/>
    </row>
    <row r="94" spans="1:14" x14ac:dyDescent="0.2">
      <c r="A94" s="201"/>
      <c r="E94" s="7"/>
    </row>
    <row r="95" spans="1:14" x14ac:dyDescent="0.2">
      <c r="A95" s="201"/>
      <c r="E95" s="7"/>
    </row>
    <row r="96" spans="1:14" x14ac:dyDescent="0.2">
      <c r="A96" s="201"/>
      <c r="E96" s="7"/>
    </row>
    <row r="97" spans="1:5" x14ac:dyDescent="0.2">
      <c r="A97" s="201"/>
      <c r="E97" s="7"/>
    </row>
    <row r="98" spans="1:5" x14ac:dyDescent="0.2">
      <c r="A98" s="201"/>
      <c r="E98" s="7"/>
    </row>
    <row r="99" spans="1:5" x14ac:dyDescent="0.2">
      <c r="A99" s="201"/>
      <c r="E99" s="7"/>
    </row>
    <row r="100" spans="1:5" x14ac:dyDescent="0.2">
      <c r="A100" s="201"/>
      <c r="E100" s="7"/>
    </row>
    <row r="101" spans="1:5" x14ac:dyDescent="0.2">
      <c r="A101" s="201"/>
      <c r="E101" s="7"/>
    </row>
    <row r="102" spans="1:5" x14ac:dyDescent="0.2">
      <c r="A102" s="201"/>
      <c r="E102" s="7"/>
    </row>
    <row r="103" spans="1:5" x14ac:dyDescent="0.2">
      <c r="A103" s="201"/>
      <c r="E103" s="7"/>
    </row>
    <row r="104" spans="1:5" x14ac:dyDescent="0.2">
      <c r="A104" s="201"/>
      <c r="E104" s="7"/>
    </row>
    <row r="105" spans="1:5" x14ac:dyDescent="0.2">
      <c r="A105" s="201"/>
      <c r="E105" s="7"/>
    </row>
    <row r="106" spans="1:5" x14ac:dyDescent="0.2">
      <c r="A106" s="201"/>
      <c r="E106" s="7"/>
    </row>
    <row r="107" spans="1:5" x14ac:dyDescent="0.2">
      <c r="A107" s="201"/>
      <c r="E107" s="7"/>
    </row>
    <row r="108" spans="1:5" x14ac:dyDescent="0.2">
      <c r="A108" s="201"/>
      <c r="E108" s="7"/>
    </row>
    <row r="109" spans="1:5" x14ac:dyDescent="0.2">
      <c r="A109" s="201"/>
      <c r="E109" s="7"/>
    </row>
    <row r="110" spans="1:5" x14ac:dyDescent="0.2">
      <c r="A110" s="201"/>
      <c r="E110" s="7"/>
    </row>
    <row r="111" spans="1:5" x14ac:dyDescent="0.2">
      <c r="A111" s="201"/>
      <c r="E111" s="7"/>
    </row>
    <row r="112" spans="1:5" x14ac:dyDescent="0.2">
      <c r="A112" s="201"/>
      <c r="E112" s="7"/>
    </row>
    <row r="113" spans="5:5" x14ac:dyDescent="0.2">
      <c r="E113" s="7"/>
    </row>
    <row r="114" spans="5:5" x14ac:dyDescent="0.2">
      <c r="E114" s="7"/>
    </row>
    <row r="115" spans="5:5" x14ac:dyDescent="0.2">
      <c r="E115" s="7"/>
    </row>
    <row r="116" spans="5:5" x14ac:dyDescent="0.2">
      <c r="E116" s="7"/>
    </row>
    <row r="117" spans="5:5" x14ac:dyDescent="0.2">
      <c r="E117" s="7"/>
    </row>
    <row r="118" spans="5:5" x14ac:dyDescent="0.2">
      <c r="E118" s="7"/>
    </row>
    <row r="119" spans="5:5" x14ac:dyDescent="0.2">
      <c r="E119" s="7"/>
    </row>
    <row r="120" spans="5:5" x14ac:dyDescent="0.2">
      <c r="E120" s="7"/>
    </row>
    <row r="121" spans="5:5" x14ac:dyDescent="0.2">
      <c r="E121" s="7"/>
    </row>
    <row r="122" spans="5:5" x14ac:dyDescent="0.2">
      <c r="E122" s="7"/>
    </row>
    <row r="123" spans="5:5" x14ac:dyDescent="0.2">
      <c r="E123" s="7"/>
    </row>
    <row r="124" spans="5:5" x14ac:dyDescent="0.2">
      <c r="E124" s="7"/>
    </row>
    <row r="125" spans="5:5" x14ac:dyDescent="0.2">
      <c r="E125" s="7"/>
    </row>
    <row r="126" spans="5:5" x14ac:dyDescent="0.2">
      <c r="E126" s="7"/>
    </row>
    <row r="127" spans="5:5" x14ac:dyDescent="0.2">
      <c r="E127" s="7"/>
    </row>
    <row r="128" spans="5:5" x14ac:dyDescent="0.2">
      <c r="E128" s="7"/>
    </row>
    <row r="129" spans="5:5" x14ac:dyDescent="0.2">
      <c r="E129" s="7"/>
    </row>
    <row r="130" spans="5:5" x14ac:dyDescent="0.2">
      <c r="E130" s="7"/>
    </row>
    <row r="131" spans="5:5" x14ac:dyDescent="0.2">
      <c r="E131" s="7"/>
    </row>
    <row r="132" spans="5:5" x14ac:dyDescent="0.2">
      <c r="E132" s="7"/>
    </row>
  </sheetData>
  <customSheetViews>
    <customSheetView guid="{D98A0717-74D0-4F54-BB8F-A337A1A9E4DF}"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 guid="{5D986420-B83B-47C8-8160-784F77FFC196}" scale="75" showGridLines="0" fitToPage="1" hiddenRows="1" showRuler="0">
      <selection activeCell="D11" sqref="D11"/>
      <pageMargins left="0.78740157480314965" right="0.78740157480314965" top="0.19685039370078741" bottom="0.19685039370078741" header="0.51181102362204722" footer="0.51181102362204722"/>
      <pageSetup paperSize="9" scale="50" orientation="landscape"/>
      <headerFooter alignWithMargins="0"/>
    </customSheetView>
    <customSheetView guid="{C9029B8D-126A-43F1-8BE9-BB8A7DE12FBF}"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4284377C-91E6-4152-887E-8DA87560FDD6}"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546B9E27-05F9-47A7-B161-BCC56D613799}"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s>
  <phoneticPr fontId="0" type="noConversion"/>
  <hyperlinks>
    <hyperlink ref="F1" location="Toelichting!A169" display="Info" xr:uid="{00000000-0004-0000-0400-000000000000}"/>
    <hyperlink ref="F64" location="Toelichting!A204" display="Info" xr:uid="{00000000-0004-0000-0400-000001000000}"/>
    <hyperlink ref="F62" location="Toelichting!A203" display="Info" xr:uid="{00000000-0004-0000-0400-000002000000}"/>
    <hyperlink ref="F58" location="Toelichting!A201" display="Info" xr:uid="{00000000-0004-0000-0400-000003000000}"/>
    <hyperlink ref="F57" location="Toelichting!A200" display="Info" xr:uid="{00000000-0004-0000-0400-000004000000}"/>
    <hyperlink ref="F53" location="Toelichting!A198" display="Info" xr:uid="{00000000-0004-0000-0400-000005000000}"/>
    <hyperlink ref="F38" location="Toelichting!A187" display="Info" xr:uid="{00000000-0004-0000-0400-000006000000}"/>
    <hyperlink ref="F28" location="Toelichting!A183" display="Info" xr:uid="{00000000-0004-0000-0400-000007000000}"/>
  </hyperlinks>
  <pageMargins left="0.78740157480314965" right="0.78740157480314965" top="0.19685039370078741" bottom="0.19685039370078741" header="0.51181102362204722" footer="0.51181102362204722"/>
  <pageSetup paperSize="8" scale="80"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29"/>
  <sheetViews>
    <sheetView workbookViewId="0">
      <selection activeCell="G39" sqref="G39"/>
    </sheetView>
  </sheetViews>
  <sheetFormatPr defaultColWidth="9.33203125" defaultRowHeight="12.75" x14ac:dyDescent="0.2"/>
  <cols>
    <col min="1" max="1" width="9.33203125" style="587"/>
    <col min="2" max="2" width="10.6640625" style="587" bestFit="1" customWidth="1"/>
    <col min="3" max="3" width="10.83203125" style="587" bestFit="1" customWidth="1"/>
    <col min="4" max="19" width="12.83203125" style="587" customWidth="1"/>
    <col min="20" max="20" width="2.83203125" style="593" customWidth="1"/>
    <col min="21" max="21" width="15.83203125" style="587" customWidth="1"/>
    <col min="22" max="22" width="2.83203125" style="587" customWidth="1"/>
    <col min="23" max="23" width="10.5" style="587" bestFit="1" customWidth="1"/>
    <col min="24" max="16384" width="9.33203125" style="587"/>
  </cols>
  <sheetData>
    <row r="2" spans="1:23" ht="13.5" thickBot="1" x14ac:dyDescent="0.25"/>
    <row r="3" spans="1:23" ht="13.5" thickBot="1" x14ac:dyDescent="0.25">
      <c r="D3" s="653" t="s">
        <v>499</v>
      </c>
      <c r="E3" s="654"/>
      <c r="F3" s="654"/>
      <c r="G3" s="654"/>
      <c r="H3" s="654"/>
      <c r="I3" s="654"/>
      <c r="J3" s="654"/>
      <c r="K3" s="654"/>
      <c r="L3" s="654"/>
      <c r="M3" s="654"/>
      <c r="N3" s="654"/>
      <c r="O3" s="654"/>
      <c r="P3" s="654"/>
      <c r="Q3" s="654"/>
      <c r="R3" s="654"/>
      <c r="S3" s="655"/>
      <c r="T3" s="604"/>
      <c r="W3" s="601" t="s">
        <v>500</v>
      </c>
    </row>
    <row r="4" spans="1:23" ht="13.5" thickBot="1" x14ac:dyDescent="0.25">
      <c r="D4" s="598">
        <v>1</v>
      </c>
      <c r="E4" s="599">
        <f>D4+1</f>
        <v>2</v>
      </c>
      <c r="F4" s="599">
        <f t="shared" ref="F4:R4" si="0">E4+1</f>
        <v>3</v>
      </c>
      <c r="G4" s="599">
        <f t="shared" si="0"/>
        <v>4</v>
      </c>
      <c r="H4" s="599">
        <f t="shared" si="0"/>
        <v>5</v>
      </c>
      <c r="I4" s="599">
        <f t="shared" si="0"/>
        <v>6</v>
      </c>
      <c r="J4" s="599">
        <f t="shared" si="0"/>
        <v>7</v>
      </c>
      <c r="K4" s="599">
        <f t="shared" si="0"/>
        <v>8</v>
      </c>
      <c r="L4" s="599">
        <f t="shared" si="0"/>
        <v>9</v>
      </c>
      <c r="M4" s="599">
        <f t="shared" si="0"/>
        <v>10</v>
      </c>
      <c r="N4" s="599">
        <f t="shared" si="0"/>
        <v>11</v>
      </c>
      <c r="O4" s="599">
        <f t="shared" si="0"/>
        <v>12</v>
      </c>
      <c r="P4" s="599">
        <f t="shared" si="0"/>
        <v>13</v>
      </c>
      <c r="Q4" s="599">
        <f t="shared" si="0"/>
        <v>14</v>
      </c>
      <c r="R4" s="599">
        <f t="shared" si="0"/>
        <v>15</v>
      </c>
      <c r="S4" s="600">
        <f>R4+1</f>
        <v>16</v>
      </c>
      <c r="T4" s="604"/>
      <c r="U4" s="606" t="s">
        <v>75</v>
      </c>
      <c r="W4" s="602" t="s">
        <v>501</v>
      </c>
    </row>
    <row r="6" spans="1:23" x14ac:dyDescent="0.2">
      <c r="A6" s="587" t="s">
        <v>502</v>
      </c>
      <c r="B6" s="608">
        <v>6</v>
      </c>
      <c r="D6" s="603">
        <f>IF(D4&lt;=$W$6,(Invoerblad!$E$65/Invoerblad!$E$74)/12*$B$6,IF($B$6&lt;12,((12-$B$6)/12)*(Invoerblad!$E$65/Invoerblad!$E$74),0))</f>
        <v>0</v>
      </c>
      <c r="E6" s="603">
        <f>IF(E4&lt;=$W$6,(Invoerblad!$E$65/Invoerblad!$E$74)/12*$B$6,IF($B$6&lt;12,((12-$B$6)/12)*(Invoerblad!$E$65/Invoerblad!$E$74),0))</f>
        <v>0</v>
      </c>
      <c r="F6" s="603">
        <f>IF(F4&lt;=$W$6,(Invoerblad!$E$65/Invoerblad!$E$74)/12*$B$6,IF($B$6&lt;12,((12-$B$6)/12)*(Invoerblad!$E$65/Invoerblad!$E$74),0))</f>
        <v>0</v>
      </c>
      <c r="G6" s="603">
        <f>IF(G4&lt;=$W$6,(Invoerblad!$E$65/Invoerblad!$E$74)/12*$B$6,IF($B$6&lt;12,((12-$B$6)/12)*(Invoerblad!$E$65/Invoerblad!$E$74),0))</f>
        <v>0</v>
      </c>
      <c r="H6" s="603">
        <f>IF(H4&lt;=$W$6,(Invoerblad!$E$65/Invoerblad!$E$74)/12*$B$6,IF($B$6&lt;12,((12-$B$6)/12)*(Invoerblad!$E$65/Invoerblad!$E$74),0))</f>
        <v>0</v>
      </c>
      <c r="I6" s="603">
        <f>IF(I4&lt;=$W$6,(Invoerblad!$E$65/Invoerblad!$E$74)/12*$B$6,IF($B$6&lt;12,((12-$B$6)/12)*(Invoerblad!$E$65/Invoerblad!$E$74),0))</f>
        <v>0</v>
      </c>
      <c r="J6" s="603">
        <f>IF(J4&lt;=$W$6,(Invoerblad!$E$65/Invoerblad!$E$74)/12*$B$6,IF($B$6&lt;12,((12-$B$6)/12)*(Invoerblad!$E$65/Invoerblad!$E$74),0))</f>
        <v>0</v>
      </c>
      <c r="K6" s="603">
        <f>IF(K4&lt;=$W$6,(Invoerblad!$E$65/Invoerblad!$E$74)/12*$B$6,IF($B$6&lt;12,((12-$B$6)/12)*(Invoerblad!$E$65/Invoerblad!$E$74),0))</f>
        <v>0</v>
      </c>
      <c r="L6" s="603">
        <f>IF(L4&lt;=$W$6,(Invoerblad!$E$65/Invoerblad!$E$74)/12*$B$6,IF($B$6&lt;12,((12-$B$6)/12)*(Invoerblad!$E$65/Invoerblad!$E$74),0))</f>
        <v>0</v>
      </c>
      <c r="M6" s="603">
        <f>IF(M4&lt;=$W$6,(Invoerblad!$E$65/Invoerblad!$E$74)/12*$B$6,IF($B$6&lt;12,((12-$B$6)/12)*(Invoerblad!$E$65/Invoerblad!$E$74),0))</f>
        <v>0</v>
      </c>
      <c r="N6" s="603">
        <f>IF(N4&lt;=$W$6,(Invoerblad!$E$65/Invoerblad!$E$74)/12*$B$6,IF($B$6&lt;12,((12-$B$6)/12)*(Invoerblad!$E$65/Invoerblad!$E$74),0))</f>
        <v>0</v>
      </c>
      <c r="O6" s="603">
        <f>IF(O4&lt;=$W$6,(Invoerblad!$E$65/Invoerblad!$E$74)/12*$B$6,IF($B$6&lt;12,((12-$B$6)/12)*(Invoerblad!$E$65/Invoerblad!$E$74),0))</f>
        <v>0</v>
      </c>
      <c r="P6" s="603">
        <f>IF(P4&lt;=$W$6,(Invoerblad!$E$65/Invoerblad!$E$74)/12*$B$6,IF($B$6&lt;12,((12-$B$6)/12)*(Invoerblad!$E$65/Invoerblad!$E$74),0))</f>
        <v>0</v>
      </c>
      <c r="Q6" s="603">
        <v>0</v>
      </c>
      <c r="R6" s="603">
        <v>0</v>
      </c>
      <c r="S6" s="603">
        <v>0</v>
      </c>
      <c r="T6" s="605"/>
      <c r="U6" s="603">
        <f>SUM(D6:T6)</f>
        <v>0</v>
      </c>
      <c r="W6" s="587">
        <v>12</v>
      </c>
    </row>
    <row r="10" spans="1:23" ht="13.5" thickBot="1" x14ac:dyDescent="0.25"/>
    <row r="11" spans="1:23" ht="13.5" thickBot="1" x14ac:dyDescent="0.25">
      <c r="D11" s="609"/>
      <c r="E11" s="610"/>
      <c r="F11" s="610"/>
      <c r="G11" s="610"/>
      <c r="H11" s="610"/>
      <c r="I11" s="610"/>
      <c r="J11" s="610"/>
      <c r="K11" s="610"/>
      <c r="L11" s="610"/>
      <c r="M11" s="610"/>
      <c r="N11" s="610"/>
      <c r="O11" s="610"/>
      <c r="P11" s="610"/>
      <c r="Q11" s="610"/>
      <c r="R11" s="610"/>
      <c r="S11" s="611"/>
    </row>
    <row r="13" spans="1:23" x14ac:dyDescent="0.2">
      <c r="A13" s="587" t="s">
        <v>74</v>
      </c>
      <c r="D13" s="603"/>
      <c r="E13" s="603">
        <v>75621.599999999991</v>
      </c>
      <c r="F13" s="603">
        <v>67219.199999999997</v>
      </c>
      <c r="G13" s="603">
        <v>58816.799999999996</v>
      </c>
      <c r="H13" s="603">
        <v>50414.400000000001</v>
      </c>
      <c r="I13" s="603">
        <v>42012</v>
      </c>
      <c r="J13" s="603">
        <v>33609.599999999999</v>
      </c>
      <c r="K13" s="603">
        <v>25207.200000000001</v>
      </c>
      <c r="L13" s="603">
        <v>16804.8</v>
      </c>
      <c r="M13" s="603">
        <v>8402.4</v>
      </c>
      <c r="N13" s="603">
        <v>0</v>
      </c>
      <c r="O13" s="603">
        <v>0</v>
      </c>
      <c r="P13" s="603">
        <v>0</v>
      </c>
      <c r="Q13" s="603">
        <v>0</v>
      </c>
      <c r="R13" s="603">
        <v>0</v>
      </c>
      <c r="U13" s="587">
        <v>10</v>
      </c>
    </row>
    <row r="14" spans="1:23" x14ac:dyDescent="0.2">
      <c r="A14" s="587" t="s">
        <v>502</v>
      </c>
      <c r="B14" s="608">
        <v>6</v>
      </c>
    </row>
    <row r="15" spans="1:23" x14ac:dyDescent="0.2">
      <c r="D15" s="603">
        <f>D13/12*$B$14</f>
        <v>0</v>
      </c>
      <c r="E15" s="603">
        <f t="shared" ref="E15:S15" si="1">E13/12*$B$14</f>
        <v>37810.799999999996</v>
      </c>
      <c r="F15" s="603">
        <f t="shared" si="1"/>
        <v>33609.599999999999</v>
      </c>
      <c r="G15" s="603">
        <f t="shared" si="1"/>
        <v>29408.399999999998</v>
      </c>
      <c r="H15" s="603">
        <f t="shared" si="1"/>
        <v>25207.199999999997</v>
      </c>
      <c r="I15" s="603">
        <f t="shared" si="1"/>
        <v>21006</v>
      </c>
      <c r="J15" s="603">
        <f t="shared" si="1"/>
        <v>16804.8</v>
      </c>
      <c r="K15" s="603">
        <f t="shared" si="1"/>
        <v>12603.599999999999</v>
      </c>
      <c r="L15" s="603">
        <f t="shared" si="1"/>
        <v>8402.4</v>
      </c>
      <c r="M15" s="603">
        <f t="shared" si="1"/>
        <v>4201.2</v>
      </c>
      <c r="N15" s="603">
        <f t="shared" si="1"/>
        <v>0</v>
      </c>
      <c r="O15" s="603">
        <f t="shared" si="1"/>
        <v>0</v>
      </c>
      <c r="P15" s="603">
        <f t="shared" si="1"/>
        <v>0</v>
      </c>
      <c r="Q15" s="603">
        <f t="shared" si="1"/>
        <v>0</v>
      </c>
      <c r="R15" s="603">
        <f t="shared" si="1"/>
        <v>0</v>
      </c>
      <c r="S15" s="603">
        <f t="shared" si="1"/>
        <v>0</v>
      </c>
    </row>
    <row r="16" spans="1:23" x14ac:dyDescent="0.2">
      <c r="D16" s="603">
        <f>D13-D15</f>
        <v>0</v>
      </c>
      <c r="E16" s="603">
        <f t="shared" ref="E16:S16" si="2">E13-E15</f>
        <v>37810.799999999996</v>
      </c>
      <c r="F16" s="603">
        <f t="shared" si="2"/>
        <v>33609.599999999999</v>
      </c>
      <c r="G16" s="603">
        <f t="shared" si="2"/>
        <v>29408.399999999998</v>
      </c>
      <c r="H16" s="603">
        <f t="shared" si="2"/>
        <v>25207.200000000004</v>
      </c>
      <c r="I16" s="603">
        <f t="shared" si="2"/>
        <v>21006</v>
      </c>
      <c r="J16" s="603">
        <f t="shared" si="2"/>
        <v>16804.8</v>
      </c>
      <c r="K16" s="603">
        <f t="shared" si="2"/>
        <v>12603.600000000002</v>
      </c>
      <c r="L16" s="603">
        <f t="shared" si="2"/>
        <v>8402.4</v>
      </c>
      <c r="M16" s="603">
        <f t="shared" si="2"/>
        <v>4201.2</v>
      </c>
      <c r="N16" s="603">
        <f t="shared" si="2"/>
        <v>0</v>
      </c>
      <c r="O16" s="603">
        <f t="shared" si="2"/>
        <v>0</v>
      </c>
      <c r="P16" s="603">
        <f t="shared" si="2"/>
        <v>0</v>
      </c>
      <c r="Q16" s="603">
        <f t="shared" si="2"/>
        <v>0</v>
      </c>
      <c r="R16" s="603">
        <f t="shared" si="2"/>
        <v>0</v>
      </c>
      <c r="S16" s="603">
        <f t="shared" si="2"/>
        <v>0</v>
      </c>
    </row>
    <row r="18" spans="1:21" x14ac:dyDescent="0.2">
      <c r="A18" s="587" t="s">
        <v>503</v>
      </c>
      <c r="D18" s="603">
        <f>D15</f>
        <v>0</v>
      </c>
      <c r="E18" s="603">
        <f>E15+D16</f>
        <v>37810.799999999996</v>
      </c>
      <c r="F18" s="603">
        <f t="shared" ref="F18:S18" si="3">F15+E16</f>
        <v>71420.399999999994</v>
      </c>
      <c r="G18" s="603">
        <f t="shared" si="3"/>
        <v>63018</v>
      </c>
      <c r="H18" s="603">
        <f t="shared" si="3"/>
        <v>54615.599999999991</v>
      </c>
      <c r="I18" s="603">
        <f t="shared" si="3"/>
        <v>46213.200000000004</v>
      </c>
      <c r="J18" s="603">
        <f t="shared" si="3"/>
        <v>37810.800000000003</v>
      </c>
      <c r="K18" s="603">
        <f t="shared" si="3"/>
        <v>29408.399999999998</v>
      </c>
      <c r="L18" s="603">
        <f t="shared" si="3"/>
        <v>21006</v>
      </c>
      <c r="M18" s="603">
        <f t="shared" si="3"/>
        <v>12603.599999999999</v>
      </c>
      <c r="N18" s="603">
        <f t="shared" si="3"/>
        <v>4201.2</v>
      </c>
      <c r="O18" s="603">
        <f t="shared" si="3"/>
        <v>0</v>
      </c>
      <c r="P18" s="603">
        <f t="shared" si="3"/>
        <v>0</v>
      </c>
      <c r="Q18" s="603">
        <f t="shared" si="3"/>
        <v>0</v>
      </c>
      <c r="R18" s="603">
        <f t="shared" si="3"/>
        <v>0</v>
      </c>
      <c r="S18" s="603">
        <f t="shared" si="3"/>
        <v>0</v>
      </c>
    </row>
    <row r="21" spans="1:21" ht="13.5" thickBot="1" x14ac:dyDescent="0.25"/>
    <row r="22" spans="1:21" ht="13.5" thickBot="1" x14ac:dyDescent="0.25">
      <c r="D22" s="656" t="s">
        <v>504</v>
      </c>
      <c r="E22" s="657"/>
      <c r="F22" s="657"/>
      <c r="G22" s="657"/>
      <c r="H22" s="657"/>
      <c r="I22" s="657"/>
      <c r="J22" s="657"/>
      <c r="K22" s="657"/>
      <c r="L22" s="657"/>
      <c r="M22" s="657"/>
      <c r="N22" s="657"/>
      <c r="O22" s="657"/>
      <c r="P22" s="657"/>
      <c r="Q22" s="657"/>
      <c r="R22" s="657"/>
      <c r="S22" s="658"/>
    </row>
    <row r="23" spans="1:21" x14ac:dyDescent="0.2">
      <c r="B23" s="608"/>
      <c r="D23" s="608"/>
      <c r="P23" s="603"/>
      <c r="Q23" s="603"/>
      <c r="R23" s="603"/>
      <c r="S23" s="603"/>
      <c r="U23" s="603"/>
    </row>
    <row r="24" spans="1:21" x14ac:dyDescent="0.2">
      <c r="A24" s="587" t="s">
        <v>502</v>
      </c>
      <c r="B24" s="608">
        <v>6</v>
      </c>
      <c r="D24" s="603">
        <v>70020</v>
      </c>
      <c r="E24" s="603">
        <v>140040</v>
      </c>
      <c r="F24" s="603">
        <v>140040</v>
      </c>
      <c r="G24" s="603">
        <v>140040</v>
      </c>
      <c r="H24" s="603">
        <v>140040</v>
      </c>
      <c r="I24" s="603">
        <v>140040</v>
      </c>
      <c r="J24" s="603">
        <v>140040</v>
      </c>
      <c r="K24" s="603">
        <v>140040</v>
      </c>
      <c r="L24" s="603">
        <v>140040</v>
      </c>
      <c r="M24" s="603">
        <v>140040</v>
      </c>
      <c r="N24" s="603">
        <v>70020</v>
      </c>
      <c r="O24" s="603">
        <v>0</v>
      </c>
      <c r="P24" s="603">
        <v>0</v>
      </c>
      <c r="Q24" s="603">
        <v>0</v>
      </c>
      <c r="R24" s="603">
        <v>0</v>
      </c>
      <c r="S24" s="603">
        <v>0</v>
      </c>
      <c r="U24" s="587" t="s">
        <v>505</v>
      </c>
    </row>
    <row r="25" spans="1:21" x14ac:dyDescent="0.2">
      <c r="D25" s="608"/>
      <c r="E25" s="608"/>
    </row>
    <row r="26" spans="1:21" ht="13.5" thickBot="1" x14ac:dyDescent="0.25"/>
    <row r="27" spans="1:21" ht="13.5" thickBot="1" x14ac:dyDescent="0.25">
      <c r="D27" s="659" t="s">
        <v>506</v>
      </c>
      <c r="E27" s="660"/>
      <c r="F27" s="660"/>
      <c r="G27" s="660"/>
      <c r="H27" s="660"/>
      <c r="I27" s="660"/>
      <c r="J27" s="660"/>
      <c r="K27" s="660"/>
      <c r="L27" s="660"/>
      <c r="M27" s="660"/>
      <c r="N27" s="660"/>
      <c r="O27" s="660"/>
      <c r="P27" s="660"/>
      <c r="Q27" s="660"/>
      <c r="R27" s="660"/>
      <c r="S27" s="661"/>
    </row>
    <row r="29" spans="1:21" x14ac:dyDescent="0.2">
      <c r="C29" s="608">
        <v>-399600</v>
      </c>
      <c r="D29" s="608">
        <v>163480</v>
      </c>
      <c r="E29" s="608">
        <v>459720</v>
      </c>
      <c r="F29" s="608">
        <v>491245.19999999995</v>
      </c>
      <c r="G29" s="608">
        <v>491270.90399999998</v>
      </c>
      <c r="H29" s="608">
        <v>491297.12208</v>
      </c>
      <c r="I29" s="608">
        <v>491323.86452160007</v>
      </c>
      <c r="J29" s="608">
        <v>491351.14181203197</v>
      </c>
      <c r="K29" s="608">
        <v>491378.96464827261</v>
      </c>
      <c r="L29" s="608">
        <v>491407.34394123813</v>
      </c>
      <c r="M29" s="608">
        <v>491436.29082006286</v>
      </c>
      <c r="N29" s="608">
        <v>561485.81663646409</v>
      </c>
      <c r="O29" s="608">
        <v>631535.93296919332</v>
      </c>
      <c r="P29" s="608">
        <v>389617.03509985708</v>
      </c>
      <c r="Q29" s="608">
        <v>0</v>
      </c>
      <c r="R29" s="608">
        <v>0</v>
      </c>
      <c r="S29" s="608"/>
    </row>
  </sheetData>
  <mergeCells count="3">
    <mergeCell ref="D3:S3"/>
    <mergeCell ref="D22:S22"/>
    <mergeCell ref="D27:S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51"/>
  <sheetViews>
    <sheetView workbookViewId="0">
      <selection activeCell="L39" sqref="L39"/>
    </sheetView>
  </sheetViews>
  <sheetFormatPr defaultColWidth="9.33203125" defaultRowHeight="12.75" x14ac:dyDescent="0.2"/>
  <cols>
    <col min="1" max="1" width="32" style="584" customWidth="1"/>
    <col min="2" max="2" width="13.1640625" style="584" customWidth="1"/>
    <col min="3" max="3" width="13.83203125" style="584" customWidth="1"/>
    <col min="4" max="4" width="10.5" style="584" bestFit="1" customWidth="1"/>
    <col min="5" max="5" width="12.1640625" style="584" customWidth="1"/>
    <col min="6" max="15" width="10.5" style="584" bestFit="1" customWidth="1"/>
    <col min="16" max="16" width="11.5" style="584" customWidth="1"/>
    <col min="17" max="17" width="16.5" style="584" bestFit="1" customWidth="1"/>
    <col min="18" max="18" width="24.83203125" style="596" customWidth="1"/>
    <col min="19" max="19" width="15.1640625" style="584" bestFit="1" customWidth="1"/>
    <col min="20" max="20" width="14.83203125" style="584" bestFit="1" customWidth="1"/>
    <col min="21" max="22" width="17.33203125" style="584" bestFit="1" customWidth="1"/>
    <col min="23" max="23" width="16.5" style="584" bestFit="1" customWidth="1"/>
    <col min="24" max="24" width="14.83203125" style="584" bestFit="1" customWidth="1"/>
    <col min="25" max="25" width="17.1640625" style="584" bestFit="1" customWidth="1"/>
    <col min="26" max="26" width="14.83203125" style="584" bestFit="1" customWidth="1"/>
    <col min="27" max="27" width="15.1640625" style="584" bestFit="1" customWidth="1"/>
    <col min="28" max="16384" width="9.33203125" style="584"/>
  </cols>
  <sheetData>
    <row r="1" spans="1:256" x14ac:dyDescent="0.2">
      <c r="A1" s="595" t="s">
        <v>440</v>
      </c>
      <c r="B1" s="585" t="s">
        <v>212</v>
      </c>
    </row>
    <row r="2" spans="1:256" x14ac:dyDescent="0.2">
      <c r="A2" s="585" t="s">
        <v>213</v>
      </c>
      <c r="B2" s="585"/>
    </row>
    <row r="3" spans="1:256" x14ac:dyDescent="0.2">
      <c r="A3" s="585"/>
      <c r="B3" s="586"/>
    </row>
    <row r="4" spans="1:256" ht="13.5" thickBot="1" x14ac:dyDescent="0.25"/>
    <row r="5" spans="1:256" ht="13.5" customHeight="1" thickBot="1" x14ac:dyDescent="0.25">
      <c r="A5" s="612" t="s">
        <v>23</v>
      </c>
      <c r="B5" s="613" t="s">
        <v>9</v>
      </c>
      <c r="C5" s="614">
        <v>2013</v>
      </c>
      <c r="D5" s="614">
        <v>2014</v>
      </c>
      <c r="E5" s="614">
        <v>2015</v>
      </c>
      <c r="F5" s="614">
        <v>2016</v>
      </c>
      <c r="G5" s="614">
        <v>2017</v>
      </c>
      <c r="H5" s="614">
        <v>2018</v>
      </c>
      <c r="I5" s="614">
        <v>2019</v>
      </c>
      <c r="J5" s="614">
        <v>2020</v>
      </c>
      <c r="K5" s="614">
        <v>2021</v>
      </c>
      <c r="L5" s="614">
        <v>2022</v>
      </c>
      <c r="M5" s="614">
        <v>2023</v>
      </c>
      <c r="N5" s="614">
        <v>2024</v>
      </c>
      <c r="O5" s="614">
        <v>2025</v>
      </c>
      <c r="P5" s="614">
        <v>2026</v>
      </c>
      <c r="Q5" s="614">
        <v>0</v>
      </c>
    </row>
    <row r="6" spans="1:256" ht="13.5" customHeight="1" x14ac:dyDescent="0.2">
      <c r="A6" s="615"/>
      <c r="B6" s="616"/>
      <c r="C6" s="617"/>
      <c r="D6" s="617"/>
      <c r="E6" s="617"/>
      <c r="F6" s="617"/>
      <c r="G6" s="617"/>
      <c r="H6" s="617"/>
      <c r="I6" s="617"/>
      <c r="J6" s="617"/>
      <c r="K6" s="617"/>
      <c r="L6" s="617"/>
      <c r="M6" s="617"/>
      <c r="N6" s="617"/>
      <c r="O6" s="617"/>
      <c r="P6" s="617"/>
      <c r="Q6" s="617"/>
    </row>
    <row r="7" spans="1:256" ht="13.5" customHeight="1" x14ac:dyDescent="0.2">
      <c r="A7" s="618" t="s">
        <v>507</v>
      </c>
      <c r="B7" s="616"/>
      <c r="C7" s="619">
        <f>Invoerblad!K107+Invoerblad!K108</f>
        <v>0</v>
      </c>
      <c r="D7" s="619">
        <f>Invoerblad!L107+Invoerblad!L108</f>
        <v>0</v>
      </c>
      <c r="E7" s="619">
        <f>Invoerblad!M107+Invoerblad!M108</f>
        <v>0</v>
      </c>
      <c r="F7" s="619">
        <f>Invoerblad!N107+Invoerblad!N108</f>
        <v>0</v>
      </c>
      <c r="G7" s="619">
        <f>Invoerblad!O107+Invoerblad!O108</f>
        <v>0</v>
      </c>
      <c r="H7" s="619">
        <f>Invoerblad!P107+Invoerblad!P108</f>
        <v>0</v>
      </c>
      <c r="I7" s="619">
        <f>Invoerblad!Q107+Invoerblad!Q108</f>
        <v>0</v>
      </c>
      <c r="J7" s="619">
        <f>Invoerblad!R107+Invoerblad!R108</f>
        <v>0</v>
      </c>
      <c r="K7" s="619">
        <f>Invoerblad!S107+Invoerblad!S108</f>
        <v>0</v>
      </c>
      <c r="L7" s="619">
        <f>Invoerblad!T107+Invoerblad!T108</f>
        <v>0</v>
      </c>
      <c r="M7" s="619">
        <f>Invoerblad!U107+Invoerblad!U108</f>
        <v>0</v>
      </c>
      <c r="N7" s="619">
        <f>Invoerblad!V107+Invoerblad!V108</f>
        <v>0</v>
      </c>
      <c r="O7" s="619">
        <f>Invoerblad!W107+Invoerblad!W108</f>
        <v>0</v>
      </c>
      <c r="P7" s="620"/>
      <c r="Q7" s="620"/>
    </row>
    <row r="8" spans="1:256" ht="13.5" customHeight="1" x14ac:dyDescent="0.2">
      <c r="A8" s="618" t="s">
        <v>508</v>
      </c>
      <c r="B8" s="616"/>
      <c r="C8" s="619">
        <f>Invoerblad!K91+Invoerblad!K92+Invoerblad!K93</f>
        <v>0</v>
      </c>
      <c r="D8" s="619">
        <f>Invoerblad!L91+Invoerblad!L92+Invoerblad!L93</f>
        <v>0</v>
      </c>
      <c r="E8" s="619">
        <f>Invoerblad!M91+Invoerblad!M92+Invoerblad!M93</f>
        <v>0</v>
      </c>
      <c r="F8" s="619">
        <f>Invoerblad!N91+Invoerblad!N92+Invoerblad!N93</f>
        <v>0</v>
      </c>
      <c r="G8" s="619">
        <f>Invoerblad!O91+Invoerblad!O92+Invoerblad!O93</f>
        <v>0</v>
      </c>
      <c r="H8" s="619">
        <f>Invoerblad!P91+Invoerblad!P92+Invoerblad!P93</f>
        <v>0</v>
      </c>
      <c r="I8" s="619">
        <f>Invoerblad!Q91+Invoerblad!Q92+Invoerblad!Q93</f>
        <v>0</v>
      </c>
      <c r="J8" s="619">
        <f>Invoerblad!R91+Invoerblad!R92+Invoerblad!R93</f>
        <v>0</v>
      </c>
      <c r="K8" s="619">
        <f>Invoerblad!S91+Invoerblad!S92+Invoerblad!S93</f>
        <v>0</v>
      </c>
      <c r="L8" s="619">
        <f>Invoerblad!T91+Invoerblad!T92+Invoerblad!T93</f>
        <v>0</v>
      </c>
      <c r="M8" s="619">
        <f>Invoerblad!U91+Invoerblad!U92+Invoerblad!U93</f>
        <v>0</v>
      </c>
      <c r="N8" s="619">
        <f>Invoerblad!V91+Invoerblad!V92+Invoerblad!V93</f>
        <v>0</v>
      </c>
      <c r="O8" s="619">
        <f>Invoerblad!W91+Invoerblad!W92+Invoerblad!W93</f>
        <v>0</v>
      </c>
      <c r="P8" s="620"/>
      <c r="Q8" s="620"/>
    </row>
    <row r="9" spans="1:256" x14ac:dyDescent="0.2">
      <c r="A9" s="618" t="s">
        <v>56</v>
      </c>
      <c r="B9" s="616"/>
      <c r="C9" s="619">
        <f>SUM(Invoerblad!K109:K113)</f>
        <v>0</v>
      </c>
      <c r="D9" s="619">
        <f>SUM(Invoerblad!L109:L113)</f>
        <v>0</v>
      </c>
      <c r="E9" s="619">
        <f>SUM(Invoerblad!M109:M113)</f>
        <v>0</v>
      </c>
      <c r="F9" s="619">
        <f>SUM(Invoerblad!N109:N113)</f>
        <v>0</v>
      </c>
      <c r="G9" s="619">
        <f>SUM(Invoerblad!O109:O113)</f>
        <v>0</v>
      </c>
      <c r="H9" s="619">
        <f>SUM(Invoerblad!P109:P113)</f>
        <v>0</v>
      </c>
      <c r="I9" s="619">
        <f>SUM(Invoerblad!Q109:Q113)</f>
        <v>0</v>
      </c>
      <c r="J9" s="619">
        <f>SUM(Invoerblad!R109:R113)</f>
        <v>0</v>
      </c>
      <c r="K9" s="619">
        <f>SUM(Invoerblad!S109:S113)</f>
        <v>0</v>
      </c>
      <c r="L9" s="619">
        <f>SUM(Invoerblad!T109:T113)</f>
        <v>0</v>
      </c>
      <c r="M9" s="619">
        <f>SUM(Invoerblad!U109:U113)</f>
        <v>0</v>
      </c>
      <c r="N9" s="619">
        <f>SUM(Invoerblad!V109:V113)</f>
        <v>0</v>
      </c>
      <c r="O9" s="619">
        <f>SUM(Invoerblad!W109:W113)</f>
        <v>0</v>
      </c>
      <c r="P9" s="620"/>
      <c r="Q9" s="620"/>
    </row>
    <row r="10" spans="1:256" s="624" customFormat="1" ht="16.5" customHeight="1" x14ac:dyDescent="0.2">
      <c r="A10" s="621" t="s">
        <v>21</v>
      </c>
      <c r="B10" s="617"/>
      <c r="C10" s="622">
        <f t="shared" ref="C10:O10" si="0">SUM(C6:C9)</f>
        <v>0</v>
      </c>
      <c r="D10" s="622">
        <f t="shared" si="0"/>
        <v>0</v>
      </c>
      <c r="E10" s="622">
        <f t="shared" si="0"/>
        <v>0</v>
      </c>
      <c r="F10" s="622">
        <f t="shared" si="0"/>
        <v>0</v>
      </c>
      <c r="G10" s="622">
        <f t="shared" si="0"/>
        <v>0</v>
      </c>
      <c r="H10" s="622">
        <f t="shared" si="0"/>
        <v>0</v>
      </c>
      <c r="I10" s="622">
        <f t="shared" si="0"/>
        <v>0</v>
      </c>
      <c r="J10" s="622">
        <f t="shared" si="0"/>
        <v>0</v>
      </c>
      <c r="K10" s="622">
        <f t="shared" si="0"/>
        <v>0</v>
      </c>
      <c r="L10" s="622">
        <f t="shared" si="0"/>
        <v>0</v>
      </c>
      <c r="M10" s="622">
        <f t="shared" si="0"/>
        <v>0</v>
      </c>
      <c r="N10" s="622">
        <f t="shared" si="0"/>
        <v>0</v>
      </c>
      <c r="O10" s="622">
        <f t="shared" si="0"/>
        <v>0</v>
      </c>
      <c r="P10" s="623"/>
      <c r="Q10" s="623"/>
      <c r="R10" s="596"/>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c r="BA10" s="584"/>
      <c r="BB10" s="584"/>
      <c r="BC10" s="584"/>
      <c r="BD10" s="584"/>
      <c r="BE10" s="584"/>
      <c r="BF10" s="584"/>
      <c r="BG10" s="584"/>
      <c r="BH10" s="584"/>
      <c r="BI10" s="584"/>
      <c r="BJ10" s="584"/>
      <c r="BK10" s="584"/>
      <c r="BL10" s="584"/>
      <c r="BM10" s="584"/>
      <c r="BN10" s="584"/>
      <c r="BO10" s="584"/>
      <c r="BP10" s="584"/>
      <c r="BQ10" s="584"/>
      <c r="BR10" s="584"/>
      <c r="BS10" s="584"/>
      <c r="BT10" s="584"/>
      <c r="BU10" s="584"/>
      <c r="BV10" s="584"/>
      <c r="BW10" s="584"/>
      <c r="BX10" s="584"/>
      <c r="BY10" s="584"/>
      <c r="BZ10" s="584"/>
      <c r="CA10" s="584"/>
      <c r="CB10" s="584"/>
      <c r="CC10" s="584"/>
      <c r="CD10" s="584"/>
      <c r="CE10" s="584"/>
      <c r="CF10" s="584"/>
      <c r="CG10" s="584"/>
      <c r="CH10" s="584"/>
      <c r="CI10" s="584"/>
      <c r="CJ10" s="584"/>
      <c r="CK10" s="584"/>
      <c r="CL10" s="584"/>
      <c r="CM10" s="584"/>
      <c r="CN10" s="584"/>
      <c r="CO10" s="584"/>
      <c r="CP10" s="584"/>
      <c r="CQ10" s="584"/>
      <c r="CR10" s="584"/>
      <c r="CS10" s="584"/>
      <c r="CT10" s="584"/>
      <c r="CU10" s="584"/>
      <c r="CV10" s="584"/>
      <c r="CW10" s="584"/>
      <c r="CX10" s="584"/>
      <c r="CY10" s="584"/>
      <c r="CZ10" s="584"/>
      <c r="DA10" s="584"/>
      <c r="DB10" s="584"/>
      <c r="DC10" s="584"/>
      <c r="DD10" s="584"/>
      <c r="DE10" s="584"/>
      <c r="DF10" s="584"/>
      <c r="DG10" s="584"/>
      <c r="DH10" s="584"/>
      <c r="DI10" s="584"/>
      <c r="DJ10" s="584"/>
      <c r="DK10" s="584"/>
      <c r="DL10" s="584"/>
      <c r="DM10" s="584"/>
      <c r="DN10" s="584"/>
      <c r="DO10" s="584"/>
      <c r="DP10" s="584"/>
      <c r="DQ10" s="584"/>
      <c r="DR10" s="584"/>
      <c r="DS10" s="584"/>
      <c r="DT10" s="584"/>
      <c r="DU10" s="584"/>
      <c r="DV10" s="584"/>
      <c r="DW10" s="584"/>
      <c r="DX10" s="584"/>
      <c r="DY10" s="584"/>
      <c r="DZ10" s="584"/>
      <c r="EA10" s="584"/>
      <c r="EB10" s="584"/>
      <c r="EC10" s="584"/>
      <c r="ED10" s="584"/>
      <c r="EE10" s="584"/>
      <c r="EF10" s="584"/>
      <c r="EG10" s="584"/>
      <c r="EH10" s="584"/>
      <c r="EI10" s="584"/>
      <c r="EJ10" s="584"/>
      <c r="EK10" s="584"/>
      <c r="EL10" s="584"/>
      <c r="EM10" s="584"/>
      <c r="EN10" s="584"/>
      <c r="EO10" s="584"/>
      <c r="EP10" s="584"/>
      <c r="EQ10" s="584"/>
      <c r="ER10" s="584"/>
      <c r="ES10" s="584"/>
      <c r="ET10" s="584"/>
      <c r="EU10" s="584"/>
      <c r="EV10" s="584"/>
      <c r="EW10" s="584"/>
      <c r="EX10" s="584"/>
      <c r="EY10" s="584"/>
      <c r="EZ10" s="584"/>
      <c r="FA10" s="584"/>
      <c r="FB10" s="584"/>
      <c r="FC10" s="584"/>
      <c r="FD10" s="584"/>
      <c r="FE10" s="584"/>
      <c r="FF10" s="584"/>
      <c r="FG10" s="584"/>
      <c r="FH10" s="584"/>
      <c r="FI10" s="584"/>
      <c r="FJ10" s="584"/>
      <c r="FK10" s="584"/>
      <c r="FL10" s="584"/>
      <c r="FM10" s="584"/>
      <c r="FN10" s="584"/>
      <c r="FO10" s="584"/>
      <c r="FP10" s="584"/>
      <c r="FQ10" s="584"/>
      <c r="FR10" s="584"/>
      <c r="FS10" s="584"/>
      <c r="FT10" s="584"/>
      <c r="FU10" s="584"/>
      <c r="FV10" s="584"/>
      <c r="FW10" s="584"/>
      <c r="FX10" s="584"/>
      <c r="FY10" s="584"/>
      <c r="FZ10" s="584"/>
      <c r="GA10" s="584"/>
      <c r="GB10" s="584"/>
      <c r="GC10" s="584"/>
      <c r="GD10" s="584"/>
      <c r="GE10" s="584"/>
      <c r="GF10" s="584"/>
      <c r="GG10" s="584"/>
      <c r="GH10" s="584"/>
      <c r="GI10" s="584"/>
      <c r="GJ10" s="584"/>
      <c r="GK10" s="584"/>
      <c r="GL10" s="584"/>
      <c r="GM10" s="584"/>
      <c r="GN10" s="584"/>
      <c r="GO10" s="584"/>
      <c r="GP10" s="584"/>
      <c r="GQ10" s="584"/>
      <c r="GR10" s="584"/>
      <c r="GS10" s="584"/>
      <c r="GT10" s="584"/>
      <c r="GU10" s="584"/>
      <c r="GV10" s="584"/>
      <c r="GW10" s="584"/>
      <c r="GX10" s="584"/>
      <c r="GY10" s="584"/>
      <c r="GZ10" s="584"/>
      <c r="HA10" s="584"/>
      <c r="HB10" s="584"/>
      <c r="HC10" s="584"/>
      <c r="HD10" s="584"/>
      <c r="HE10" s="584"/>
      <c r="HF10" s="584"/>
      <c r="HG10" s="584"/>
      <c r="HH10" s="584"/>
      <c r="HI10" s="584"/>
      <c r="HJ10" s="584"/>
      <c r="HK10" s="584"/>
      <c r="HL10" s="584"/>
      <c r="HM10" s="584"/>
      <c r="HN10" s="584"/>
      <c r="HO10" s="584"/>
      <c r="HP10" s="584"/>
      <c r="HQ10" s="584"/>
      <c r="HR10" s="584"/>
      <c r="HS10" s="584"/>
      <c r="HT10" s="584"/>
      <c r="HU10" s="584"/>
      <c r="HV10" s="584"/>
      <c r="HW10" s="584"/>
      <c r="HX10" s="584"/>
      <c r="HY10" s="584"/>
      <c r="HZ10" s="584"/>
      <c r="IA10" s="584"/>
      <c r="IB10" s="584"/>
      <c r="IC10" s="584"/>
      <c r="ID10" s="584"/>
      <c r="IE10" s="584"/>
      <c r="IF10" s="584"/>
      <c r="IG10" s="584"/>
      <c r="IH10" s="584"/>
      <c r="II10" s="584"/>
      <c r="IJ10" s="584"/>
      <c r="IK10" s="584"/>
      <c r="IL10" s="584"/>
      <c r="IM10" s="584"/>
      <c r="IN10" s="584"/>
      <c r="IO10" s="584"/>
      <c r="IP10" s="584"/>
      <c r="IQ10" s="584"/>
      <c r="IR10" s="584"/>
      <c r="IS10" s="584"/>
      <c r="IT10" s="584"/>
      <c r="IU10" s="584"/>
      <c r="IV10" s="584"/>
    </row>
    <row r="11" spans="1:256" x14ac:dyDescent="0.2">
      <c r="A11" s="618"/>
      <c r="B11" s="616"/>
      <c r="C11" s="625"/>
      <c r="D11" s="625"/>
      <c r="E11" s="625"/>
      <c r="F11" s="625"/>
      <c r="G11" s="625"/>
      <c r="H11" s="625"/>
      <c r="I11" s="625"/>
      <c r="J11" s="625"/>
      <c r="K11" s="625"/>
      <c r="L11" s="625"/>
      <c r="M11" s="626"/>
      <c r="N11" s="626"/>
      <c r="O11" s="626"/>
      <c r="P11" s="626"/>
      <c r="Q11" s="626"/>
    </row>
    <row r="12" spans="1:256" x14ac:dyDescent="0.2">
      <c r="A12" s="618" t="s">
        <v>517</v>
      </c>
      <c r="B12" s="627"/>
      <c r="C12" s="619">
        <f>Invoerblad!K121</f>
        <v>0</v>
      </c>
      <c r="D12" s="619">
        <f>Invoerblad!L121</f>
        <v>0</v>
      </c>
      <c r="E12" s="619">
        <f>Invoerblad!M121</f>
        <v>0</v>
      </c>
      <c r="F12" s="619">
        <f>Invoerblad!N121</f>
        <v>0</v>
      </c>
      <c r="G12" s="619">
        <f>Invoerblad!O121</f>
        <v>0</v>
      </c>
      <c r="H12" s="619">
        <f>Invoerblad!P121</f>
        <v>0</v>
      </c>
      <c r="I12" s="619">
        <f>Invoerblad!Q121</f>
        <v>0</v>
      </c>
      <c r="J12" s="619">
        <f>Invoerblad!R121</f>
        <v>0</v>
      </c>
      <c r="K12" s="619">
        <f>Invoerblad!S121</f>
        <v>0</v>
      </c>
      <c r="L12" s="619">
        <f>Invoerblad!T121</f>
        <v>0</v>
      </c>
      <c r="M12" s="619">
        <f>Invoerblad!U121</f>
        <v>0</v>
      </c>
      <c r="N12" s="619">
        <f>Invoerblad!V121</f>
        <v>0</v>
      </c>
      <c r="O12" s="619">
        <f>Invoerblad!W121</f>
        <v>0</v>
      </c>
      <c r="P12" s="620"/>
      <c r="Q12" s="620"/>
    </row>
    <row r="13" spans="1:256" x14ac:dyDescent="0.2">
      <c r="A13" s="618" t="s">
        <v>518</v>
      </c>
      <c r="B13" s="627"/>
      <c r="C13" s="619">
        <f>Invoerblad!K122</f>
        <v>0</v>
      </c>
      <c r="D13" s="619">
        <f>Invoerblad!L122</f>
        <v>0</v>
      </c>
      <c r="E13" s="619">
        <f>Invoerblad!M122</f>
        <v>0</v>
      </c>
      <c r="F13" s="619">
        <f>Invoerblad!N122</f>
        <v>0</v>
      </c>
      <c r="G13" s="619">
        <f>Invoerblad!O122</f>
        <v>0</v>
      </c>
      <c r="H13" s="619">
        <f>Invoerblad!P122</f>
        <v>0</v>
      </c>
      <c r="I13" s="619">
        <f>Invoerblad!Q122</f>
        <v>0</v>
      </c>
      <c r="J13" s="619">
        <f>Invoerblad!R122</f>
        <v>0</v>
      </c>
      <c r="K13" s="619">
        <f>Invoerblad!S122</f>
        <v>0</v>
      </c>
      <c r="L13" s="619">
        <f>Invoerblad!T122</f>
        <v>0</v>
      </c>
      <c r="M13" s="619">
        <f>Invoerblad!U122</f>
        <v>0</v>
      </c>
      <c r="N13" s="619">
        <f>Invoerblad!V122</f>
        <v>0</v>
      </c>
      <c r="O13" s="619">
        <f>Invoerblad!W122</f>
        <v>0</v>
      </c>
      <c r="P13" s="618"/>
      <c r="Q13" s="618"/>
    </row>
    <row r="14" spans="1:256" x14ac:dyDescent="0.2">
      <c r="A14" s="618"/>
      <c r="B14" s="627"/>
      <c r="C14" s="618"/>
      <c r="D14" s="618"/>
      <c r="E14" s="618"/>
      <c r="F14" s="618"/>
      <c r="G14" s="618"/>
      <c r="H14" s="618"/>
      <c r="I14" s="618"/>
      <c r="J14" s="618"/>
      <c r="K14" s="618"/>
      <c r="L14" s="618"/>
      <c r="M14" s="618"/>
      <c r="N14" s="618"/>
      <c r="O14" s="618"/>
      <c r="P14" s="618"/>
      <c r="Q14" s="618"/>
    </row>
    <row r="15" spans="1:256" s="624" customFormat="1" x14ac:dyDescent="0.2">
      <c r="A15" s="628" t="s">
        <v>22</v>
      </c>
      <c r="B15" s="629"/>
      <c r="C15" s="630">
        <f t="shared" ref="C15:O15" si="1">SUM(C12:C14)</f>
        <v>0</v>
      </c>
      <c r="D15" s="630">
        <f t="shared" si="1"/>
        <v>0</v>
      </c>
      <c r="E15" s="630">
        <f t="shared" si="1"/>
        <v>0</v>
      </c>
      <c r="F15" s="630">
        <f t="shared" si="1"/>
        <v>0</v>
      </c>
      <c r="G15" s="630">
        <f t="shared" si="1"/>
        <v>0</v>
      </c>
      <c r="H15" s="630">
        <f t="shared" si="1"/>
        <v>0</v>
      </c>
      <c r="I15" s="630">
        <f t="shared" si="1"/>
        <v>0</v>
      </c>
      <c r="J15" s="630">
        <f t="shared" si="1"/>
        <v>0</v>
      </c>
      <c r="K15" s="630">
        <f t="shared" si="1"/>
        <v>0</v>
      </c>
      <c r="L15" s="630">
        <f t="shared" si="1"/>
        <v>0</v>
      </c>
      <c r="M15" s="630">
        <f t="shared" si="1"/>
        <v>0</v>
      </c>
      <c r="N15" s="630">
        <f t="shared" si="1"/>
        <v>0</v>
      </c>
      <c r="O15" s="630">
        <f t="shared" si="1"/>
        <v>0</v>
      </c>
      <c r="P15" s="630"/>
      <c r="Q15" s="630"/>
      <c r="R15" s="596"/>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584"/>
      <c r="AV15" s="584"/>
      <c r="AW15" s="584"/>
      <c r="AX15" s="584"/>
      <c r="AY15" s="584"/>
      <c r="AZ15" s="584"/>
      <c r="BA15" s="584"/>
      <c r="BB15" s="584"/>
      <c r="BC15" s="584"/>
      <c r="BD15" s="584"/>
      <c r="BE15" s="584"/>
      <c r="BF15" s="584"/>
      <c r="BG15" s="584"/>
      <c r="BH15" s="584"/>
      <c r="BI15" s="584"/>
      <c r="BJ15" s="584"/>
      <c r="BK15" s="584"/>
      <c r="BL15" s="584"/>
      <c r="BM15" s="584"/>
      <c r="BN15" s="584"/>
      <c r="BO15" s="584"/>
      <c r="BP15" s="584"/>
      <c r="BQ15" s="584"/>
      <c r="BR15" s="584"/>
      <c r="BS15" s="584"/>
      <c r="BT15" s="584"/>
      <c r="BU15" s="584"/>
      <c r="BV15" s="584"/>
      <c r="BW15" s="584"/>
      <c r="BX15" s="584"/>
      <c r="BY15" s="584"/>
      <c r="BZ15" s="584"/>
      <c r="CA15" s="584"/>
      <c r="CB15" s="584"/>
      <c r="CC15" s="584"/>
      <c r="CD15" s="584"/>
      <c r="CE15" s="584"/>
      <c r="CF15" s="584"/>
      <c r="CG15" s="584"/>
      <c r="CH15" s="584"/>
      <c r="CI15" s="584"/>
      <c r="CJ15" s="584"/>
      <c r="CK15" s="584"/>
      <c r="CL15" s="584"/>
      <c r="CM15" s="584"/>
      <c r="CN15" s="584"/>
      <c r="CO15" s="584"/>
      <c r="CP15" s="584"/>
      <c r="CQ15" s="584"/>
      <c r="CR15" s="584"/>
      <c r="CS15" s="584"/>
      <c r="CT15" s="584"/>
      <c r="CU15" s="584"/>
      <c r="CV15" s="584"/>
      <c r="CW15" s="584"/>
      <c r="CX15" s="584"/>
      <c r="CY15" s="584"/>
      <c r="CZ15" s="584"/>
      <c r="DA15" s="584"/>
      <c r="DB15" s="584"/>
      <c r="DC15" s="584"/>
      <c r="DD15" s="584"/>
      <c r="DE15" s="584"/>
      <c r="DF15" s="584"/>
      <c r="DG15" s="584"/>
      <c r="DH15" s="584"/>
      <c r="DI15" s="584"/>
      <c r="DJ15" s="584"/>
      <c r="DK15" s="584"/>
      <c r="DL15" s="584"/>
      <c r="DM15" s="584"/>
      <c r="DN15" s="584"/>
      <c r="DO15" s="584"/>
      <c r="DP15" s="584"/>
      <c r="DQ15" s="584"/>
      <c r="DR15" s="584"/>
      <c r="DS15" s="584"/>
      <c r="DT15" s="584"/>
      <c r="DU15" s="584"/>
      <c r="DV15" s="584"/>
      <c r="DW15" s="584"/>
      <c r="DX15" s="584"/>
      <c r="DY15" s="584"/>
      <c r="DZ15" s="584"/>
      <c r="EA15" s="584"/>
      <c r="EB15" s="584"/>
      <c r="EC15" s="584"/>
      <c r="ED15" s="584"/>
      <c r="EE15" s="584"/>
      <c r="EF15" s="584"/>
      <c r="EG15" s="584"/>
      <c r="EH15" s="584"/>
      <c r="EI15" s="584"/>
      <c r="EJ15" s="584"/>
      <c r="EK15" s="584"/>
      <c r="EL15" s="584"/>
      <c r="EM15" s="584"/>
      <c r="EN15" s="584"/>
      <c r="EO15" s="584"/>
      <c r="EP15" s="584"/>
      <c r="EQ15" s="584"/>
      <c r="ER15" s="584"/>
      <c r="ES15" s="584"/>
      <c r="ET15" s="584"/>
      <c r="EU15" s="584"/>
      <c r="EV15" s="584"/>
      <c r="EW15" s="584"/>
      <c r="EX15" s="584"/>
      <c r="EY15" s="584"/>
      <c r="EZ15" s="584"/>
      <c r="FA15" s="584"/>
      <c r="FB15" s="584"/>
      <c r="FC15" s="584"/>
      <c r="FD15" s="584"/>
      <c r="FE15" s="584"/>
      <c r="FF15" s="584"/>
      <c r="FG15" s="584"/>
      <c r="FH15" s="584"/>
      <c r="FI15" s="584"/>
      <c r="FJ15" s="584"/>
      <c r="FK15" s="584"/>
      <c r="FL15" s="584"/>
      <c r="FM15" s="584"/>
      <c r="FN15" s="584"/>
      <c r="FO15" s="584"/>
      <c r="FP15" s="584"/>
      <c r="FQ15" s="584"/>
      <c r="FR15" s="584"/>
      <c r="FS15" s="584"/>
      <c r="FT15" s="584"/>
      <c r="FU15" s="584"/>
      <c r="FV15" s="584"/>
      <c r="FW15" s="584"/>
      <c r="FX15" s="584"/>
      <c r="FY15" s="584"/>
      <c r="FZ15" s="584"/>
      <c r="GA15" s="584"/>
      <c r="GB15" s="584"/>
      <c r="GC15" s="584"/>
      <c r="GD15" s="584"/>
      <c r="GE15" s="584"/>
      <c r="GF15" s="584"/>
      <c r="GG15" s="584"/>
      <c r="GH15" s="584"/>
      <c r="GI15" s="584"/>
      <c r="GJ15" s="584"/>
      <c r="GK15" s="584"/>
      <c r="GL15" s="584"/>
      <c r="GM15" s="584"/>
      <c r="GN15" s="584"/>
      <c r="GO15" s="584"/>
      <c r="GP15" s="584"/>
      <c r="GQ15" s="584"/>
      <c r="GR15" s="584"/>
      <c r="GS15" s="584"/>
      <c r="GT15" s="584"/>
      <c r="GU15" s="584"/>
      <c r="GV15" s="584"/>
      <c r="GW15" s="584"/>
      <c r="GX15" s="584"/>
      <c r="GY15" s="584"/>
      <c r="GZ15" s="584"/>
      <c r="HA15" s="584"/>
      <c r="HB15" s="584"/>
      <c r="HC15" s="584"/>
      <c r="HD15" s="584"/>
      <c r="HE15" s="584"/>
      <c r="HF15" s="584"/>
      <c r="HG15" s="584"/>
      <c r="HH15" s="584"/>
      <c r="HI15" s="584"/>
      <c r="HJ15" s="584"/>
      <c r="HK15" s="584"/>
      <c r="HL15" s="584"/>
      <c r="HM15" s="584"/>
      <c r="HN15" s="584"/>
      <c r="HO15" s="584"/>
      <c r="HP15" s="584"/>
      <c r="HQ15" s="584"/>
      <c r="HR15" s="584"/>
      <c r="HS15" s="584"/>
      <c r="HT15" s="584"/>
      <c r="HU15" s="584"/>
      <c r="HV15" s="584"/>
      <c r="HW15" s="584"/>
      <c r="HX15" s="584"/>
      <c r="HY15" s="584"/>
      <c r="HZ15" s="584"/>
      <c r="IA15" s="584"/>
      <c r="IB15" s="584"/>
      <c r="IC15" s="584"/>
      <c r="ID15" s="584"/>
      <c r="IE15" s="584"/>
      <c r="IF15" s="584"/>
      <c r="IG15" s="584"/>
      <c r="IH15" s="584"/>
      <c r="II15" s="584"/>
      <c r="IJ15" s="584"/>
      <c r="IK15" s="584"/>
      <c r="IL15" s="584"/>
      <c r="IM15" s="584"/>
      <c r="IN15" s="584"/>
      <c r="IO15" s="584"/>
      <c r="IP15" s="584"/>
      <c r="IQ15" s="584"/>
      <c r="IR15" s="584"/>
      <c r="IS15" s="584"/>
      <c r="IT15" s="584"/>
      <c r="IU15" s="584"/>
      <c r="IV15" s="584"/>
    </row>
    <row r="16" spans="1:256" s="624" customFormat="1" x14ac:dyDescent="0.2">
      <c r="A16" s="579"/>
      <c r="B16" s="629"/>
      <c r="C16" s="620"/>
      <c r="D16" s="620"/>
      <c r="E16" s="620"/>
      <c r="F16" s="620"/>
      <c r="G16" s="620"/>
      <c r="H16" s="620"/>
      <c r="I16" s="620"/>
      <c r="J16" s="620"/>
      <c r="K16" s="620"/>
      <c r="L16" s="620"/>
      <c r="M16" s="620"/>
      <c r="N16" s="620"/>
      <c r="O16" s="620"/>
      <c r="P16" s="620"/>
      <c r="Q16" s="620"/>
      <c r="R16" s="596"/>
      <c r="S16" s="584"/>
      <c r="T16" s="584"/>
      <c r="U16" s="584"/>
      <c r="V16" s="584"/>
      <c r="W16" s="584"/>
      <c r="X16" s="584"/>
      <c r="Y16" s="584"/>
      <c r="Z16" s="584"/>
      <c r="AA16" s="584"/>
      <c r="AB16" s="584"/>
      <c r="AC16" s="584"/>
      <c r="AD16" s="584"/>
      <c r="AE16" s="584"/>
      <c r="AF16" s="584"/>
      <c r="AG16" s="584"/>
      <c r="AH16" s="584"/>
      <c r="AI16" s="584"/>
      <c r="AJ16" s="584"/>
      <c r="AK16" s="584"/>
      <c r="AL16" s="584"/>
      <c r="AM16" s="584"/>
      <c r="AN16" s="584"/>
      <c r="AO16" s="584"/>
      <c r="AP16" s="584"/>
      <c r="AQ16" s="584"/>
      <c r="AR16" s="584"/>
      <c r="AS16" s="584"/>
      <c r="AT16" s="584"/>
      <c r="AU16" s="584"/>
      <c r="AV16" s="584"/>
      <c r="AW16" s="584"/>
      <c r="AX16" s="584"/>
      <c r="AY16" s="584"/>
      <c r="AZ16" s="584"/>
      <c r="BA16" s="584"/>
      <c r="BB16" s="584"/>
      <c r="BC16" s="584"/>
      <c r="BD16" s="584"/>
      <c r="BE16" s="584"/>
      <c r="BF16" s="584"/>
      <c r="BG16" s="584"/>
      <c r="BH16" s="584"/>
      <c r="BI16" s="584"/>
      <c r="BJ16" s="584"/>
      <c r="BK16" s="584"/>
      <c r="BL16" s="584"/>
      <c r="BM16" s="584"/>
      <c r="BN16" s="584"/>
      <c r="BO16" s="584"/>
      <c r="BP16" s="584"/>
      <c r="BQ16" s="584"/>
      <c r="BR16" s="584"/>
      <c r="BS16" s="584"/>
      <c r="BT16" s="584"/>
      <c r="BU16" s="584"/>
      <c r="BV16" s="584"/>
      <c r="BW16" s="584"/>
      <c r="BX16" s="584"/>
      <c r="BY16" s="584"/>
      <c r="BZ16" s="584"/>
      <c r="CA16" s="584"/>
      <c r="CB16" s="584"/>
      <c r="CC16" s="584"/>
      <c r="CD16" s="584"/>
      <c r="CE16" s="584"/>
      <c r="CF16" s="584"/>
      <c r="CG16" s="584"/>
      <c r="CH16" s="584"/>
      <c r="CI16" s="584"/>
      <c r="CJ16" s="584"/>
      <c r="CK16" s="584"/>
      <c r="CL16" s="584"/>
      <c r="CM16" s="584"/>
      <c r="CN16" s="584"/>
      <c r="CO16" s="584"/>
      <c r="CP16" s="584"/>
      <c r="CQ16" s="584"/>
      <c r="CR16" s="584"/>
      <c r="CS16" s="584"/>
      <c r="CT16" s="584"/>
      <c r="CU16" s="584"/>
      <c r="CV16" s="584"/>
      <c r="CW16" s="584"/>
      <c r="CX16" s="584"/>
      <c r="CY16" s="584"/>
      <c r="CZ16" s="584"/>
      <c r="DA16" s="584"/>
      <c r="DB16" s="584"/>
      <c r="DC16" s="584"/>
      <c r="DD16" s="584"/>
      <c r="DE16" s="584"/>
      <c r="DF16" s="584"/>
      <c r="DG16" s="584"/>
      <c r="DH16" s="584"/>
      <c r="DI16" s="584"/>
      <c r="DJ16" s="584"/>
      <c r="DK16" s="584"/>
      <c r="DL16" s="584"/>
      <c r="DM16" s="584"/>
      <c r="DN16" s="584"/>
      <c r="DO16" s="584"/>
      <c r="DP16" s="584"/>
      <c r="DQ16" s="584"/>
      <c r="DR16" s="584"/>
      <c r="DS16" s="584"/>
      <c r="DT16" s="584"/>
      <c r="DU16" s="584"/>
      <c r="DV16" s="584"/>
      <c r="DW16" s="584"/>
      <c r="DX16" s="584"/>
      <c r="DY16" s="584"/>
      <c r="DZ16" s="584"/>
      <c r="EA16" s="584"/>
      <c r="EB16" s="584"/>
      <c r="EC16" s="584"/>
      <c r="ED16" s="584"/>
      <c r="EE16" s="584"/>
      <c r="EF16" s="584"/>
      <c r="EG16" s="584"/>
      <c r="EH16" s="584"/>
      <c r="EI16" s="584"/>
      <c r="EJ16" s="584"/>
      <c r="EK16" s="584"/>
      <c r="EL16" s="584"/>
      <c r="EM16" s="584"/>
      <c r="EN16" s="584"/>
      <c r="EO16" s="584"/>
      <c r="EP16" s="584"/>
      <c r="EQ16" s="584"/>
      <c r="ER16" s="584"/>
      <c r="ES16" s="584"/>
      <c r="ET16" s="584"/>
      <c r="EU16" s="584"/>
      <c r="EV16" s="584"/>
      <c r="EW16" s="584"/>
      <c r="EX16" s="584"/>
      <c r="EY16" s="584"/>
      <c r="EZ16" s="584"/>
      <c r="FA16" s="584"/>
      <c r="FB16" s="584"/>
      <c r="FC16" s="584"/>
      <c r="FD16" s="584"/>
      <c r="FE16" s="584"/>
      <c r="FF16" s="584"/>
      <c r="FG16" s="584"/>
      <c r="FH16" s="584"/>
      <c r="FI16" s="584"/>
      <c r="FJ16" s="584"/>
      <c r="FK16" s="584"/>
      <c r="FL16" s="584"/>
      <c r="FM16" s="584"/>
      <c r="FN16" s="584"/>
      <c r="FO16" s="584"/>
      <c r="FP16" s="584"/>
      <c r="FQ16" s="584"/>
      <c r="FR16" s="584"/>
      <c r="FS16" s="584"/>
      <c r="FT16" s="584"/>
      <c r="FU16" s="584"/>
      <c r="FV16" s="584"/>
      <c r="FW16" s="584"/>
      <c r="FX16" s="584"/>
      <c r="FY16" s="584"/>
      <c r="FZ16" s="584"/>
      <c r="GA16" s="584"/>
      <c r="GB16" s="584"/>
      <c r="GC16" s="584"/>
      <c r="GD16" s="584"/>
      <c r="GE16" s="584"/>
      <c r="GF16" s="584"/>
      <c r="GG16" s="584"/>
      <c r="GH16" s="584"/>
      <c r="GI16" s="584"/>
      <c r="GJ16" s="584"/>
      <c r="GK16" s="584"/>
      <c r="GL16" s="584"/>
      <c r="GM16" s="584"/>
      <c r="GN16" s="584"/>
      <c r="GO16" s="584"/>
      <c r="GP16" s="584"/>
      <c r="GQ16" s="584"/>
      <c r="GR16" s="584"/>
      <c r="GS16" s="584"/>
      <c r="GT16" s="584"/>
      <c r="GU16" s="584"/>
      <c r="GV16" s="584"/>
      <c r="GW16" s="584"/>
      <c r="GX16" s="584"/>
      <c r="GY16" s="584"/>
      <c r="GZ16" s="584"/>
      <c r="HA16" s="584"/>
      <c r="HB16" s="584"/>
      <c r="HC16" s="584"/>
      <c r="HD16" s="584"/>
      <c r="HE16" s="584"/>
      <c r="HF16" s="584"/>
      <c r="HG16" s="584"/>
      <c r="HH16" s="584"/>
      <c r="HI16" s="584"/>
      <c r="HJ16" s="584"/>
      <c r="HK16" s="584"/>
      <c r="HL16" s="584"/>
      <c r="HM16" s="584"/>
      <c r="HN16" s="584"/>
      <c r="HO16" s="584"/>
      <c r="HP16" s="584"/>
      <c r="HQ16" s="584"/>
      <c r="HR16" s="584"/>
      <c r="HS16" s="584"/>
      <c r="HT16" s="584"/>
      <c r="HU16" s="584"/>
      <c r="HV16" s="584"/>
      <c r="HW16" s="584"/>
      <c r="HX16" s="584"/>
      <c r="HY16" s="584"/>
      <c r="HZ16" s="584"/>
      <c r="IA16" s="584"/>
      <c r="IB16" s="584"/>
      <c r="IC16" s="584"/>
      <c r="ID16" s="584"/>
      <c r="IE16" s="584"/>
      <c r="IF16" s="584"/>
      <c r="IG16" s="584"/>
      <c r="IH16" s="584"/>
      <c r="II16" s="584"/>
      <c r="IJ16" s="584"/>
      <c r="IK16" s="584"/>
      <c r="IL16" s="584"/>
      <c r="IM16" s="584"/>
      <c r="IN16" s="584"/>
      <c r="IO16" s="584"/>
      <c r="IP16" s="584"/>
      <c r="IQ16" s="584"/>
      <c r="IR16" s="584"/>
      <c r="IS16" s="584"/>
      <c r="IT16" s="584"/>
      <c r="IU16" s="584"/>
      <c r="IV16" s="584"/>
    </row>
    <row r="17" spans="1:256" s="624" customFormat="1" x14ac:dyDescent="0.2">
      <c r="A17" s="579" t="s">
        <v>15</v>
      </c>
      <c r="B17" s="620"/>
      <c r="C17" s="619">
        <f>hulp!D6</f>
        <v>0</v>
      </c>
      <c r="D17" s="619">
        <f>hulp!E6</f>
        <v>0</v>
      </c>
      <c r="E17" s="619">
        <f>hulp!F6</f>
        <v>0</v>
      </c>
      <c r="F17" s="619">
        <f>hulp!G6</f>
        <v>0</v>
      </c>
      <c r="G17" s="619">
        <f>hulp!H6</f>
        <v>0</v>
      </c>
      <c r="H17" s="619">
        <f>hulp!I6</f>
        <v>0</v>
      </c>
      <c r="I17" s="619">
        <f>hulp!J6</f>
        <v>0</v>
      </c>
      <c r="J17" s="619">
        <f>hulp!K6</f>
        <v>0</v>
      </c>
      <c r="K17" s="619">
        <f>hulp!L6</f>
        <v>0</v>
      </c>
      <c r="L17" s="619">
        <f>hulp!M6</f>
        <v>0</v>
      </c>
      <c r="M17" s="619">
        <f>hulp!N6</f>
        <v>0</v>
      </c>
      <c r="N17" s="619">
        <f>hulp!O6</f>
        <v>0</v>
      </c>
      <c r="O17" s="619">
        <f>hulp!P6</f>
        <v>0</v>
      </c>
      <c r="P17" s="619">
        <v>0</v>
      </c>
      <c r="Q17" s="619">
        <v>0</v>
      </c>
      <c r="R17" s="596" t="s">
        <v>509</v>
      </c>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4"/>
      <c r="AP17" s="584"/>
      <c r="AQ17" s="584"/>
      <c r="AR17" s="584"/>
      <c r="AS17" s="584"/>
      <c r="AT17" s="584"/>
      <c r="AU17" s="584"/>
      <c r="AV17" s="584"/>
      <c r="AW17" s="584"/>
      <c r="AX17" s="584"/>
      <c r="AY17" s="584"/>
      <c r="AZ17" s="584"/>
      <c r="BA17" s="584"/>
      <c r="BB17" s="584"/>
      <c r="BC17" s="584"/>
      <c r="BD17" s="584"/>
      <c r="BE17" s="584"/>
      <c r="BF17" s="584"/>
      <c r="BG17" s="584"/>
      <c r="BH17" s="584"/>
      <c r="BI17" s="584"/>
      <c r="BJ17" s="584"/>
      <c r="BK17" s="584"/>
      <c r="BL17" s="584"/>
      <c r="BM17" s="584"/>
      <c r="BN17" s="584"/>
      <c r="BO17" s="584"/>
      <c r="BP17" s="584"/>
      <c r="BQ17" s="584"/>
      <c r="BR17" s="584"/>
      <c r="BS17" s="584"/>
      <c r="BT17" s="584"/>
      <c r="BU17" s="584"/>
      <c r="BV17" s="584"/>
      <c r="BW17" s="584"/>
      <c r="BX17" s="584"/>
      <c r="BY17" s="584"/>
      <c r="BZ17" s="584"/>
      <c r="CA17" s="584"/>
      <c r="CB17" s="584"/>
      <c r="CC17" s="584"/>
      <c r="CD17" s="584"/>
      <c r="CE17" s="584"/>
      <c r="CF17" s="584"/>
      <c r="CG17" s="584"/>
      <c r="CH17" s="584"/>
      <c r="CI17" s="584"/>
      <c r="CJ17" s="584"/>
      <c r="CK17" s="584"/>
      <c r="CL17" s="584"/>
      <c r="CM17" s="584"/>
      <c r="CN17" s="584"/>
      <c r="CO17" s="584"/>
      <c r="CP17" s="584"/>
      <c r="CQ17" s="584"/>
      <c r="CR17" s="584"/>
      <c r="CS17" s="584"/>
      <c r="CT17" s="584"/>
      <c r="CU17" s="584"/>
      <c r="CV17" s="584"/>
      <c r="CW17" s="584"/>
      <c r="CX17" s="584"/>
      <c r="CY17" s="584"/>
      <c r="CZ17" s="584"/>
      <c r="DA17" s="584"/>
      <c r="DB17" s="584"/>
      <c r="DC17" s="584"/>
      <c r="DD17" s="584"/>
      <c r="DE17" s="584"/>
      <c r="DF17" s="584"/>
      <c r="DG17" s="584"/>
      <c r="DH17" s="584"/>
      <c r="DI17" s="584"/>
      <c r="DJ17" s="584"/>
      <c r="DK17" s="584"/>
      <c r="DL17" s="584"/>
      <c r="DM17" s="584"/>
      <c r="DN17" s="584"/>
      <c r="DO17" s="584"/>
      <c r="DP17" s="584"/>
      <c r="DQ17" s="584"/>
      <c r="DR17" s="584"/>
      <c r="DS17" s="584"/>
      <c r="DT17" s="584"/>
      <c r="DU17" s="584"/>
      <c r="DV17" s="584"/>
      <c r="DW17" s="584"/>
      <c r="DX17" s="584"/>
      <c r="DY17" s="584"/>
      <c r="DZ17" s="584"/>
      <c r="EA17" s="584"/>
      <c r="EB17" s="584"/>
      <c r="EC17" s="584"/>
      <c r="ED17" s="584"/>
      <c r="EE17" s="584"/>
      <c r="EF17" s="584"/>
      <c r="EG17" s="584"/>
      <c r="EH17" s="584"/>
      <c r="EI17" s="584"/>
      <c r="EJ17" s="584"/>
      <c r="EK17" s="584"/>
      <c r="EL17" s="584"/>
      <c r="EM17" s="584"/>
      <c r="EN17" s="584"/>
      <c r="EO17" s="584"/>
      <c r="EP17" s="584"/>
      <c r="EQ17" s="584"/>
      <c r="ER17" s="584"/>
      <c r="ES17" s="584"/>
      <c r="ET17" s="584"/>
      <c r="EU17" s="584"/>
      <c r="EV17" s="584"/>
      <c r="EW17" s="584"/>
      <c r="EX17" s="584"/>
      <c r="EY17" s="584"/>
      <c r="EZ17" s="584"/>
      <c r="FA17" s="584"/>
      <c r="FB17" s="584"/>
      <c r="FC17" s="584"/>
      <c r="FD17" s="584"/>
      <c r="FE17" s="584"/>
      <c r="FF17" s="584"/>
      <c r="FG17" s="584"/>
      <c r="FH17" s="584"/>
      <c r="FI17" s="584"/>
      <c r="FJ17" s="584"/>
      <c r="FK17" s="584"/>
      <c r="FL17" s="584"/>
      <c r="FM17" s="584"/>
      <c r="FN17" s="584"/>
      <c r="FO17" s="584"/>
      <c r="FP17" s="584"/>
      <c r="FQ17" s="584"/>
      <c r="FR17" s="584"/>
      <c r="FS17" s="584"/>
      <c r="FT17" s="584"/>
      <c r="FU17" s="584"/>
      <c r="FV17" s="584"/>
      <c r="FW17" s="584"/>
      <c r="FX17" s="584"/>
      <c r="FY17" s="584"/>
      <c r="FZ17" s="584"/>
      <c r="GA17" s="584"/>
      <c r="GB17" s="584"/>
      <c r="GC17" s="584"/>
      <c r="GD17" s="584"/>
      <c r="GE17" s="584"/>
      <c r="GF17" s="584"/>
      <c r="GG17" s="584"/>
      <c r="GH17" s="584"/>
      <c r="GI17" s="584"/>
      <c r="GJ17" s="584"/>
      <c r="GK17" s="584"/>
      <c r="GL17" s="584"/>
      <c r="GM17" s="584"/>
      <c r="GN17" s="584"/>
      <c r="GO17" s="584"/>
      <c r="GP17" s="584"/>
      <c r="GQ17" s="584"/>
      <c r="GR17" s="584"/>
      <c r="GS17" s="584"/>
      <c r="GT17" s="584"/>
      <c r="GU17" s="584"/>
      <c r="GV17" s="584"/>
      <c r="GW17" s="584"/>
      <c r="GX17" s="584"/>
      <c r="GY17" s="584"/>
      <c r="GZ17" s="584"/>
      <c r="HA17" s="584"/>
      <c r="HB17" s="584"/>
      <c r="HC17" s="584"/>
      <c r="HD17" s="584"/>
      <c r="HE17" s="584"/>
      <c r="HF17" s="584"/>
      <c r="HG17" s="584"/>
      <c r="HH17" s="584"/>
      <c r="HI17" s="584"/>
      <c r="HJ17" s="584"/>
      <c r="HK17" s="584"/>
      <c r="HL17" s="584"/>
      <c r="HM17" s="584"/>
      <c r="HN17" s="584"/>
      <c r="HO17" s="584"/>
      <c r="HP17" s="584"/>
      <c r="HQ17" s="584"/>
      <c r="HR17" s="584"/>
      <c r="HS17" s="584"/>
      <c r="HT17" s="584"/>
      <c r="HU17" s="584"/>
      <c r="HV17" s="584"/>
      <c r="HW17" s="584"/>
      <c r="HX17" s="584"/>
      <c r="HY17" s="584"/>
      <c r="HZ17" s="584"/>
      <c r="IA17" s="584"/>
      <c r="IB17" s="584"/>
      <c r="IC17" s="584"/>
      <c r="ID17" s="584"/>
      <c r="IE17" s="584"/>
      <c r="IF17" s="584"/>
      <c r="IG17" s="584"/>
      <c r="IH17" s="584"/>
      <c r="II17" s="584"/>
      <c r="IJ17" s="584"/>
      <c r="IK17" s="584"/>
      <c r="IL17" s="584"/>
      <c r="IM17" s="584"/>
      <c r="IN17" s="584"/>
      <c r="IO17" s="584"/>
      <c r="IP17" s="584"/>
      <c r="IQ17" s="584"/>
      <c r="IR17" s="584"/>
      <c r="IS17" s="584"/>
      <c r="IT17" s="584"/>
      <c r="IU17" s="584"/>
      <c r="IV17" s="584"/>
    </row>
    <row r="18" spans="1:256" s="624" customFormat="1" ht="13.5" customHeight="1" x14ac:dyDescent="0.2">
      <c r="A18" s="579" t="s">
        <v>16</v>
      </c>
      <c r="B18" s="629"/>
      <c r="C18" s="619">
        <f>'Rendement geinv. vermogen'!C14</f>
        <v>0</v>
      </c>
      <c r="D18" s="619">
        <f>'Rendement geinv. vermogen'!D14</f>
        <v>0</v>
      </c>
      <c r="E18" s="619">
        <f>'Rendement geinv. vermogen'!E14</f>
        <v>0</v>
      </c>
      <c r="F18" s="619">
        <f>'Rendement geinv. vermogen'!F14</f>
        <v>0</v>
      </c>
      <c r="G18" s="619">
        <f>'Rendement geinv. vermogen'!G14</f>
        <v>0</v>
      </c>
      <c r="H18" s="619">
        <f>'Rendement geinv. vermogen'!H14</f>
        <v>0</v>
      </c>
      <c r="I18" s="619">
        <f>'Rendement geinv. vermogen'!I14</f>
        <v>0</v>
      </c>
      <c r="J18" s="619">
        <f>'Rendement geinv. vermogen'!J14</f>
        <v>0</v>
      </c>
      <c r="K18" s="619">
        <f>'Rendement geinv. vermogen'!K14</f>
        <v>0</v>
      </c>
      <c r="L18" s="619">
        <f>'Rendement geinv. vermogen'!L14</f>
        <v>0</v>
      </c>
      <c r="M18" s="619">
        <f>'Rendement geinv. vermogen'!M14</f>
        <v>0</v>
      </c>
      <c r="N18" s="619">
        <f>'Rendement geinv. vermogen'!N14</f>
        <v>0</v>
      </c>
      <c r="O18" s="619">
        <f>'Rendement geinv. vermogen'!O14</f>
        <v>0</v>
      </c>
      <c r="P18" s="620"/>
      <c r="Q18" s="620"/>
      <c r="R18" s="596" t="s">
        <v>510</v>
      </c>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4"/>
      <c r="AV18" s="584"/>
      <c r="AW18" s="584"/>
      <c r="AX18" s="584"/>
      <c r="AY18" s="584"/>
      <c r="AZ18" s="584"/>
      <c r="BA18" s="584"/>
      <c r="BB18" s="584"/>
      <c r="BC18" s="584"/>
      <c r="BD18" s="584"/>
      <c r="BE18" s="584"/>
      <c r="BF18" s="584"/>
      <c r="BG18" s="584"/>
      <c r="BH18" s="584"/>
      <c r="BI18" s="584"/>
      <c r="BJ18" s="584"/>
      <c r="BK18" s="584"/>
      <c r="BL18" s="584"/>
      <c r="BM18" s="584"/>
      <c r="BN18" s="584"/>
      <c r="BO18" s="584"/>
      <c r="BP18" s="584"/>
      <c r="BQ18" s="584"/>
      <c r="BR18" s="584"/>
      <c r="BS18" s="584"/>
      <c r="BT18" s="584"/>
      <c r="BU18" s="584"/>
      <c r="BV18" s="584"/>
      <c r="BW18" s="584"/>
      <c r="BX18" s="584"/>
      <c r="BY18" s="584"/>
      <c r="BZ18" s="584"/>
      <c r="CA18" s="584"/>
      <c r="CB18" s="584"/>
      <c r="CC18" s="584"/>
      <c r="CD18" s="584"/>
      <c r="CE18" s="584"/>
      <c r="CF18" s="584"/>
      <c r="CG18" s="584"/>
      <c r="CH18" s="584"/>
      <c r="CI18" s="584"/>
      <c r="CJ18" s="584"/>
      <c r="CK18" s="584"/>
      <c r="CL18" s="584"/>
      <c r="CM18" s="584"/>
      <c r="CN18" s="584"/>
      <c r="CO18" s="584"/>
      <c r="CP18" s="584"/>
      <c r="CQ18" s="584"/>
      <c r="CR18" s="584"/>
      <c r="CS18" s="584"/>
      <c r="CT18" s="584"/>
      <c r="CU18" s="584"/>
      <c r="CV18" s="584"/>
      <c r="CW18" s="584"/>
      <c r="CX18" s="584"/>
      <c r="CY18" s="584"/>
      <c r="CZ18" s="584"/>
      <c r="DA18" s="584"/>
      <c r="DB18" s="584"/>
      <c r="DC18" s="584"/>
      <c r="DD18" s="584"/>
      <c r="DE18" s="584"/>
      <c r="DF18" s="584"/>
      <c r="DG18" s="584"/>
      <c r="DH18" s="584"/>
      <c r="DI18" s="584"/>
      <c r="DJ18" s="584"/>
      <c r="DK18" s="584"/>
      <c r="DL18" s="584"/>
      <c r="DM18" s="584"/>
      <c r="DN18" s="584"/>
      <c r="DO18" s="584"/>
      <c r="DP18" s="584"/>
      <c r="DQ18" s="584"/>
      <c r="DR18" s="584"/>
      <c r="DS18" s="584"/>
      <c r="DT18" s="584"/>
      <c r="DU18" s="584"/>
      <c r="DV18" s="584"/>
      <c r="DW18" s="584"/>
      <c r="DX18" s="584"/>
      <c r="DY18" s="584"/>
      <c r="DZ18" s="584"/>
      <c r="EA18" s="584"/>
      <c r="EB18" s="584"/>
      <c r="EC18" s="584"/>
      <c r="ED18" s="584"/>
      <c r="EE18" s="584"/>
      <c r="EF18" s="584"/>
      <c r="EG18" s="584"/>
      <c r="EH18" s="584"/>
      <c r="EI18" s="584"/>
      <c r="EJ18" s="584"/>
      <c r="EK18" s="584"/>
      <c r="EL18" s="584"/>
      <c r="EM18" s="584"/>
      <c r="EN18" s="584"/>
      <c r="EO18" s="584"/>
      <c r="EP18" s="584"/>
      <c r="EQ18" s="584"/>
      <c r="ER18" s="584"/>
      <c r="ES18" s="584"/>
      <c r="ET18" s="584"/>
      <c r="EU18" s="584"/>
      <c r="EV18" s="584"/>
      <c r="EW18" s="584"/>
      <c r="EX18" s="584"/>
      <c r="EY18" s="584"/>
      <c r="EZ18" s="584"/>
      <c r="FA18" s="584"/>
      <c r="FB18" s="584"/>
      <c r="FC18" s="584"/>
      <c r="FD18" s="584"/>
      <c r="FE18" s="584"/>
      <c r="FF18" s="584"/>
      <c r="FG18" s="584"/>
      <c r="FH18" s="584"/>
      <c r="FI18" s="584"/>
      <c r="FJ18" s="584"/>
      <c r="FK18" s="584"/>
      <c r="FL18" s="584"/>
      <c r="FM18" s="584"/>
      <c r="FN18" s="584"/>
      <c r="FO18" s="584"/>
      <c r="FP18" s="584"/>
      <c r="FQ18" s="584"/>
      <c r="FR18" s="584"/>
      <c r="FS18" s="584"/>
      <c r="FT18" s="584"/>
      <c r="FU18" s="584"/>
      <c r="FV18" s="584"/>
      <c r="FW18" s="584"/>
      <c r="FX18" s="584"/>
      <c r="FY18" s="584"/>
      <c r="FZ18" s="584"/>
      <c r="GA18" s="584"/>
      <c r="GB18" s="584"/>
      <c r="GC18" s="584"/>
      <c r="GD18" s="584"/>
      <c r="GE18" s="584"/>
      <c r="GF18" s="584"/>
      <c r="GG18" s="584"/>
      <c r="GH18" s="584"/>
      <c r="GI18" s="584"/>
      <c r="GJ18" s="584"/>
      <c r="GK18" s="584"/>
      <c r="GL18" s="584"/>
      <c r="GM18" s="584"/>
      <c r="GN18" s="584"/>
      <c r="GO18" s="584"/>
      <c r="GP18" s="584"/>
      <c r="GQ18" s="584"/>
      <c r="GR18" s="584"/>
      <c r="GS18" s="584"/>
      <c r="GT18" s="584"/>
      <c r="GU18" s="584"/>
      <c r="GV18" s="584"/>
      <c r="GW18" s="584"/>
      <c r="GX18" s="584"/>
      <c r="GY18" s="584"/>
      <c r="GZ18" s="584"/>
      <c r="HA18" s="584"/>
      <c r="HB18" s="584"/>
      <c r="HC18" s="584"/>
      <c r="HD18" s="584"/>
      <c r="HE18" s="584"/>
      <c r="HF18" s="584"/>
      <c r="HG18" s="584"/>
      <c r="HH18" s="584"/>
      <c r="HI18" s="584"/>
      <c r="HJ18" s="584"/>
      <c r="HK18" s="584"/>
      <c r="HL18" s="584"/>
      <c r="HM18" s="584"/>
      <c r="HN18" s="584"/>
      <c r="HO18" s="584"/>
      <c r="HP18" s="584"/>
      <c r="HQ18" s="584"/>
      <c r="HR18" s="584"/>
      <c r="HS18" s="584"/>
      <c r="HT18" s="584"/>
      <c r="HU18" s="584"/>
      <c r="HV18" s="584"/>
      <c r="HW18" s="584"/>
      <c r="HX18" s="584"/>
      <c r="HY18" s="584"/>
      <c r="HZ18" s="584"/>
      <c r="IA18" s="584"/>
      <c r="IB18" s="584"/>
      <c r="IC18" s="584"/>
      <c r="ID18" s="584"/>
      <c r="IE18" s="584"/>
      <c r="IF18" s="584"/>
      <c r="IG18" s="584"/>
      <c r="IH18" s="584"/>
      <c r="II18" s="584"/>
      <c r="IJ18" s="584"/>
      <c r="IK18" s="584"/>
      <c r="IL18" s="584"/>
      <c r="IM18" s="584"/>
      <c r="IN18" s="584"/>
      <c r="IO18" s="584"/>
      <c r="IP18" s="584"/>
      <c r="IQ18" s="584"/>
      <c r="IR18" s="584"/>
      <c r="IS18" s="584"/>
      <c r="IT18" s="584"/>
      <c r="IU18" s="584"/>
      <c r="IV18" s="584"/>
    </row>
    <row r="19" spans="1:256" s="624" customFormat="1" x14ac:dyDescent="0.2">
      <c r="A19" s="628" t="s">
        <v>17</v>
      </c>
      <c r="B19" s="629"/>
      <c r="C19" s="630">
        <f t="shared" ref="C19:O19" si="2">+C15+C17+C18</f>
        <v>0</v>
      </c>
      <c r="D19" s="630">
        <f t="shared" si="2"/>
        <v>0</v>
      </c>
      <c r="E19" s="630">
        <f t="shared" si="2"/>
        <v>0</v>
      </c>
      <c r="F19" s="630">
        <f t="shared" si="2"/>
        <v>0</v>
      </c>
      <c r="G19" s="630">
        <f t="shared" si="2"/>
        <v>0</v>
      </c>
      <c r="H19" s="630">
        <f t="shared" si="2"/>
        <v>0</v>
      </c>
      <c r="I19" s="630">
        <f t="shared" si="2"/>
        <v>0</v>
      </c>
      <c r="J19" s="630">
        <f t="shared" si="2"/>
        <v>0</v>
      </c>
      <c r="K19" s="630">
        <f t="shared" si="2"/>
        <v>0</v>
      </c>
      <c r="L19" s="630">
        <f t="shared" si="2"/>
        <v>0</v>
      </c>
      <c r="M19" s="630">
        <f t="shared" si="2"/>
        <v>0</v>
      </c>
      <c r="N19" s="630">
        <f t="shared" si="2"/>
        <v>0</v>
      </c>
      <c r="O19" s="630">
        <f t="shared" si="2"/>
        <v>0</v>
      </c>
      <c r="P19" s="630"/>
      <c r="Q19" s="630"/>
      <c r="R19" s="596"/>
      <c r="S19" s="584"/>
      <c r="T19" s="584"/>
      <c r="U19" s="584"/>
      <c r="V19" s="584"/>
      <c r="W19" s="584"/>
      <c r="X19" s="584"/>
      <c r="Y19" s="584"/>
      <c r="Z19" s="584"/>
      <c r="AA19" s="584"/>
      <c r="AB19" s="584"/>
      <c r="AC19" s="584"/>
      <c r="AD19" s="584"/>
      <c r="AE19" s="584"/>
      <c r="AF19" s="584"/>
      <c r="AG19" s="584"/>
      <c r="AH19" s="584"/>
      <c r="AI19" s="584"/>
      <c r="AJ19" s="584"/>
      <c r="AK19" s="584"/>
      <c r="AL19" s="584"/>
      <c r="AM19" s="584"/>
      <c r="AN19" s="584"/>
      <c r="AO19" s="584"/>
      <c r="AP19" s="584"/>
      <c r="AQ19" s="584"/>
      <c r="AR19" s="584"/>
      <c r="AS19" s="584"/>
      <c r="AT19" s="584"/>
      <c r="AU19" s="584"/>
      <c r="AV19" s="584"/>
      <c r="AW19" s="584"/>
      <c r="AX19" s="584"/>
      <c r="AY19" s="584"/>
      <c r="AZ19" s="584"/>
      <c r="BA19" s="584"/>
      <c r="BB19" s="584"/>
      <c r="BC19" s="584"/>
      <c r="BD19" s="584"/>
      <c r="BE19" s="584"/>
      <c r="BF19" s="584"/>
      <c r="BG19" s="584"/>
      <c r="BH19" s="584"/>
      <c r="BI19" s="584"/>
      <c r="BJ19" s="584"/>
      <c r="BK19" s="584"/>
      <c r="BL19" s="584"/>
      <c r="BM19" s="584"/>
      <c r="BN19" s="584"/>
      <c r="BO19" s="584"/>
      <c r="BP19" s="584"/>
      <c r="BQ19" s="584"/>
      <c r="BR19" s="584"/>
      <c r="BS19" s="584"/>
      <c r="BT19" s="584"/>
      <c r="BU19" s="584"/>
      <c r="BV19" s="584"/>
      <c r="BW19" s="584"/>
      <c r="BX19" s="584"/>
      <c r="BY19" s="584"/>
      <c r="BZ19" s="584"/>
      <c r="CA19" s="584"/>
      <c r="CB19" s="584"/>
      <c r="CC19" s="584"/>
      <c r="CD19" s="584"/>
      <c r="CE19" s="584"/>
      <c r="CF19" s="584"/>
      <c r="CG19" s="584"/>
      <c r="CH19" s="584"/>
      <c r="CI19" s="584"/>
      <c r="CJ19" s="584"/>
      <c r="CK19" s="584"/>
      <c r="CL19" s="584"/>
      <c r="CM19" s="584"/>
      <c r="CN19" s="584"/>
      <c r="CO19" s="584"/>
      <c r="CP19" s="584"/>
      <c r="CQ19" s="584"/>
      <c r="CR19" s="584"/>
      <c r="CS19" s="584"/>
      <c r="CT19" s="584"/>
      <c r="CU19" s="584"/>
      <c r="CV19" s="584"/>
      <c r="CW19" s="584"/>
      <c r="CX19" s="584"/>
      <c r="CY19" s="584"/>
      <c r="CZ19" s="584"/>
      <c r="DA19" s="584"/>
      <c r="DB19" s="584"/>
      <c r="DC19" s="584"/>
      <c r="DD19" s="584"/>
      <c r="DE19" s="584"/>
      <c r="DF19" s="584"/>
      <c r="DG19" s="584"/>
      <c r="DH19" s="584"/>
      <c r="DI19" s="584"/>
      <c r="DJ19" s="584"/>
      <c r="DK19" s="584"/>
      <c r="DL19" s="584"/>
      <c r="DM19" s="584"/>
      <c r="DN19" s="584"/>
      <c r="DO19" s="584"/>
      <c r="DP19" s="584"/>
      <c r="DQ19" s="584"/>
      <c r="DR19" s="584"/>
      <c r="DS19" s="584"/>
      <c r="DT19" s="584"/>
      <c r="DU19" s="584"/>
      <c r="DV19" s="584"/>
      <c r="DW19" s="584"/>
      <c r="DX19" s="584"/>
      <c r="DY19" s="584"/>
      <c r="DZ19" s="584"/>
      <c r="EA19" s="584"/>
      <c r="EB19" s="584"/>
      <c r="EC19" s="584"/>
      <c r="ED19" s="584"/>
      <c r="EE19" s="584"/>
      <c r="EF19" s="584"/>
      <c r="EG19" s="584"/>
      <c r="EH19" s="584"/>
      <c r="EI19" s="584"/>
      <c r="EJ19" s="584"/>
      <c r="EK19" s="584"/>
      <c r="EL19" s="584"/>
      <c r="EM19" s="584"/>
      <c r="EN19" s="584"/>
      <c r="EO19" s="584"/>
      <c r="EP19" s="584"/>
      <c r="EQ19" s="584"/>
      <c r="ER19" s="584"/>
      <c r="ES19" s="584"/>
      <c r="ET19" s="584"/>
      <c r="EU19" s="584"/>
      <c r="EV19" s="584"/>
      <c r="EW19" s="584"/>
      <c r="EX19" s="584"/>
      <c r="EY19" s="584"/>
      <c r="EZ19" s="584"/>
      <c r="FA19" s="584"/>
      <c r="FB19" s="584"/>
      <c r="FC19" s="584"/>
      <c r="FD19" s="584"/>
      <c r="FE19" s="584"/>
      <c r="FF19" s="584"/>
      <c r="FG19" s="584"/>
      <c r="FH19" s="584"/>
      <c r="FI19" s="584"/>
      <c r="FJ19" s="584"/>
      <c r="FK19" s="584"/>
      <c r="FL19" s="584"/>
      <c r="FM19" s="584"/>
      <c r="FN19" s="584"/>
      <c r="FO19" s="584"/>
      <c r="FP19" s="584"/>
      <c r="FQ19" s="584"/>
      <c r="FR19" s="584"/>
      <c r="FS19" s="584"/>
      <c r="FT19" s="584"/>
      <c r="FU19" s="584"/>
      <c r="FV19" s="584"/>
      <c r="FW19" s="584"/>
      <c r="FX19" s="584"/>
      <c r="FY19" s="584"/>
      <c r="FZ19" s="584"/>
      <c r="GA19" s="584"/>
      <c r="GB19" s="584"/>
      <c r="GC19" s="584"/>
      <c r="GD19" s="584"/>
      <c r="GE19" s="584"/>
      <c r="GF19" s="584"/>
      <c r="GG19" s="584"/>
      <c r="GH19" s="584"/>
      <c r="GI19" s="584"/>
      <c r="GJ19" s="584"/>
      <c r="GK19" s="584"/>
      <c r="GL19" s="584"/>
      <c r="GM19" s="584"/>
      <c r="GN19" s="584"/>
      <c r="GO19" s="584"/>
      <c r="GP19" s="584"/>
      <c r="GQ19" s="584"/>
      <c r="GR19" s="584"/>
      <c r="GS19" s="584"/>
      <c r="GT19" s="584"/>
      <c r="GU19" s="584"/>
      <c r="GV19" s="584"/>
      <c r="GW19" s="584"/>
      <c r="GX19" s="584"/>
      <c r="GY19" s="584"/>
      <c r="GZ19" s="584"/>
      <c r="HA19" s="584"/>
      <c r="HB19" s="584"/>
      <c r="HC19" s="584"/>
      <c r="HD19" s="584"/>
      <c r="HE19" s="584"/>
      <c r="HF19" s="584"/>
      <c r="HG19" s="584"/>
      <c r="HH19" s="584"/>
      <c r="HI19" s="584"/>
      <c r="HJ19" s="584"/>
      <c r="HK19" s="584"/>
      <c r="HL19" s="584"/>
      <c r="HM19" s="584"/>
      <c r="HN19" s="584"/>
      <c r="HO19" s="584"/>
      <c r="HP19" s="584"/>
      <c r="HQ19" s="584"/>
      <c r="HR19" s="584"/>
      <c r="HS19" s="584"/>
      <c r="HT19" s="584"/>
      <c r="HU19" s="584"/>
      <c r="HV19" s="584"/>
      <c r="HW19" s="584"/>
      <c r="HX19" s="584"/>
      <c r="HY19" s="584"/>
      <c r="HZ19" s="584"/>
      <c r="IA19" s="584"/>
      <c r="IB19" s="584"/>
      <c r="IC19" s="584"/>
      <c r="ID19" s="584"/>
      <c r="IE19" s="584"/>
      <c r="IF19" s="584"/>
      <c r="IG19" s="584"/>
      <c r="IH19" s="584"/>
      <c r="II19" s="584"/>
      <c r="IJ19" s="584"/>
      <c r="IK19" s="584"/>
      <c r="IL19" s="584"/>
      <c r="IM19" s="584"/>
      <c r="IN19" s="584"/>
      <c r="IO19" s="584"/>
      <c r="IP19" s="584"/>
      <c r="IQ19" s="584"/>
      <c r="IR19" s="584"/>
      <c r="IS19" s="584"/>
      <c r="IT19" s="584"/>
      <c r="IU19" s="584"/>
      <c r="IV19" s="584"/>
    </row>
    <row r="20" spans="1:256" s="624" customFormat="1" x14ac:dyDescent="0.2">
      <c r="A20" s="579"/>
      <c r="B20" s="629"/>
      <c r="C20" s="620"/>
      <c r="D20" s="620"/>
      <c r="E20" s="620"/>
      <c r="F20" s="620"/>
      <c r="G20" s="620"/>
      <c r="H20" s="620"/>
      <c r="I20" s="620"/>
      <c r="J20" s="620"/>
      <c r="K20" s="620"/>
      <c r="L20" s="620"/>
      <c r="M20" s="620"/>
      <c r="N20" s="620"/>
      <c r="O20" s="620"/>
      <c r="P20" s="620"/>
      <c r="Q20" s="620"/>
      <c r="R20" s="596"/>
      <c r="S20" s="584"/>
      <c r="T20" s="584"/>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R20" s="584"/>
      <c r="AS20" s="584"/>
      <c r="AT20" s="584"/>
      <c r="AU20" s="584"/>
      <c r="AV20" s="584"/>
      <c r="AW20" s="584"/>
      <c r="AX20" s="584"/>
      <c r="AY20" s="584"/>
      <c r="AZ20" s="584"/>
      <c r="BA20" s="584"/>
      <c r="BB20" s="584"/>
      <c r="BC20" s="584"/>
      <c r="BD20" s="584"/>
      <c r="BE20" s="584"/>
      <c r="BF20" s="584"/>
      <c r="BG20" s="584"/>
      <c r="BH20" s="584"/>
      <c r="BI20" s="584"/>
      <c r="BJ20" s="584"/>
      <c r="BK20" s="584"/>
      <c r="BL20" s="584"/>
      <c r="BM20" s="584"/>
      <c r="BN20" s="584"/>
      <c r="BO20" s="584"/>
      <c r="BP20" s="584"/>
      <c r="BQ20" s="584"/>
      <c r="BR20" s="584"/>
      <c r="BS20" s="584"/>
      <c r="BT20" s="584"/>
      <c r="BU20" s="584"/>
      <c r="BV20" s="584"/>
      <c r="BW20" s="584"/>
      <c r="BX20" s="584"/>
      <c r="BY20" s="584"/>
      <c r="BZ20" s="584"/>
      <c r="CA20" s="584"/>
      <c r="CB20" s="584"/>
      <c r="CC20" s="584"/>
      <c r="CD20" s="584"/>
      <c r="CE20" s="584"/>
      <c r="CF20" s="584"/>
      <c r="CG20" s="584"/>
      <c r="CH20" s="584"/>
      <c r="CI20" s="584"/>
      <c r="CJ20" s="584"/>
      <c r="CK20" s="584"/>
      <c r="CL20" s="584"/>
      <c r="CM20" s="584"/>
      <c r="CN20" s="584"/>
      <c r="CO20" s="584"/>
      <c r="CP20" s="584"/>
      <c r="CQ20" s="584"/>
      <c r="CR20" s="584"/>
      <c r="CS20" s="584"/>
      <c r="CT20" s="584"/>
      <c r="CU20" s="584"/>
      <c r="CV20" s="584"/>
      <c r="CW20" s="584"/>
      <c r="CX20" s="584"/>
      <c r="CY20" s="584"/>
      <c r="CZ20" s="584"/>
      <c r="DA20" s="584"/>
      <c r="DB20" s="584"/>
      <c r="DC20" s="584"/>
      <c r="DD20" s="584"/>
      <c r="DE20" s="584"/>
      <c r="DF20" s="584"/>
      <c r="DG20" s="584"/>
      <c r="DH20" s="584"/>
      <c r="DI20" s="584"/>
      <c r="DJ20" s="584"/>
      <c r="DK20" s="584"/>
      <c r="DL20" s="584"/>
      <c r="DM20" s="584"/>
      <c r="DN20" s="584"/>
      <c r="DO20" s="584"/>
      <c r="DP20" s="584"/>
      <c r="DQ20" s="584"/>
      <c r="DR20" s="584"/>
      <c r="DS20" s="584"/>
      <c r="DT20" s="584"/>
      <c r="DU20" s="584"/>
      <c r="DV20" s="584"/>
      <c r="DW20" s="584"/>
      <c r="DX20" s="584"/>
      <c r="DY20" s="584"/>
      <c r="DZ20" s="584"/>
      <c r="EA20" s="584"/>
      <c r="EB20" s="584"/>
      <c r="EC20" s="584"/>
      <c r="ED20" s="584"/>
      <c r="EE20" s="584"/>
      <c r="EF20" s="584"/>
      <c r="EG20" s="584"/>
      <c r="EH20" s="584"/>
      <c r="EI20" s="584"/>
      <c r="EJ20" s="584"/>
      <c r="EK20" s="584"/>
      <c r="EL20" s="584"/>
      <c r="EM20" s="584"/>
      <c r="EN20" s="584"/>
      <c r="EO20" s="584"/>
      <c r="EP20" s="584"/>
      <c r="EQ20" s="584"/>
      <c r="ER20" s="584"/>
      <c r="ES20" s="584"/>
      <c r="ET20" s="584"/>
      <c r="EU20" s="584"/>
      <c r="EV20" s="584"/>
      <c r="EW20" s="584"/>
      <c r="EX20" s="584"/>
      <c r="EY20" s="584"/>
      <c r="EZ20" s="584"/>
      <c r="FA20" s="584"/>
      <c r="FB20" s="584"/>
      <c r="FC20" s="584"/>
      <c r="FD20" s="584"/>
      <c r="FE20" s="584"/>
      <c r="FF20" s="584"/>
      <c r="FG20" s="584"/>
      <c r="FH20" s="584"/>
      <c r="FI20" s="584"/>
      <c r="FJ20" s="584"/>
      <c r="FK20" s="584"/>
      <c r="FL20" s="584"/>
      <c r="FM20" s="584"/>
      <c r="FN20" s="584"/>
      <c r="FO20" s="584"/>
      <c r="FP20" s="584"/>
      <c r="FQ20" s="584"/>
      <c r="FR20" s="584"/>
      <c r="FS20" s="584"/>
      <c r="FT20" s="584"/>
      <c r="FU20" s="584"/>
      <c r="FV20" s="584"/>
      <c r="FW20" s="584"/>
      <c r="FX20" s="584"/>
      <c r="FY20" s="584"/>
      <c r="FZ20" s="584"/>
      <c r="GA20" s="584"/>
      <c r="GB20" s="584"/>
      <c r="GC20" s="584"/>
      <c r="GD20" s="584"/>
      <c r="GE20" s="584"/>
      <c r="GF20" s="584"/>
      <c r="GG20" s="584"/>
      <c r="GH20" s="584"/>
      <c r="GI20" s="584"/>
      <c r="GJ20" s="584"/>
      <c r="GK20" s="584"/>
      <c r="GL20" s="584"/>
      <c r="GM20" s="584"/>
      <c r="GN20" s="584"/>
      <c r="GO20" s="584"/>
      <c r="GP20" s="584"/>
      <c r="GQ20" s="584"/>
      <c r="GR20" s="584"/>
      <c r="GS20" s="584"/>
      <c r="GT20" s="584"/>
      <c r="GU20" s="584"/>
      <c r="GV20" s="584"/>
      <c r="GW20" s="584"/>
      <c r="GX20" s="584"/>
      <c r="GY20" s="584"/>
      <c r="GZ20" s="584"/>
      <c r="HA20" s="584"/>
      <c r="HB20" s="584"/>
      <c r="HC20" s="584"/>
      <c r="HD20" s="584"/>
      <c r="HE20" s="584"/>
      <c r="HF20" s="584"/>
      <c r="HG20" s="584"/>
      <c r="HH20" s="584"/>
      <c r="HI20" s="584"/>
      <c r="HJ20" s="584"/>
      <c r="HK20" s="584"/>
      <c r="HL20" s="584"/>
      <c r="HM20" s="584"/>
      <c r="HN20" s="584"/>
      <c r="HO20" s="584"/>
      <c r="HP20" s="584"/>
      <c r="HQ20" s="584"/>
      <c r="HR20" s="584"/>
      <c r="HS20" s="584"/>
      <c r="HT20" s="584"/>
      <c r="HU20" s="584"/>
      <c r="HV20" s="584"/>
      <c r="HW20" s="584"/>
      <c r="HX20" s="584"/>
      <c r="HY20" s="584"/>
      <c r="HZ20" s="584"/>
      <c r="IA20" s="584"/>
      <c r="IB20" s="584"/>
      <c r="IC20" s="584"/>
      <c r="ID20" s="584"/>
      <c r="IE20" s="584"/>
      <c r="IF20" s="584"/>
      <c r="IG20" s="584"/>
      <c r="IH20" s="584"/>
      <c r="II20" s="584"/>
      <c r="IJ20" s="584"/>
      <c r="IK20" s="584"/>
      <c r="IL20" s="584"/>
      <c r="IM20" s="584"/>
      <c r="IN20" s="584"/>
      <c r="IO20" s="584"/>
      <c r="IP20" s="584"/>
      <c r="IQ20" s="584"/>
      <c r="IR20" s="584"/>
      <c r="IS20" s="584"/>
      <c r="IT20" s="584"/>
      <c r="IU20" s="584"/>
      <c r="IV20" s="584"/>
    </row>
    <row r="21" spans="1:256" s="632" customFormat="1" x14ac:dyDescent="0.2">
      <c r="A21" s="595" t="s">
        <v>18</v>
      </c>
      <c r="B21" s="631"/>
      <c r="C21" s="626">
        <f t="shared" ref="C21:O21" si="3">C10-C19</f>
        <v>0</v>
      </c>
      <c r="D21" s="626">
        <f t="shared" si="3"/>
        <v>0</v>
      </c>
      <c r="E21" s="626">
        <f t="shared" si="3"/>
        <v>0</v>
      </c>
      <c r="F21" s="626">
        <f t="shared" si="3"/>
        <v>0</v>
      </c>
      <c r="G21" s="626">
        <f t="shared" si="3"/>
        <v>0</v>
      </c>
      <c r="H21" s="626">
        <f t="shared" si="3"/>
        <v>0</v>
      </c>
      <c r="I21" s="626">
        <f t="shared" si="3"/>
        <v>0</v>
      </c>
      <c r="J21" s="626">
        <f t="shared" si="3"/>
        <v>0</v>
      </c>
      <c r="K21" s="626">
        <f t="shared" si="3"/>
        <v>0</v>
      </c>
      <c r="L21" s="626">
        <f t="shared" si="3"/>
        <v>0</v>
      </c>
      <c r="M21" s="626">
        <f t="shared" si="3"/>
        <v>0</v>
      </c>
      <c r="N21" s="626">
        <f t="shared" si="3"/>
        <v>0</v>
      </c>
      <c r="O21" s="626">
        <f t="shared" si="3"/>
        <v>0</v>
      </c>
      <c r="P21" s="626"/>
      <c r="Q21" s="626"/>
      <c r="R21" s="596"/>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U21" s="584"/>
      <c r="AV21" s="584"/>
      <c r="AW21" s="584"/>
      <c r="AX21" s="584"/>
      <c r="AY21" s="584"/>
      <c r="AZ21" s="584"/>
      <c r="BA21" s="584"/>
      <c r="BB21" s="584"/>
      <c r="BC21" s="584"/>
      <c r="BD21" s="584"/>
      <c r="BE21" s="584"/>
      <c r="BF21" s="584"/>
      <c r="BG21" s="584"/>
      <c r="BH21" s="584"/>
      <c r="BI21" s="584"/>
      <c r="BJ21" s="584"/>
      <c r="BK21" s="584"/>
      <c r="BL21" s="584"/>
      <c r="BM21" s="584"/>
      <c r="BN21" s="584"/>
      <c r="BO21" s="584"/>
      <c r="BP21" s="584"/>
      <c r="BQ21" s="584"/>
      <c r="BR21" s="584"/>
      <c r="BS21" s="584"/>
      <c r="BT21" s="584"/>
      <c r="BU21" s="584"/>
      <c r="BV21" s="584"/>
      <c r="BW21" s="584"/>
      <c r="BX21" s="584"/>
      <c r="BY21" s="584"/>
      <c r="BZ21" s="584"/>
      <c r="CA21" s="584"/>
      <c r="CB21" s="584"/>
      <c r="CC21" s="584"/>
      <c r="CD21" s="584"/>
      <c r="CE21" s="584"/>
      <c r="CF21" s="584"/>
      <c r="CG21" s="584"/>
      <c r="CH21" s="584"/>
      <c r="CI21" s="584"/>
      <c r="CJ21" s="584"/>
      <c r="CK21" s="584"/>
      <c r="CL21" s="584"/>
      <c r="CM21" s="584"/>
      <c r="CN21" s="584"/>
      <c r="CO21" s="584"/>
      <c r="CP21" s="584"/>
      <c r="CQ21" s="584"/>
      <c r="CR21" s="584"/>
      <c r="CS21" s="584"/>
      <c r="CT21" s="584"/>
      <c r="CU21" s="584"/>
      <c r="CV21" s="584"/>
      <c r="CW21" s="584"/>
      <c r="CX21" s="584"/>
      <c r="CY21" s="584"/>
      <c r="CZ21" s="584"/>
      <c r="DA21" s="584"/>
      <c r="DB21" s="584"/>
      <c r="DC21" s="584"/>
      <c r="DD21" s="584"/>
      <c r="DE21" s="584"/>
      <c r="DF21" s="584"/>
      <c r="DG21" s="584"/>
      <c r="DH21" s="584"/>
      <c r="DI21" s="584"/>
      <c r="DJ21" s="584"/>
      <c r="DK21" s="584"/>
      <c r="DL21" s="584"/>
      <c r="DM21" s="584"/>
      <c r="DN21" s="584"/>
      <c r="DO21" s="584"/>
      <c r="DP21" s="584"/>
      <c r="DQ21" s="584"/>
      <c r="DR21" s="584"/>
      <c r="DS21" s="584"/>
      <c r="DT21" s="584"/>
      <c r="DU21" s="584"/>
      <c r="DV21" s="584"/>
      <c r="DW21" s="584"/>
      <c r="DX21" s="584"/>
      <c r="DY21" s="584"/>
      <c r="DZ21" s="584"/>
      <c r="EA21" s="584"/>
      <c r="EB21" s="584"/>
      <c r="EC21" s="584"/>
      <c r="ED21" s="584"/>
      <c r="EE21" s="584"/>
      <c r="EF21" s="584"/>
      <c r="EG21" s="584"/>
      <c r="EH21" s="584"/>
      <c r="EI21" s="584"/>
      <c r="EJ21" s="584"/>
      <c r="EK21" s="584"/>
      <c r="EL21" s="584"/>
      <c r="EM21" s="584"/>
      <c r="EN21" s="584"/>
      <c r="EO21" s="584"/>
      <c r="EP21" s="584"/>
      <c r="EQ21" s="584"/>
      <c r="ER21" s="584"/>
      <c r="ES21" s="584"/>
      <c r="ET21" s="584"/>
      <c r="EU21" s="584"/>
      <c r="EV21" s="584"/>
      <c r="EW21" s="584"/>
      <c r="EX21" s="584"/>
      <c r="EY21" s="584"/>
      <c r="EZ21" s="584"/>
      <c r="FA21" s="584"/>
      <c r="FB21" s="584"/>
      <c r="FC21" s="584"/>
      <c r="FD21" s="584"/>
      <c r="FE21" s="584"/>
      <c r="FF21" s="584"/>
      <c r="FG21" s="584"/>
      <c r="FH21" s="584"/>
      <c r="FI21" s="584"/>
      <c r="FJ21" s="584"/>
      <c r="FK21" s="584"/>
      <c r="FL21" s="584"/>
      <c r="FM21" s="584"/>
      <c r="FN21" s="584"/>
      <c r="FO21" s="584"/>
      <c r="FP21" s="584"/>
      <c r="FQ21" s="584"/>
      <c r="FR21" s="584"/>
      <c r="FS21" s="584"/>
      <c r="FT21" s="584"/>
      <c r="FU21" s="584"/>
      <c r="FV21" s="584"/>
      <c r="FW21" s="584"/>
      <c r="FX21" s="584"/>
      <c r="FY21" s="584"/>
      <c r="FZ21" s="584"/>
      <c r="GA21" s="584"/>
      <c r="GB21" s="584"/>
      <c r="GC21" s="584"/>
      <c r="GD21" s="584"/>
      <c r="GE21" s="584"/>
      <c r="GF21" s="584"/>
      <c r="GG21" s="584"/>
      <c r="GH21" s="584"/>
      <c r="GI21" s="584"/>
      <c r="GJ21" s="584"/>
      <c r="GK21" s="584"/>
      <c r="GL21" s="584"/>
      <c r="GM21" s="584"/>
      <c r="GN21" s="584"/>
      <c r="GO21" s="584"/>
      <c r="GP21" s="584"/>
      <c r="GQ21" s="584"/>
      <c r="GR21" s="584"/>
      <c r="GS21" s="584"/>
      <c r="GT21" s="584"/>
      <c r="GU21" s="584"/>
      <c r="GV21" s="584"/>
      <c r="GW21" s="584"/>
      <c r="GX21" s="584"/>
      <c r="GY21" s="584"/>
      <c r="GZ21" s="584"/>
      <c r="HA21" s="584"/>
      <c r="HB21" s="584"/>
      <c r="HC21" s="584"/>
      <c r="HD21" s="584"/>
      <c r="HE21" s="584"/>
      <c r="HF21" s="584"/>
      <c r="HG21" s="584"/>
      <c r="HH21" s="584"/>
      <c r="HI21" s="584"/>
      <c r="HJ21" s="584"/>
      <c r="HK21" s="584"/>
      <c r="HL21" s="584"/>
      <c r="HM21" s="584"/>
      <c r="HN21" s="584"/>
      <c r="HO21" s="584"/>
      <c r="HP21" s="584"/>
      <c r="HQ21" s="584"/>
      <c r="HR21" s="584"/>
      <c r="HS21" s="584"/>
      <c r="HT21" s="584"/>
      <c r="HU21" s="584"/>
      <c r="HV21" s="584"/>
      <c r="HW21" s="584"/>
      <c r="HX21" s="584"/>
      <c r="HY21" s="584"/>
      <c r="HZ21" s="584"/>
      <c r="IA21" s="584"/>
      <c r="IB21" s="584"/>
      <c r="IC21" s="584"/>
      <c r="ID21" s="584"/>
      <c r="IE21" s="584"/>
      <c r="IF21" s="584"/>
      <c r="IG21" s="584"/>
      <c r="IH21" s="584"/>
      <c r="II21" s="584"/>
      <c r="IJ21" s="584"/>
      <c r="IK21" s="584"/>
      <c r="IL21" s="584"/>
      <c r="IM21" s="584"/>
      <c r="IN21" s="584"/>
      <c r="IO21" s="584"/>
      <c r="IP21" s="584"/>
      <c r="IQ21" s="584"/>
      <c r="IR21" s="584"/>
      <c r="IS21" s="584"/>
      <c r="IT21" s="584"/>
      <c r="IU21" s="584"/>
      <c r="IV21" s="584"/>
    </row>
    <row r="22" spans="1:256" s="590" customFormat="1" x14ac:dyDescent="0.2">
      <c r="A22" s="591"/>
      <c r="B22" s="594"/>
      <c r="C22" s="589"/>
      <c r="D22" s="589"/>
      <c r="E22" s="589"/>
      <c r="F22" s="589"/>
      <c r="G22" s="589"/>
      <c r="H22" s="589"/>
      <c r="I22" s="589"/>
      <c r="J22" s="589"/>
      <c r="K22" s="589"/>
      <c r="L22" s="589"/>
      <c r="M22" s="589"/>
      <c r="N22" s="589"/>
      <c r="O22" s="589"/>
      <c r="P22" s="589"/>
      <c r="Q22" s="589"/>
      <c r="R22" s="596"/>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U22" s="584"/>
      <c r="AV22" s="584"/>
      <c r="AW22" s="584"/>
      <c r="AX22" s="584"/>
      <c r="AY22" s="584"/>
      <c r="AZ22" s="584"/>
      <c r="BA22" s="584"/>
      <c r="BB22" s="584"/>
      <c r="BC22" s="584"/>
      <c r="BD22" s="584"/>
      <c r="BE22" s="584"/>
      <c r="BF22" s="584"/>
      <c r="BG22" s="584"/>
      <c r="BH22" s="584"/>
      <c r="BI22" s="584"/>
      <c r="BJ22" s="584"/>
      <c r="BK22" s="584"/>
      <c r="BL22" s="584"/>
      <c r="BM22" s="584"/>
      <c r="BN22" s="584"/>
      <c r="BO22" s="584"/>
      <c r="BP22" s="584"/>
      <c r="BQ22" s="584"/>
      <c r="BR22" s="584"/>
      <c r="BS22" s="584"/>
      <c r="BT22" s="584"/>
      <c r="BU22" s="584"/>
      <c r="BV22" s="584"/>
      <c r="BW22" s="584"/>
      <c r="BX22" s="584"/>
      <c r="BY22" s="584"/>
      <c r="BZ22" s="584"/>
      <c r="CA22" s="584"/>
      <c r="CB22" s="584"/>
      <c r="CC22" s="584"/>
      <c r="CD22" s="584"/>
      <c r="CE22" s="584"/>
      <c r="CF22" s="584"/>
      <c r="CG22" s="584"/>
      <c r="CH22" s="584"/>
      <c r="CI22" s="584"/>
      <c r="CJ22" s="584"/>
      <c r="CK22" s="584"/>
      <c r="CL22" s="584"/>
      <c r="CM22" s="584"/>
      <c r="CN22" s="584"/>
      <c r="CO22" s="584"/>
      <c r="CP22" s="584"/>
      <c r="CQ22" s="584"/>
      <c r="CR22" s="584"/>
      <c r="CS22" s="584"/>
      <c r="CT22" s="584"/>
      <c r="CU22" s="584"/>
      <c r="CV22" s="584"/>
      <c r="CW22" s="584"/>
      <c r="CX22" s="584"/>
      <c r="CY22" s="584"/>
      <c r="CZ22" s="584"/>
      <c r="DA22" s="584"/>
      <c r="DB22" s="584"/>
      <c r="DC22" s="584"/>
      <c r="DD22" s="584"/>
      <c r="DE22" s="584"/>
      <c r="DF22" s="584"/>
      <c r="DG22" s="584"/>
      <c r="DH22" s="584"/>
      <c r="DI22" s="584"/>
      <c r="DJ22" s="584"/>
      <c r="DK22" s="584"/>
      <c r="DL22" s="584"/>
      <c r="DM22" s="584"/>
      <c r="DN22" s="584"/>
      <c r="DO22" s="584"/>
      <c r="DP22" s="584"/>
      <c r="DQ22" s="584"/>
      <c r="DR22" s="584"/>
      <c r="DS22" s="584"/>
      <c r="DT22" s="584"/>
      <c r="DU22" s="584"/>
      <c r="DV22" s="584"/>
      <c r="DW22" s="584"/>
      <c r="DX22" s="584"/>
      <c r="DY22" s="584"/>
      <c r="DZ22" s="584"/>
      <c r="EA22" s="584"/>
      <c r="EB22" s="584"/>
      <c r="EC22" s="584"/>
      <c r="ED22" s="584"/>
      <c r="EE22" s="584"/>
      <c r="EF22" s="584"/>
      <c r="EG22" s="584"/>
      <c r="EH22" s="584"/>
      <c r="EI22" s="584"/>
      <c r="EJ22" s="584"/>
      <c r="EK22" s="584"/>
      <c r="EL22" s="584"/>
      <c r="EM22" s="584"/>
      <c r="EN22" s="584"/>
      <c r="EO22" s="584"/>
      <c r="EP22" s="584"/>
      <c r="EQ22" s="584"/>
      <c r="ER22" s="584"/>
      <c r="ES22" s="584"/>
      <c r="ET22" s="584"/>
      <c r="EU22" s="584"/>
      <c r="EV22" s="584"/>
      <c r="EW22" s="584"/>
      <c r="EX22" s="584"/>
      <c r="EY22" s="584"/>
      <c r="EZ22" s="584"/>
      <c r="FA22" s="584"/>
      <c r="FB22" s="584"/>
      <c r="FC22" s="584"/>
      <c r="FD22" s="584"/>
      <c r="FE22" s="584"/>
      <c r="FF22" s="584"/>
      <c r="FG22" s="584"/>
      <c r="FH22" s="584"/>
      <c r="FI22" s="584"/>
      <c r="FJ22" s="584"/>
      <c r="FK22" s="584"/>
      <c r="FL22" s="584"/>
      <c r="FM22" s="584"/>
      <c r="FN22" s="584"/>
      <c r="FO22" s="584"/>
      <c r="FP22" s="584"/>
      <c r="FQ22" s="584"/>
      <c r="FR22" s="584"/>
      <c r="FS22" s="584"/>
      <c r="FT22" s="584"/>
      <c r="FU22" s="584"/>
      <c r="FV22" s="584"/>
      <c r="FW22" s="584"/>
      <c r="FX22" s="584"/>
      <c r="FY22" s="584"/>
      <c r="FZ22" s="584"/>
      <c r="GA22" s="584"/>
      <c r="GB22" s="584"/>
      <c r="GC22" s="584"/>
      <c r="GD22" s="584"/>
      <c r="GE22" s="584"/>
      <c r="GF22" s="584"/>
      <c r="GG22" s="584"/>
      <c r="GH22" s="584"/>
      <c r="GI22" s="584"/>
      <c r="GJ22" s="584"/>
      <c r="GK22" s="584"/>
      <c r="GL22" s="584"/>
      <c r="GM22" s="584"/>
      <c r="GN22" s="584"/>
      <c r="GO22" s="584"/>
      <c r="GP22" s="584"/>
      <c r="GQ22" s="584"/>
      <c r="GR22" s="584"/>
      <c r="GS22" s="584"/>
      <c r="GT22" s="584"/>
      <c r="GU22" s="584"/>
      <c r="GV22" s="584"/>
      <c r="GW22" s="584"/>
      <c r="GX22" s="584"/>
      <c r="GY22" s="584"/>
      <c r="GZ22" s="584"/>
      <c r="HA22" s="584"/>
      <c r="HB22" s="584"/>
      <c r="HC22" s="584"/>
      <c r="HD22" s="584"/>
      <c r="HE22" s="584"/>
      <c r="HF22" s="584"/>
      <c r="HG22" s="584"/>
      <c r="HH22" s="584"/>
      <c r="HI22" s="584"/>
      <c r="HJ22" s="584"/>
      <c r="HK22" s="584"/>
      <c r="HL22" s="584"/>
      <c r="HM22" s="584"/>
      <c r="HN22" s="584"/>
      <c r="HO22" s="584"/>
      <c r="HP22" s="584"/>
      <c r="HQ22" s="584"/>
      <c r="HR22" s="584"/>
      <c r="HS22" s="584"/>
      <c r="HT22" s="584"/>
      <c r="HU22" s="584"/>
      <c r="HV22" s="584"/>
      <c r="HW22" s="584"/>
      <c r="HX22" s="584"/>
      <c r="HY22" s="584"/>
      <c r="HZ22" s="584"/>
      <c r="IA22" s="584"/>
      <c r="IB22" s="584"/>
      <c r="IC22" s="584"/>
      <c r="ID22" s="584"/>
      <c r="IE22" s="584"/>
      <c r="IF22" s="584"/>
      <c r="IG22" s="584"/>
      <c r="IH22" s="584"/>
      <c r="II22" s="584"/>
      <c r="IJ22" s="584"/>
      <c r="IK22" s="584"/>
      <c r="IL22" s="584"/>
      <c r="IM22" s="584"/>
      <c r="IN22" s="584"/>
      <c r="IO22" s="584"/>
      <c r="IP22" s="584"/>
      <c r="IQ22" s="584"/>
      <c r="IR22" s="584"/>
      <c r="IS22" s="584"/>
      <c r="IT22" s="584"/>
      <c r="IU22" s="584"/>
      <c r="IV22" s="584"/>
    </row>
    <row r="23" spans="1:256" s="590" customFormat="1" x14ac:dyDescent="0.2">
      <c r="A23" s="591" t="s">
        <v>100</v>
      </c>
      <c r="B23" s="594"/>
      <c r="C23" s="620">
        <f>Invoerblad!K51</f>
        <v>0</v>
      </c>
      <c r="D23" s="620">
        <f>Invoerblad!L51</f>
        <v>0</v>
      </c>
      <c r="E23" s="620">
        <f>Invoerblad!M51</f>
        <v>0</v>
      </c>
      <c r="F23" s="620">
        <f>Invoerblad!N51</f>
        <v>0</v>
      </c>
      <c r="G23" s="620">
        <f>Invoerblad!O51</f>
        <v>0</v>
      </c>
      <c r="H23" s="620">
        <f>Invoerblad!P51</f>
        <v>0</v>
      </c>
      <c r="I23" s="620">
        <f>Invoerblad!Q51</f>
        <v>0</v>
      </c>
      <c r="J23" s="620">
        <f>Invoerblad!R51</f>
        <v>0</v>
      </c>
      <c r="K23" s="620">
        <f>Invoerblad!S51</f>
        <v>0</v>
      </c>
      <c r="L23" s="620">
        <f>Invoerblad!T51</f>
        <v>0</v>
      </c>
      <c r="M23" s="620">
        <f>Invoerblad!U51</f>
        <v>0</v>
      </c>
      <c r="N23" s="620">
        <f>Invoerblad!V51</f>
        <v>0</v>
      </c>
      <c r="O23" s="620">
        <f>Invoerblad!W51</f>
        <v>0</v>
      </c>
      <c r="P23" s="620"/>
      <c r="Q23" s="620"/>
      <c r="R23" s="596"/>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U23" s="584"/>
      <c r="AV23" s="584"/>
      <c r="AW23" s="584"/>
      <c r="AX23" s="584"/>
      <c r="AY23" s="584"/>
      <c r="AZ23" s="584"/>
      <c r="BA23" s="584"/>
      <c r="BB23" s="584"/>
      <c r="BC23" s="584"/>
      <c r="BD23" s="584"/>
      <c r="BE23" s="584"/>
      <c r="BF23" s="584"/>
      <c r="BG23" s="584"/>
      <c r="BH23" s="584"/>
      <c r="BI23" s="584"/>
      <c r="BJ23" s="584"/>
      <c r="BK23" s="584"/>
      <c r="BL23" s="584"/>
      <c r="BM23" s="584"/>
      <c r="BN23" s="584"/>
      <c r="BO23" s="584"/>
      <c r="BP23" s="584"/>
      <c r="BQ23" s="584"/>
      <c r="BR23" s="584"/>
      <c r="BS23" s="584"/>
      <c r="BT23" s="584"/>
      <c r="BU23" s="584"/>
      <c r="BV23" s="584"/>
      <c r="BW23" s="584"/>
      <c r="BX23" s="584"/>
      <c r="BY23" s="584"/>
      <c r="BZ23" s="584"/>
      <c r="CA23" s="584"/>
      <c r="CB23" s="584"/>
      <c r="CC23" s="584"/>
      <c r="CD23" s="584"/>
      <c r="CE23" s="584"/>
      <c r="CF23" s="584"/>
      <c r="CG23" s="584"/>
      <c r="CH23" s="584"/>
      <c r="CI23" s="584"/>
      <c r="CJ23" s="584"/>
      <c r="CK23" s="584"/>
      <c r="CL23" s="584"/>
      <c r="CM23" s="584"/>
      <c r="CN23" s="584"/>
      <c r="CO23" s="584"/>
      <c r="CP23" s="584"/>
      <c r="CQ23" s="584"/>
      <c r="CR23" s="584"/>
      <c r="CS23" s="584"/>
      <c r="CT23" s="584"/>
      <c r="CU23" s="584"/>
      <c r="CV23" s="584"/>
      <c r="CW23" s="584"/>
      <c r="CX23" s="584"/>
      <c r="CY23" s="584"/>
      <c r="CZ23" s="584"/>
      <c r="DA23" s="584"/>
      <c r="DB23" s="584"/>
      <c r="DC23" s="584"/>
      <c r="DD23" s="584"/>
      <c r="DE23" s="584"/>
      <c r="DF23" s="584"/>
      <c r="DG23" s="584"/>
      <c r="DH23" s="584"/>
      <c r="DI23" s="584"/>
      <c r="DJ23" s="584"/>
      <c r="DK23" s="584"/>
      <c r="DL23" s="584"/>
      <c r="DM23" s="584"/>
      <c r="DN23" s="584"/>
      <c r="DO23" s="584"/>
      <c r="DP23" s="584"/>
      <c r="DQ23" s="584"/>
      <c r="DR23" s="584"/>
      <c r="DS23" s="584"/>
      <c r="DT23" s="584"/>
      <c r="DU23" s="584"/>
      <c r="DV23" s="584"/>
      <c r="DW23" s="584"/>
      <c r="DX23" s="584"/>
      <c r="DY23" s="584"/>
      <c r="DZ23" s="584"/>
      <c r="EA23" s="584"/>
      <c r="EB23" s="584"/>
      <c r="EC23" s="584"/>
      <c r="ED23" s="584"/>
      <c r="EE23" s="584"/>
      <c r="EF23" s="584"/>
      <c r="EG23" s="584"/>
      <c r="EH23" s="584"/>
      <c r="EI23" s="584"/>
      <c r="EJ23" s="584"/>
      <c r="EK23" s="584"/>
      <c r="EL23" s="584"/>
      <c r="EM23" s="584"/>
      <c r="EN23" s="584"/>
      <c r="EO23" s="584"/>
      <c r="EP23" s="584"/>
      <c r="EQ23" s="584"/>
      <c r="ER23" s="584"/>
      <c r="ES23" s="584"/>
      <c r="ET23" s="584"/>
      <c r="EU23" s="584"/>
      <c r="EV23" s="584"/>
      <c r="EW23" s="584"/>
      <c r="EX23" s="584"/>
      <c r="EY23" s="584"/>
      <c r="EZ23" s="584"/>
      <c r="FA23" s="584"/>
      <c r="FB23" s="584"/>
      <c r="FC23" s="584"/>
      <c r="FD23" s="584"/>
      <c r="FE23" s="584"/>
      <c r="FF23" s="584"/>
      <c r="FG23" s="584"/>
      <c r="FH23" s="584"/>
      <c r="FI23" s="584"/>
      <c r="FJ23" s="584"/>
      <c r="FK23" s="584"/>
      <c r="FL23" s="584"/>
      <c r="FM23" s="584"/>
      <c r="FN23" s="584"/>
      <c r="FO23" s="584"/>
      <c r="FP23" s="584"/>
      <c r="FQ23" s="584"/>
      <c r="FR23" s="584"/>
      <c r="FS23" s="584"/>
      <c r="FT23" s="584"/>
      <c r="FU23" s="584"/>
      <c r="FV23" s="584"/>
      <c r="FW23" s="584"/>
      <c r="FX23" s="584"/>
      <c r="FY23" s="584"/>
      <c r="FZ23" s="584"/>
      <c r="GA23" s="584"/>
      <c r="GB23" s="584"/>
      <c r="GC23" s="584"/>
      <c r="GD23" s="584"/>
      <c r="GE23" s="584"/>
      <c r="GF23" s="584"/>
      <c r="GG23" s="584"/>
      <c r="GH23" s="584"/>
      <c r="GI23" s="584"/>
      <c r="GJ23" s="584"/>
      <c r="GK23" s="584"/>
      <c r="GL23" s="584"/>
      <c r="GM23" s="584"/>
      <c r="GN23" s="584"/>
      <c r="GO23" s="584"/>
      <c r="GP23" s="584"/>
      <c r="GQ23" s="584"/>
      <c r="GR23" s="584"/>
      <c r="GS23" s="584"/>
      <c r="GT23" s="584"/>
      <c r="GU23" s="584"/>
      <c r="GV23" s="584"/>
      <c r="GW23" s="584"/>
      <c r="GX23" s="584"/>
      <c r="GY23" s="584"/>
      <c r="GZ23" s="584"/>
      <c r="HA23" s="584"/>
      <c r="HB23" s="584"/>
      <c r="HC23" s="584"/>
      <c r="HD23" s="584"/>
      <c r="HE23" s="584"/>
      <c r="HF23" s="584"/>
      <c r="HG23" s="584"/>
      <c r="HH23" s="584"/>
      <c r="HI23" s="584"/>
      <c r="HJ23" s="584"/>
      <c r="HK23" s="584"/>
      <c r="HL23" s="584"/>
      <c r="HM23" s="584"/>
      <c r="HN23" s="584"/>
      <c r="HO23" s="584"/>
      <c r="HP23" s="584"/>
      <c r="HQ23" s="584"/>
      <c r="HR23" s="584"/>
      <c r="HS23" s="584"/>
      <c r="HT23" s="584"/>
      <c r="HU23" s="584"/>
      <c r="HV23" s="584"/>
      <c r="HW23" s="584"/>
      <c r="HX23" s="584"/>
      <c r="HY23" s="584"/>
      <c r="HZ23" s="584"/>
      <c r="IA23" s="584"/>
      <c r="IB23" s="584"/>
      <c r="IC23" s="584"/>
      <c r="ID23" s="584"/>
      <c r="IE23" s="584"/>
      <c r="IF23" s="584"/>
      <c r="IG23" s="584"/>
      <c r="IH23" s="584"/>
      <c r="II23" s="584"/>
      <c r="IJ23" s="584"/>
      <c r="IK23" s="584"/>
      <c r="IL23" s="584"/>
      <c r="IM23" s="584"/>
      <c r="IN23" s="584"/>
      <c r="IO23" s="584"/>
      <c r="IP23" s="584"/>
      <c r="IQ23" s="584"/>
      <c r="IR23" s="584"/>
      <c r="IS23" s="584"/>
      <c r="IT23" s="584"/>
      <c r="IU23" s="584"/>
      <c r="IV23" s="584"/>
    </row>
    <row r="24" spans="1:256" s="590" customFormat="1" x14ac:dyDescent="0.2">
      <c r="A24" s="591" t="s">
        <v>101</v>
      </c>
      <c r="B24" s="591"/>
      <c r="C24" s="620">
        <f>+Invoerblad!K59</f>
        <v>0</v>
      </c>
      <c r="D24" s="620">
        <f>+Invoerblad!L59</f>
        <v>0</v>
      </c>
      <c r="E24" s="620">
        <f>+Invoerblad!M59</f>
        <v>0</v>
      </c>
      <c r="F24" s="620">
        <f>+Invoerblad!N59</f>
        <v>0</v>
      </c>
      <c r="G24" s="620">
        <f>+Invoerblad!O59</f>
        <v>0</v>
      </c>
      <c r="H24" s="620">
        <f>+Invoerblad!P59</f>
        <v>0</v>
      </c>
      <c r="I24" s="620">
        <f>+Invoerblad!Q59</f>
        <v>0</v>
      </c>
      <c r="J24" s="620">
        <f>+Invoerblad!R59</f>
        <v>0</v>
      </c>
      <c r="K24" s="620">
        <f>+Invoerblad!S59</f>
        <v>0</v>
      </c>
      <c r="L24" s="620">
        <f>+Invoerblad!T59</f>
        <v>0</v>
      </c>
      <c r="M24" s="620">
        <f>+Invoerblad!U59</f>
        <v>0</v>
      </c>
      <c r="N24" s="620">
        <f>+Invoerblad!V59</f>
        <v>0</v>
      </c>
      <c r="O24" s="620">
        <f>+Invoerblad!W59</f>
        <v>0</v>
      </c>
      <c r="P24" s="620"/>
      <c r="Q24" s="620"/>
      <c r="R24" s="596"/>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4"/>
      <c r="BB24" s="584"/>
      <c r="BC24" s="584"/>
      <c r="BD24" s="584"/>
      <c r="BE24" s="584"/>
      <c r="BF24" s="584"/>
      <c r="BG24" s="584"/>
      <c r="BH24" s="584"/>
      <c r="BI24" s="584"/>
      <c r="BJ24" s="584"/>
      <c r="BK24" s="584"/>
      <c r="BL24" s="584"/>
      <c r="BM24" s="584"/>
      <c r="BN24" s="584"/>
      <c r="BO24" s="584"/>
      <c r="BP24" s="584"/>
      <c r="BQ24" s="584"/>
      <c r="BR24" s="584"/>
      <c r="BS24" s="584"/>
      <c r="BT24" s="584"/>
      <c r="BU24" s="584"/>
      <c r="BV24" s="584"/>
      <c r="BW24" s="584"/>
      <c r="BX24" s="584"/>
      <c r="BY24" s="584"/>
      <c r="BZ24" s="584"/>
      <c r="CA24" s="584"/>
      <c r="CB24" s="584"/>
      <c r="CC24" s="584"/>
      <c r="CD24" s="584"/>
      <c r="CE24" s="584"/>
      <c r="CF24" s="584"/>
      <c r="CG24" s="584"/>
      <c r="CH24" s="584"/>
      <c r="CI24" s="584"/>
      <c r="CJ24" s="584"/>
      <c r="CK24" s="584"/>
      <c r="CL24" s="584"/>
      <c r="CM24" s="584"/>
      <c r="CN24" s="584"/>
      <c r="CO24" s="584"/>
      <c r="CP24" s="584"/>
      <c r="CQ24" s="584"/>
      <c r="CR24" s="584"/>
      <c r="CS24" s="584"/>
      <c r="CT24" s="584"/>
      <c r="CU24" s="584"/>
      <c r="CV24" s="584"/>
      <c r="CW24" s="584"/>
      <c r="CX24" s="584"/>
      <c r="CY24" s="584"/>
      <c r="CZ24" s="584"/>
      <c r="DA24" s="584"/>
      <c r="DB24" s="584"/>
      <c r="DC24" s="584"/>
      <c r="DD24" s="584"/>
      <c r="DE24" s="584"/>
      <c r="DF24" s="584"/>
      <c r="DG24" s="584"/>
      <c r="DH24" s="584"/>
      <c r="DI24" s="584"/>
      <c r="DJ24" s="584"/>
      <c r="DK24" s="584"/>
      <c r="DL24" s="584"/>
      <c r="DM24" s="584"/>
      <c r="DN24" s="584"/>
      <c r="DO24" s="584"/>
      <c r="DP24" s="584"/>
      <c r="DQ24" s="584"/>
      <c r="DR24" s="584"/>
      <c r="DS24" s="584"/>
      <c r="DT24" s="584"/>
      <c r="DU24" s="584"/>
      <c r="DV24" s="584"/>
      <c r="DW24" s="584"/>
      <c r="DX24" s="584"/>
      <c r="DY24" s="584"/>
      <c r="DZ24" s="584"/>
      <c r="EA24" s="584"/>
      <c r="EB24" s="584"/>
      <c r="EC24" s="584"/>
      <c r="ED24" s="584"/>
      <c r="EE24" s="584"/>
      <c r="EF24" s="584"/>
      <c r="EG24" s="584"/>
      <c r="EH24" s="584"/>
      <c r="EI24" s="584"/>
      <c r="EJ24" s="584"/>
      <c r="EK24" s="584"/>
      <c r="EL24" s="584"/>
      <c r="EM24" s="584"/>
      <c r="EN24" s="584"/>
      <c r="EO24" s="584"/>
      <c r="EP24" s="584"/>
      <c r="EQ24" s="584"/>
      <c r="ER24" s="584"/>
      <c r="ES24" s="584"/>
      <c r="ET24" s="584"/>
      <c r="EU24" s="584"/>
      <c r="EV24" s="584"/>
      <c r="EW24" s="584"/>
      <c r="EX24" s="584"/>
      <c r="EY24" s="584"/>
      <c r="EZ24" s="584"/>
      <c r="FA24" s="584"/>
      <c r="FB24" s="584"/>
      <c r="FC24" s="584"/>
      <c r="FD24" s="584"/>
      <c r="FE24" s="584"/>
      <c r="FF24" s="584"/>
      <c r="FG24" s="584"/>
      <c r="FH24" s="584"/>
      <c r="FI24" s="584"/>
      <c r="FJ24" s="584"/>
      <c r="FK24" s="584"/>
      <c r="FL24" s="584"/>
      <c r="FM24" s="584"/>
      <c r="FN24" s="584"/>
      <c r="FO24" s="584"/>
      <c r="FP24" s="584"/>
      <c r="FQ24" s="584"/>
      <c r="FR24" s="584"/>
      <c r="FS24" s="584"/>
      <c r="FT24" s="584"/>
      <c r="FU24" s="584"/>
      <c r="FV24" s="584"/>
      <c r="FW24" s="584"/>
      <c r="FX24" s="584"/>
      <c r="FY24" s="584"/>
      <c r="FZ24" s="584"/>
      <c r="GA24" s="584"/>
      <c r="GB24" s="584"/>
      <c r="GC24" s="584"/>
      <c r="GD24" s="584"/>
      <c r="GE24" s="584"/>
      <c r="GF24" s="584"/>
      <c r="GG24" s="584"/>
      <c r="GH24" s="584"/>
      <c r="GI24" s="584"/>
      <c r="GJ24" s="584"/>
      <c r="GK24" s="584"/>
      <c r="GL24" s="584"/>
      <c r="GM24" s="584"/>
      <c r="GN24" s="584"/>
      <c r="GO24" s="584"/>
      <c r="GP24" s="584"/>
      <c r="GQ24" s="584"/>
      <c r="GR24" s="584"/>
      <c r="GS24" s="584"/>
      <c r="GT24" s="584"/>
      <c r="GU24" s="584"/>
      <c r="GV24" s="584"/>
      <c r="GW24" s="584"/>
      <c r="GX24" s="584"/>
      <c r="GY24" s="584"/>
      <c r="GZ24" s="584"/>
      <c r="HA24" s="584"/>
      <c r="HB24" s="584"/>
      <c r="HC24" s="584"/>
      <c r="HD24" s="584"/>
      <c r="HE24" s="584"/>
      <c r="HF24" s="584"/>
      <c r="HG24" s="584"/>
      <c r="HH24" s="584"/>
      <c r="HI24" s="584"/>
      <c r="HJ24" s="584"/>
      <c r="HK24" s="584"/>
      <c r="HL24" s="584"/>
      <c r="HM24" s="584"/>
      <c r="HN24" s="584"/>
      <c r="HO24" s="584"/>
      <c r="HP24" s="584"/>
      <c r="HQ24" s="584"/>
      <c r="HR24" s="584"/>
      <c r="HS24" s="584"/>
      <c r="HT24" s="584"/>
      <c r="HU24" s="584"/>
      <c r="HV24" s="584"/>
      <c r="HW24" s="584"/>
      <c r="HX24" s="584"/>
      <c r="HY24" s="584"/>
      <c r="HZ24" s="584"/>
      <c r="IA24" s="584"/>
      <c r="IB24" s="584"/>
      <c r="IC24" s="584"/>
      <c r="ID24" s="584"/>
      <c r="IE24" s="584"/>
      <c r="IF24" s="584"/>
      <c r="IG24" s="584"/>
      <c r="IH24" s="584"/>
      <c r="II24" s="584"/>
      <c r="IJ24" s="584"/>
      <c r="IK24" s="584"/>
      <c r="IL24" s="584"/>
      <c r="IM24" s="584"/>
      <c r="IN24" s="584"/>
      <c r="IO24" s="584"/>
      <c r="IP24" s="584"/>
      <c r="IQ24" s="584"/>
      <c r="IR24" s="584"/>
      <c r="IS24" s="584"/>
      <c r="IT24" s="584"/>
      <c r="IU24" s="584"/>
      <c r="IV24" s="584"/>
    </row>
    <row r="25" spans="1:256" s="590" customFormat="1" x14ac:dyDescent="0.2">
      <c r="A25" s="591" t="s">
        <v>511</v>
      </c>
      <c r="B25" s="591"/>
      <c r="C25" s="620">
        <f>'VAMIL voordeel'!C10</f>
        <v>0</v>
      </c>
      <c r="D25" s="620">
        <f>'VAMIL voordeel'!D10</f>
        <v>0</v>
      </c>
      <c r="E25" s="620">
        <f>'VAMIL voordeel'!E10</f>
        <v>0</v>
      </c>
      <c r="F25" s="620">
        <f>'VAMIL voordeel'!F10</f>
        <v>0</v>
      </c>
      <c r="G25" s="620">
        <f>'VAMIL voordeel'!G10</f>
        <v>0</v>
      </c>
      <c r="H25" s="620">
        <f>'VAMIL voordeel'!H10</f>
        <v>0</v>
      </c>
      <c r="I25" s="620">
        <f>'VAMIL voordeel'!I10</f>
        <v>0</v>
      </c>
      <c r="J25" s="620">
        <f>'VAMIL voordeel'!J10</f>
        <v>0</v>
      </c>
      <c r="K25" s="620">
        <f>'VAMIL voordeel'!K10</f>
        <v>0</v>
      </c>
      <c r="L25" s="620">
        <f>'VAMIL voordeel'!L10</f>
        <v>0</v>
      </c>
      <c r="M25" s="620">
        <f>'VAMIL voordeel'!M10</f>
        <v>0</v>
      </c>
      <c r="N25" s="620">
        <f>'VAMIL voordeel'!N10</f>
        <v>0</v>
      </c>
      <c r="O25" s="620">
        <f>'VAMIL voordeel'!O10</f>
        <v>0</v>
      </c>
      <c r="P25" s="635"/>
      <c r="Q25" s="635"/>
      <c r="R25" s="597" t="s">
        <v>512</v>
      </c>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4"/>
      <c r="BI25" s="584"/>
      <c r="BJ25" s="584"/>
      <c r="BK25" s="584"/>
      <c r="BL25" s="584"/>
      <c r="BM25" s="584"/>
      <c r="BN25" s="584"/>
      <c r="BO25" s="584"/>
      <c r="BP25" s="584"/>
      <c r="BQ25" s="584"/>
      <c r="BR25" s="584"/>
      <c r="BS25" s="584"/>
      <c r="BT25" s="584"/>
      <c r="BU25" s="584"/>
      <c r="BV25" s="584"/>
      <c r="BW25" s="584"/>
      <c r="BX25" s="584"/>
      <c r="BY25" s="584"/>
      <c r="BZ25" s="584"/>
      <c r="CA25" s="584"/>
      <c r="CB25" s="584"/>
      <c r="CC25" s="584"/>
      <c r="CD25" s="584"/>
      <c r="CE25" s="584"/>
      <c r="CF25" s="584"/>
      <c r="CG25" s="584"/>
      <c r="CH25" s="584"/>
      <c r="CI25" s="584"/>
      <c r="CJ25" s="584"/>
      <c r="CK25" s="584"/>
      <c r="CL25" s="584"/>
      <c r="CM25" s="584"/>
      <c r="CN25" s="584"/>
      <c r="CO25" s="584"/>
      <c r="CP25" s="584"/>
      <c r="CQ25" s="584"/>
      <c r="CR25" s="584"/>
      <c r="CS25" s="584"/>
      <c r="CT25" s="584"/>
      <c r="CU25" s="584"/>
      <c r="CV25" s="584"/>
      <c r="CW25" s="584"/>
      <c r="CX25" s="584"/>
      <c r="CY25" s="584"/>
      <c r="CZ25" s="584"/>
      <c r="DA25" s="584"/>
      <c r="DB25" s="584"/>
      <c r="DC25" s="584"/>
      <c r="DD25" s="584"/>
      <c r="DE25" s="584"/>
      <c r="DF25" s="584"/>
      <c r="DG25" s="584"/>
      <c r="DH25" s="584"/>
      <c r="DI25" s="584"/>
      <c r="DJ25" s="584"/>
      <c r="DK25" s="584"/>
      <c r="DL25" s="584"/>
      <c r="DM25" s="584"/>
      <c r="DN25" s="584"/>
      <c r="DO25" s="584"/>
      <c r="DP25" s="584"/>
      <c r="DQ25" s="584"/>
      <c r="DR25" s="584"/>
      <c r="DS25" s="584"/>
      <c r="DT25" s="584"/>
      <c r="DU25" s="584"/>
      <c r="DV25" s="584"/>
      <c r="DW25" s="584"/>
      <c r="DX25" s="584"/>
      <c r="DY25" s="584"/>
      <c r="DZ25" s="584"/>
      <c r="EA25" s="584"/>
      <c r="EB25" s="584"/>
      <c r="EC25" s="584"/>
      <c r="ED25" s="584"/>
      <c r="EE25" s="584"/>
      <c r="EF25" s="584"/>
      <c r="EG25" s="584"/>
      <c r="EH25" s="584"/>
      <c r="EI25" s="584"/>
      <c r="EJ25" s="584"/>
      <c r="EK25" s="584"/>
      <c r="EL25" s="584"/>
      <c r="EM25" s="584"/>
      <c r="EN25" s="584"/>
      <c r="EO25" s="584"/>
      <c r="EP25" s="584"/>
      <c r="EQ25" s="584"/>
      <c r="ER25" s="584"/>
      <c r="ES25" s="584"/>
      <c r="ET25" s="584"/>
      <c r="EU25" s="584"/>
      <c r="EV25" s="584"/>
      <c r="EW25" s="584"/>
      <c r="EX25" s="584"/>
      <c r="EY25" s="584"/>
      <c r="EZ25" s="584"/>
      <c r="FA25" s="584"/>
      <c r="FB25" s="584"/>
      <c r="FC25" s="584"/>
      <c r="FD25" s="584"/>
      <c r="FE25" s="584"/>
      <c r="FF25" s="584"/>
      <c r="FG25" s="584"/>
      <c r="FH25" s="584"/>
      <c r="FI25" s="584"/>
      <c r="FJ25" s="584"/>
      <c r="FK25" s="584"/>
      <c r="FL25" s="584"/>
      <c r="FM25" s="584"/>
      <c r="FN25" s="584"/>
      <c r="FO25" s="584"/>
      <c r="FP25" s="584"/>
      <c r="FQ25" s="584"/>
      <c r="FR25" s="584"/>
      <c r="FS25" s="584"/>
      <c r="FT25" s="584"/>
      <c r="FU25" s="584"/>
      <c r="FV25" s="584"/>
      <c r="FW25" s="584"/>
      <c r="FX25" s="584"/>
      <c r="FY25" s="584"/>
      <c r="FZ25" s="584"/>
      <c r="GA25" s="584"/>
      <c r="GB25" s="584"/>
      <c r="GC25" s="584"/>
      <c r="GD25" s="584"/>
      <c r="GE25" s="584"/>
      <c r="GF25" s="584"/>
      <c r="GG25" s="584"/>
      <c r="GH25" s="584"/>
      <c r="GI25" s="584"/>
      <c r="GJ25" s="584"/>
      <c r="GK25" s="584"/>
      <c r="GL25" s="584"/>
      <c r="GM25" s="584"/>
      <c r="GN25" s="584"/>
      <c r="GO25" s="584"/>
      <c r="GP25" s="584"/>
      <c r="GQ25" s="584"/>
      <c r="GR25" s="584"/>
      <c r="GS25" s="584"/>
      <c r="GT25" s="584"/>
      <c r="GU25" s="584"/>
      <c r="GV25" s="584"/>
      <c r="GW25" s="584"/>
      <c r="GX25" s="584"/>
      <c r="GY25" s="584"/>
      <c r="GZ25" s="584"/>
      <c r="HA25" s="584"/>
      <c r="HB25" s="584"/>
      <c r="HC25" s="584"/>
      <c r="HD25" s="584"/>
      <c r="HE25" s="584"/>
      <c r="HF25" s="584"/>
      <c r="HG25" s="584"/>
      <c r="HH25" s="584"/>
      <c r="HI25" s="584"/>
      <c r="HJ25" s="584"/>
      <c r="HK25" s="584"/>
      <c r="HL25" s="584"/>
      <c r="HM25" s="584"/>
      <c r="HN25" s="584"/>
      <c r="HO25" s="584"/>
      <c r="HP25" s="584"/>
      <c r="HQ25" s="584"/>
      <c r="HR25" s="584"/>
      <c r="HS25" s="584"/>
      <c r="HT25" s="584"/>
      <c r="HU25" s="584"/>
      <c r="HV25" s="584"/>
      <c r="HW25" s="584"/>
      <c r="HX25" s="584"/>
      <c r="HY25" s="584"/>
      <c r="HZ25" s="584"/>
      <c r="IA25" s="584"/>
      <c r="IB25" s="584"/>
      <c r="IC25" s="584"/>
      <c r="ID25" s="584"/>
      <c r="IE25" s="584"/>
      <c r="IF25" s="584"/>
      <c r="IG25" s="584"/>
      <c r="IH25" s="584"/>
      <c r="II25" s="584"/>
      <c r="IJ25" s="584"/>
      <c r="IK25" s="584"/>
      <c r="IL25" s="584"/>
      <c r="IM25" s="584"/>
      <c r="IN25" s="584"/>
      <c r="IO25" s="584"/>
      <c r="IP25" s="584"/>
      <c r="IQ25" s="584"/>
      <c r="IR25" s="584"/>
      <c r="IS25" s="584"/>
      <c r="IT25" s="584"/>
      <c r="IU25" s="584"/>
      <c r="IV25" s="584"/>
    </row>
    <row r="26" spans="1:256" s="590" customFormat="1" x14ac:dyDescent="0.2">
      <c r="A26" s="591" t="s">
        <v>520</v>
      </c>
      <c r="B26" s="591"/>
      <c r="C26" s="620"/>
      <c r="D26" s="620"/>
      <c r="E26" s="620"/>
      <c r="F26" s="620"/>
      <c r="G26" s="620"/>
      <c r="H26" s="620"/>
      <c r="I26" s="620"/>
      <c r="J26" s="620"/>
      <c r="K26" s="620"/>
      <c r="L26" s="620"/>
      <c r="M26" s="620"/>
      <c r="N26" s="620"/>
      <c r="O26" s="620"/>
      <c r="P26" s="635"/>
      <c r="Q26" s="635"/>
      <c r="R26" s="597"/>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4"/>
      <c r="AV26" s="584"/>
      <c r="AW26" s="584"/>
      <c r="AX26" s="584"/>
      <c r="AY26" s="584"/>
      <c r="AZ26" s="584"/>
      <c r="BA26" s="584"/>
      <c r="BB26" s="584"/>
      <c r="BC26" s="584"/>
      <c r="BD26" s="584"/>
      <c r="BE26" s="584"/>
      <c r="BF26" s="584"/>
      <c r="BG26" s="584"/>
      <c r="BH26" s="584"/>
      <c r="BI26" s="584"/>
      <c r="BJ26" s="584"/>
      <c r="BK26" s="584"/>
      <c r="BL26" s="584"/>
      <c r="BM26" s="584"/>
      <c r="BN26" s="584"/>
      <c r="BO26" s="584"/>
      <c r="BP26" s="584"/>
      <c r="BQ26" s="584"/>
      <c r="BR26" s="584"/>
      <c r="BS26" s="584"/>
      <c r="BT26" s="584"/>
      <c r="BU26" s="584"/>
      <c r="BV26" s="584"/>
      <c r="BW26" s="584"/>
      <c r="BX26" s="584"/>
      <c r="BY26" s="584"/>
      <c r="BZ26" s="584"/>
      <c r="CA26" s="584"/>
      <c r="CB26" s="584"/>
      <c r="CC26" s="584"/>
      <c r="CD26" s="584"/>
      <c r="CE26" s="584"/>
      <c r="CF26" s="584"/>
      <c r="CG26" s="584"/>
      <c r="CH26" s="584"/>
      <c r="CI26" s="584"/>
      <c r="CJ26" s="584"/>
      <c r="CK26" s="584"/>
      <c r="CL26" s="584"/>
      <c r="CM26" s="584"/>
      <c r="CN26" s="584"/>
      <c r="CO26" s="584"/>
      <c r="CP26" s="584"/>
      <c r="CQ26" s="584"/>
      <c r="CR26" s="584"/>
      <c r="CS26" s="584"/>
      <c r="CT26" s="584"/>
      <c r="CU26" s="584"/>
      <c r="CV26" s="584"/>
      <c r="CW26" s="584"/>
      <c r="CX26" s="584"/>
      <c r="CY26" s="584"/>
      <c r="CZ26" s="584"/>
      <c r="DA26" s="584"/>
      <c r="DB26" s="584"/>
      <c r="DC26" s="584"/>
      <c r="DD26" s="584"/>
      <c r="DE26" s="584"/>
      <c r="DF26" s="584"/>
      <c r="DG26" s="584"/>
      <c r="DH26" s="584"/>
      <c r="DI26" s="584"/>
      <c r="DJ26" s="584"/>
      <c r="DK26" s="584"/>
      <c r="DL26" s="584"/>
      <c r="DM26" s="584"/>
      <c r="DN26" s="584"/>
      <c r="DO26" s="584"/>
      <c r="DP26" s="584"/>
      <c r="DQ26" s="584"/>
      <c r="DR26" s="584"/>
      <c r="DS26" s="584"/>
      <c r="DT26" s="584"/>
      <c r="DU26" s="584"/>
      <c r="DV26" s="584"/>
      <c r="DW26" s="584"/>
      <c r="DX26" s="584"/>
      <c r="DY26" s="584"/>
      <c r="DZ26" s="584"/>
      <c r="EA26" s="584"/>
      <c r="EB26" s="584"/>
      <c r="EC26" s="584"/>
      <c r="ED26" s="584"/>
      <c r="EE26" s="584"/>
      <c r="EF26" s="584"/>
      <c r="EG26" s="584"/>
      <c r="EH26" s="584"/>
      <c r="EI26" s="584"/>
      <c r="EJ26" s="584"/>
      <c r="EK26" s="584"/>
      <c r="EL26" s="584"/>
      <c r="EM26" s="584"/>
      <c r="EN26" s="584"/>
      <c r="EO26" s="584"/>
      <c r="EP26" s="584"/>
      <c r="EQ26" s="584"/>
      <c r="ER26" s="584"/>
      <c r="ES26" s="584"/>
      <c r="ET26" s="584"/>
      <c r="EU26" s="584"/>
      <c r="EV26" s="584"/>
      <c r="EW26" s="584"/>
      <c r="EX26" s="584"/>
      <c r="EY26" s="584"/>
      <c r="EZ26" s="584"/>
      <c r="FA26" s="584"/>
      <c r="FB26" s="584"/>
      <c r="FC26" s="584"/>
      <c r="FD26" s="584"/>
      <c r="FE26" s="584"/>
      <c r="FF26" s="584"/>
      <c r="FG26" s="584"/>
      <c r="FH26" s="584"/>
      <c r="FI26" s="584"/>
      <c r="FJ26" s="584"/>
      <c r="FK26" s="584"/>
      <c r="FL26" s="584"/>
      <c r="FM26" s="584"/>
      <c r="FN26" s="584"/>
      <c r="FO26" s="584"/>
      <c r="FP26" s="584"/>
      <c r="FQ26" s="584"/>
      <c r="FR26" s="584"/>
      <c r="FS26" s="584"/>
      <c r="FT26" s="584"/>
      <c r="FU26" s="584"/>
      <c r="FV26" s="584"/>
      <c r="FW26" s="584"/>
      <c r="FX26" s="584"/>
      <c r="FY26" s="584"/>
      <c r="FZ26" s="584"/>
      <c r="GA26" s="584"/>
      <c r="GB26" s="584"/>
      <c r="GC26" s="584"/>
      <c r="GD26" s="584"/>
      <c r="GE26" s="584"/>
      <c r="GF26" s="584"/>
      <c r="GG26" s="584"/>
      <c r="GH26" s="584"/>
      <c r="GI26" s="584"/>
      <c r="GJ26" s="584"/>
      <c r="GK26" s="584"/>
      <c r="GL26" s="584"/>
      <c r="GM26" s="584"/>
      <c r="GN26" s="584"/>
      <c r="GO26" s="584"/>
      <c r="GP26" s="584"/>
      <c r="GQ26" s="584"/>
      <c r="GR26" s="584"/>
      <c r="GS26" s="584"/>
      <c r="GT26" s="584"/>
      <c r="GU26" s="584"/>
      <c r="GV26" s="584"/>
      <c r="GW26" s="584"/>
      <c r="GX26" s="584"/>
      <c r="GY26" s="584"/>
      <c r="GZ26" s="584"/>
      <c r="HA26" s="584"/>
      <c r="HB26" s="584"/>
      <c r="HC26" s="584"/>
      <c r="HD26" s="584"/>
      <c r="HE26" s="584"/>
      <c r="HF26" s="584"/>
      <c r="HG26" s="584"/>
      <c r="HH26" s="584"/>
      <c r="HI26" s="584"/>
      <c r="HJ26" s="584"/>
      <c r="HK26" s="584"/>
      <c r="HL26" s="584"/>
      <c r="HM26" s="584"/>
      <c r="HN26" s="584"/>
      <c r="HO26" s="584"/>
      <c r="HP26" s="584"/>
      <c r="HQ26" s="584"/>
      <c r="HR26" s="584"/>
      <c r="HS26" s="584"/>
      <c r="HT26" s="584"/>
      <c r="HU26" s="584"/>
      <c r="HV26" s="584"/>
      <c r="HW26" s="584"/>
      <c r="HX26" s="584"/>
      <c r="HY26" s="584"/>
      <c r="HZ26" s="584"/>
      <c r="IA26" s="584"/>
      <c r="IB26" s="584"/>
      <c r="IC26" s="584"/>
      <c r="ID26" s="584"/>
      <c r="IE26" s="584"/>
      <c r="IF26" s="584"/>
      <c r="IG26" s="584"/>
      <c r="IH26" s="584"/>
      <c r="II26" s="584"/>
      <c r="IJ26" s="584"/>
      <c r="IK26" s="584"/>
      <c r="IL26" s="584"/>
      <c r="IM26" s="584"/>
      <c r="IN26" s="584"/>
      <c r="IO26" s="584"/>
      <c r="IP26" s="584"/>
      <c r="IQ26" s="584"/>
      <c r="IR26" s="584"/>
      <c r="IS26" s="584"/>
      <c r="IT26" s="584"/>
      <c r="IU26" s="584"/>
      <c r="IV26" s="584"/>
    </row>
    <row r="27" spans="1:256" s="590" customFormat="1" x14ac:dyDescent="0.2">
      <c r="A27" s="591"/>
      <c r="B27" s="591"/>
      <c r="M27" s="584"/>
      <c r="N27" s="584"/>
      <c r="O27" s="584"/>
      <c r="P27" s="584"/>
      <c r="Q27" s="584"/>
      <c r="R27" s="596"/>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4"/>
      <c r="AV27" s="584"/>
      <c r="AW27" s="584"/>
      <c r="AX27" s="584"/>
      <c r="AY27" s="584"/>
      <c r="AZ27" s="584"/>
      <c r="BA27" s="584"/>
      <c r="BB27" s="584"/>
      <c r="BC27" s="584"/>
      <c r="BD27" s="584"/>
      <c r="BE27" s="584"/>
      <c r="BF27" s="584"/>
      <c r="BG27" s="584"/>
      <c r="BH27" s="584"/>
      <c r="BI27" s="584"/>
      <c r="BJ27" s="584"/>
      <c r="BK27" s="584"/>
      <c r="BL27" s="584"/>
      <c r="BM27" s="584"/>
      <c r="BN27" s="584"/>
      <c r="BO27" s="584"/>
      <c r="BP27" s="584"/>
      <c r="BQ27" s="584"/>
      <c r="BR27" s="584"/>
      <c r="BS27" s="584"/>
      <c r="BT27" s="584"/>
      <c r="BU27" s="584"/>
      <c r="BV27" s="584"/>
      <c r="BW27" s="584"/>
      <c r="BX27" s="584"/>
      <c r="BY27" s="584"/>
      <c r="BZ27" s="584"/>
      <c r="CA27" s="584"/>
      <c r="CB27" s="584"/>
      <c r="CC27" s="584"/>
      <c r="CD27" s="584"/>
      <c r="CE27" s="584"/>
      <c r="CF27" s="584"/>
      <c r="CG27" s="584"/>
      <c r="CH27" s="584"/>
      <c r="CI27" s="584"/>
      <c r="CJ27" s="584"/>
      <c r="CK27" s="584"/>
      <c r="CL27" s="584"/>
      <c r="CM27" s="584"/>
      <c r="CN27" s="584"/>
      <c r="CO27" s="584"/>
      <c r="CP27" s="584"/>
      <c r="CQ27" s="584"/>
      <c r="CR27" s="584"/>
      <c r="CS27" s="584"/>
      <c r="CT27" s="584"/>
      <c r="CU27" s="584"/>
      <c r="CV27" s="584"/>
      <c r="CW27" s="584"/>
      <c r="CX27" s="584"/>
      <c r="CY27" s="584"/>
      <c r="CZ27" s="584"/>
      <c r="DA27" s="584"/>
      <c r="DB27" s="584"/>
      <c r="DC27" s="584"/>
      <c r="DD27" s="584"/>
      <c r="DE27" s="584"/>
      <c r="DF27" s="584"/>
      <c r="DG27" s="584"/>
      <c r="DH27" s="584"/>
      <c r="DI27" s="584"/>
      <c r="DJ27" s="584"/>
      <c r="DK27" s="584"/>
      <c r="DL27" s="584"/>
      <c r="DM27" s="584"/>
      <c r="DN27" s="584"/>
      <c r="DO27" s="584"/>
      <c r="DP27" s="584"/>
      <c r="DQ27" s="584"/>
      <c r="DR27" s="584"/>
      <c r="DS27" s="584"/>
      <c r="DT27" s="584"/>
      <c r="DU27" s="584"/>
      <c r="DV27" s="584"/>
      <c r="DW27" s="584"/>
      <c r="DX27" s="584"/>
      <c r="DY27" s="584"/>
      <c r="DZ27" s="584"/>
      <c r="EA27" s="584"/>
      <c r="EB27" s="584"/>
      <c r="EC27" s="584"/>
      <c r="ED27" s="584"/>
      <c r="EE27" s="584"/>
      <c r="EF27" s="584"/>
      <c r="EG27" s="584"/>
      <c r="EH27" s="584"/>
      <c r="EI27" s="584"/>
      <c r="EJ27" s="584"/>
      <c r="EK27" s="584"/>
      <c r="EL27" s="584"/>
      <c r="EM27" s="584"/>
      <c r="EN27" s="584"/>
      <c r="EO27" s="584"/>
      <c r="EP27" s="584"/>
      <c r="EQ27" s="584"/>
      <c r="ER27" s="584"/>
      <c r="ES27" s="584"/>
      <c r="ET27" s="584"/>
      <c r="EU27" s="584"/>
      <c r="EV27" s="584"/>
      <c r="EW27" s="584"/>
      <c r="EX27" s="584"/>
      <c r="EY27" s="584"/>
      <c r="EZ27" s="584"/>
      <c r="FA27" s="584"/>
      <c r="FB27" s="584"/>
      <c r="FC27" s="584"/>
      <c r="FD27" s="584"/>
      <c r="FE27" s="584"/>
      <c r="FF27" s="584"/>
      <c r="FG27" s="584"/>
      <c r="FH27" s="584"/>
      <c r="FI27" s="584"/>
      <c r="FJ27" s="584"/>
      <c r="FK27" s="584"/>
      <c r="FL27" s="584"/>
      <c r="FM27" s="584"/>
      <c r="FN27" s="584"/>
      <c r="FO27" s="584"/>
      <c r="FP27" s="584"/>
      <c r="FQ27" s="584"/>
      <c r="FR27" s="584"/>
      <c r="FS27" s="584"/>
      <c r="FT27" s="584"/>
      <c r="FU27" s="584"/>
      <c r="FV27" s="584"/>
      <c r="FW27" s="584"/>
      <c r="FX27" s="584"/>
      <c r="FY27" s="584"/>
      <c r="FZ27" s="584"/>
      <c r="GA27" s="584"/>
      <c r="GB27" s="584"/>
      <c r="GC27" s="584"/>
      <c r="GD27" s="584"/>
      <c r="GE27" s="584"/>
      <c r="GF27" s="584"/>
      <c r="GG27" s="584"/>
      <c r="GH27" s="584"/>
      <c r="GI27" s="584"/>
      <c r="GJ27" s="584"/>
      <c r="GK27" s="584"/>
      <c r="GL27" s="584"/>
      <c r="GM27" s="584"/>
      <c r="GN27" s="584"/>
      <c r="GO27" s="584"/>
      <c r="GP27" s="584"/>
      <c r="GQ27" s="584"/>
      <c r="GR27" s="584"/>
      <c r="GS27" s="584"/>
      <c r="GT27" s="584"/>
      <c r="GU27" s="584"/>
      <c r="GV27" s="584"/>
      <c r="GW27" s="584"/>
      <c r="GX27" s="584"/>
      <c r="GY27" s="584"/>
      <c r="GZ27" s="584"/>
      <c r="HA27" s="584"/>
      <c r="HB27" s="584"/>
      <c r="HC27" s="584"/>
      <c r="HD27" s="584"/>
      <c r="HE27" s="584"/>
      <c r="HF27" s="584"/>
      <c r="HG27" s="584"/>
      <c r="HH27" s="584"/>
      <c r="HI27" s="584"/>
      <c r="HJ27" s="584"/>
      <c r="HK27" s="584"/>
      <c r="HL27" s="584"/>
      <c r="HM27" s="584"/>
      <c r="HN27" s="584"/>
      <c r="HO27" s="584"/>
      <c r="HP27" s="584"/>
      <c r="HQ27" s="584"/>
      <c r="HR27" s="584"/>
      <c r="HS27" s="584"/>
      <c r="HT27" s="584"/>
      <c r="HU27" s="584"/>
      <c r="HV27" s="584"/>
      <c r="HW27" s="584"/>
      <c r="HX27" s="584"/>
      <c r="HY27" s="584"/>
      <c r="HZ27" s="584"/>
      <c r="IA27" s="584"/>
      <c r="IB27" s="584"/>
      <c r="IC27" s="584"/>
      <c r="ID27" s="584"/>
      <c r="IE27" s="584"/>
      <c r="IF27" s="584"/>
      <c r="IG27" s="584"/>
      <c r="IH27" s="584"/>
      <c r="II27" s="584"/>
      <c r="IJ27" s="584"/>
      <c r="IK27" s="584"/>
      <c r="IL27" s="584"/>
      <c r="IM27" s="584"/>
      <c r="IN27" s="584"/>
      <c r="IO27" s="584"/>
      <c r="IP27" s="584"/>
      <c r="IQ27" s="584"/>
      <c r="IR27" s="584"/>
      <c r="IS27" s="584"/>
      <c r="IT27" s="584"/>
      <c r="IU27" s="584"/>
      <c r="IV27" s="584"/>
    </row>
    <row r="28" spans="1:256" s="590" customFormat="1" x14ac:dyDescent="0.2">
      <c r="A28" s="595" t="s">
        <v>519</v>
      </c>
      <c r="B28" s="591"/>
      <c r="C28" s="620">
        <f>+C21-C23-C24</f>
        <v>0</v>
      </c>
      <c r="D28" s="620">
        <f t="shared" ref="D28:O28" si="4">+D21-D23-D24</f>
        <v>0</v>
      </c>
      <c r="E28" s="620">
        <f t="shared" si="4"/>
        <v>0</v>
      </c>
      <c r="F28" s="620">
        <f t="shared" si="4"/>
        <v>0</v>
      </c>
      <c r="G28" s="620">
        <f t="shared" si="4"/>
        <v>0</v>
      </c>
      <c r="H28" s="620">
        <f t="shared" si="4"/>
        <v>0</v>
      </c>
      <c r="I28" s="620">
        <f t="shared" si="4"/>
        <v>0</v>
      </c>
      <c r="J28" s="620">
        <f t="shared" si="4"/>
        <v>0</v>
      </c>
      <c r="K28" s="620">
        <f t="shared" si="4"/>
        <v>0</v>
      </c>
      <c r="L28" s="620">
        <f t="shared" si="4"/>
        <v>0</v>
      </c>
      <c r="M28" s="620">
        <f t="shared" si="4"/>
        <v>0</v>
      </c>
      <c r="N28" s="620">
        <f t="shared" si="4"/>
        <v>0</v>
      </c>
      <c r="O28" s="620">
        <f t="shared" si="4"/>
        <v>0</v>
      </c>
      <c r="P28" s="620"/>
      <c r="Q28" s="620"/>
      <c r="R28" s="596"/>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584"/>
      <c r="BA28" s="584"/>
      <c r="BB28" s="584"/>
      <c r="BC28" s="584"/>
      <c r="BD28" s="584"/>
      <c r="BE28" s="584"/>
      <c r="BF28" s="584"/>
      <c r="BG28" s="584"/>
      <c r="BH28" s="584"/>
      <c r="BI28" s="584"/>
      <c r="BJ28" s="584"/>
      <c r="BK28" s="584"/>
      <c r="BL28" s="584"/>
      <c r="BM28" s="584"/>
      <c r="BN28" s="584"/>
      <c r="BO28" s="584"/>
      <c r="BP28" s="584"/>
      <c r="BQ28" s="584"/>
      <c r="BR28" s="584"/>
      <c r="BS28" s="584"/>
      <c r="BT28" s="584"/>
      <c r="BU28" s="584"/>
      <c r="BV28" s="584"/>
      <c r="BW28" s="584"/>
      <c r="BX28" s="584"/>
      <c r="BY28" s="584"/>
      <c r="BZ28" s="584"/>
      <c r="CA28" s="584"/>
      <c r="CB28" s="584"/>
      <c r="CC28" s="584"/>
      <c r="CD28" s="584"/>
      <c r="CE28" s="584"/>
      <c r="CF28" s="584"/>
      <c r="CG28" s="584"/>
      <c r="CH28" s="584"/>
      <c r="CI28" s="584"/>
      <c r="CJ28" s="584"/>
      <c r="CK28" s="584"/>
      <c r="CL28" s="584"/>
      <c r="CM28" s="584"/>
      <c r="CN28" s="584"/>
      <c r="CO28" s="584"/>
      <c r="CP28" s="584"/>
      <c r="CQ28" s="584"/>
      <c r="CR28" s="584"/>
      <c r="CS28" s="584"/>
      <c r="CT28" s="584"/>
      <c r="CU28" s="584"/>
      <c r="CV28" s="584"/>
      <c r="CW28" s="584"/>
      <c r="CX28" s="584"/>
      <c r="CY28" s="584"/>
      <c r="CZ28" s="584"/>
      <c r="DA28" s="584"/>
      <c r="DB28" s="584"/>
      <c r="DC28" s="584"/>
      <c r="DD28" s="584"/>
      <c r="DE28" s="584"/>
      <c r="DF28" s="584"/>
      <c r="DG28" s="584"/>
      <c r="DH28" s="584"/>
      <c r="DI28" s="584"/>
      <c r="DJ28" s="584"/>
      <c r="DK28" s="584"/>
      <c r="DL28" s="584"/>
      <c r="DM28" s="584"/>
      <c r="DN28" s="584"/>
      <c r="DO28" s="584"/>
      <c r="DP28" s="584"/>
      <c r="DQ28" s="584"/>
      <c r="DR28" s="584"/>
      <c r="DS28" s="584"/>
      <c r="DT28" s="584"/>
      <c r="DU28" s="584"/>
      <c r="DV28" s="584"/>
      <c r="DW28" s="584"/>
      <c r="DX28" s="584"/>
      <c r="DY28" s="584"/>
      <c r="DZ28" s="584"/>
      <c r="EA28" s="584"/>
      <c r="EB28" s="584"/>
      <c r="EC28" s="584"/>
      <c r="ED28" s="584"/>
      <c r="EE28" s="584"/>
      <c r="EF28" s="584"/>
      <c r="EG28" s="584"/>
      <c r="EH28" s="584"/>
      <c r="EI28" s="584"/>
      <c r="EJ28" s="584"/>
      <c r="EK28" s="584"/>
      <c r="EL28" s="584"/>
      <c r="EM28" s="584"/>
      <c r="EN28" s="584"/>
      <c r="EO28" s="584"/>
      <c r="EP28" s="584"/>
      <c r="EQ28" s="584"/>
      <c r="ER28" s="584"/>
      <c r="ES28" s="584"/>
      <c r="ET28" s="584"/>
      <c r="EU28" s="584"/>
      <c r="EV28" s="584"/>
      <c r="EW28" s="584"/>
      <c r="EX28" s="584"/>
      <c r="EY28" s="584"/>
      <c r="EZ28" s="584"/>
      <c r="FA28" s="584"/>
      <c r="FB28" s="584"/>
      <c r="FC28" s="584"/>
      <c r="FD28" s="584"/>
      <c r="FE28" s="584"/>
      <c r="FF28" s="584"/>
      <c r="FG28" s="584"/>
      <c r="FH28" s="584"/>
      <c r="FI28" s="584"/>
      <c r="FJ28" s="584"/>
      <c r="FK28" s="584"/>
      <c r="FL28" s="584"/>
      <c r="FM28" s="584"/>
      <c r="FN28" s="584"/>
      <c r="FO28" s="584"/>
      <c r="FP28" s="584"/>
      <c r="FQ28" s="584"/>
      <c r="FR28" s="584"/>
      <c r="FS28" s="584"/>
      <c r="FT28" s="584"/>
      <c r="FU28" s="584"/>
      <c r="FV28" s="584"/>
      <c r="FW28" s="584"/>
      <c r="FX28" s="584"/>
      <c r="FY28" s="584"/>
      <c r="FZ28" s="584"/>
      <c r="GA28" s="584"/>
      <c r="GB28" s="584"/>
      <c r="GC28" s="584"/>
      <c r="GD28" s="584"/>
      <c r="GE28" s="584"/>
      <c r="GF28" s="584"/>
      <c r="GG28" s="584"/>
      <c r="GH28" s="584"/>
      <c r="GI28" s="584"/>
      <c r="GJ28" s="584"/>
      <c r="GK28" s="584"/>
      <c r="GL28" s="584"/>
      <c r="GM28" s="584"/>
      <c r="GN28" s="584"/>
      <c r="GO28" s="584"/>
      <c r="GP28" s="584"/>
      <c r="GQ28" s="584"/>
      <c r="GR28" s="584"/>
      <c r="GS28" s="584"/>
      <c r="GT28" s="584"/>
      <c r="GU28" s="584"/>
      <c r="GV28" s="584"/>
      <c r="GW28" s="584"/>
      <c r="GX28" s="584"/>
      <c r="GY28" s="584"/>
      <c r="GZ28" s="584"/>
      <c r="HA28" s="584"/>
      <c r="HB28" s="584"/>
      <c r="HC28" s="584"/>
      <c r="HD28" s="584"/>
      <c r="HE28" s="584"/>
      <c r="HF28" s="584"/>
      <c r="HG28" s="584"/>
      <c r="HH28" s="584"/>
      <c r="HI28" s="584"/>
      <c r="HJ28" s="584"/>
      <c r="HK28" s="584"/>
      <c r="HL28" s="584"/>
      <c r="HM28" s="584"/>
      <c r="HN28" s="584"/>
      <c r="HO28" s="584"/>
      <c r="HP28" s="584"/>
      <c r="HQ28" s="584"/>
      <c r="HR28" s="584"/>
      <c r="HS28" s="584"/>
      <c r="HT28" s="584"/>
      <c r="HU28" s="584"/>
      <c r="HV28" s="584"/>
      <c r="HW28" s="584"/>
      <c r="HX28" s="584"/>
      <c r="HY28" s="584"/>
      <c r="HZ28" s="584"/>
      <c r="IA28" s="584"/>
      <c r="IB28" s="584"/>
      <c r="IC28" s="584"/>
      <c r="ID28" s="584"/>
      <c r="IE28" s="584"/>
      <c r="IF28" s="584"/>
      <c r="IG28" s="584"/>
      <c r="IH28" s="584"/>
      <c r="II28" s="584"/>
      <c r="IJ28" s="584"/>
      <c r="IK28" s="584"/>
      <c r="IL28" s="584"/>
      <c r="IM28" s="584"/>
      <c r="IN28" s="584"/>
      <c r="IO28" s="584"/>
      <c r="IP28" s="584"/>
      <c r="IQ28" s="584"/>
      <c r="IR28" s="584"/>
      <c r="IS28" s="584"/>
      <c r="IT28" s="584"/>
      <c r="IU28" s="584"/>
      <c r="IV28" s="584"/>
    </row>
    <row r="29" spans="1:256" s="590" customFormat="1" x14ac:dyDescent="0.2">
      <c r="A29" s="591"/>
      <c r="B29" s="591"/>
      <c r="M29" s="584"/>
      <c r="N29" s="584"/>
      <c r="O29" s="584"/>
      <c r="P29" s="584"/>
      <c r="Q29" s="584"/>
      <c r="R29" s="596"/>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4"/>
      <c r="AV29" s="584"/>
      <c r="AW29" s="584"/>
      <c r="AX29" s="584"/>
      <c r="AY29" s="584"/>
      <c r="AZ29" s="584"/>
      <c r="BA29" s="584"/>
      <c r="BB29" s="584"/>
      <c r="BC29" s="584"/>
      <c r="BD29" s="584"/>
      <c r="BE29" s="584"/>
      <c r="BF29" s="584"/>
      <c r="BG29" s="584"/>
      <c r="BH29" s="584"/>
      <c r="BI29" s="584"/>
      <c r="BJ29" s="584"/>
      <c r="BK29" s="584"/>
      <c r="BL29" s="584"/>
      <c r="BM29" s="584"/>
      <c r="BN29" s="584"/>
      <c r="BO29" s="584"/>
      <c r="BP29" s="584"/>
      <c r="BQ29" s="584"/>
      <c r="BR29" s="584"/>
      <c r="BS29" s="584"/>
      <c r="BT29" s="584"/>
      <c r="BU29" s="584"/>
      <c r="BV29" s="584"/>
      <c r="BW29" s="584"/>
      <c r="BX29" s="584"/>
      <c r="BY29" s="584"/>
      <c r="BZ29" s="584"/>
      <c r="CA29" s="584"/>
      <c r="CB29" s="584"/>
      <c r="CC29" s="584"/>
      <c r="CD29" s="584"/>
      <c r="CE29" s="584"/>
      <c r="CF29" s="584"/>
      <c r="CG29" s="584"/>
      <c r="CH29" s="584"/>
      <c r="CI29" s="584"/>
      <c r="CJ29" s="584"/>
      <c r="CK29" s="584"/>
      <c r="CL29" s="584"/>
      <c r="CM29" s="584"/>
      <c r="CN29" s="584"/>
      <c r="CO29" s="584"/>
      <c r="CP29" s="584"/>
      <c r="CQ29" s="584"/>
      <c r="CR29" s="584"/>
      <c r="CS29" s="584"/>
      <c r="CT29" s="584"/>
      <c r="CU29" s="584"/>
      <c r="CV29" s="584"/>
      <c r="CW29" s="584"/>
      <c r="CX29" s="584"/>
      <c r="CY29" s="584"/>
      <c r="CZ29" s="584"/>
      <c r="DA29" s="584"/>
      <c r="DB29" s="584"/>
      <c r="DC29" s="584"/>
      <c r="DD29" s="584"/>
      <c r="DE29" s="584"/>
      <c r="DF29" s="584"/>
      <c r="DG29" s="584"/>
      <c r="DH29" s="584"/>
      <c r="DI29" s="584"/>
      <c r="DJ29" s="584"/>
      <c r="DK29" s="584"/>
      <c r="DL29" s="584"/>
      <c r="DM29" s="584"/>
      <c r="DN29" s="584"/>
      <c r="DO29" s="584"/>
      <c r="DP29" s="584"/>
      <c r="DQ29" s="584"/>
      <c r="DR29" s="584"/>
      <c r="DS29" s="584"/>
      <c r="DT29" s="584"/>
      <c r="DU29" s="584"/>
      <c r="DV29" s="584"/>
      <c r="DW29" s="584"/>
      <c r="DX29" s="584"/>
      <c r="DY29" s="584"/>
      <c r="DZ29" s="584"/>
      <c r="EA29" s="584"/>
      <c r="EB29" s="584"/>
      <c r="EC29" s="584"/>
      <c r="ED29" s="584"/>
      <c r="EE29" s="584"/>
      <c r="EF29" s="584"/>
      <c r="EG29" s="584"/>
      <c r="EH29" s="584"/>
      <c r="EI29" s="584"/>
      <c r="EJ29" s="584"/>
      <c r="EK29" s="584"/>
      <c r="EL29" s="584"/>
      <c r="EM29" s="584"/>
      <c r="EN29" s="584"/>
      <c r="EO29" s="584"/>
      <c r="EP29" s="584"/>
      <c r="EQ29" s="584"/>
      <c r="ER29" s="584"/>
      <c r="ES29" s="584"/>
      <c r="ET29" s="584"/>
      <c r="EU29" s="584"/>
      <c r="EV29" s="584"/>
      <c r="EW29" s="584"/>
      <c r="EX29" s="584"/>
      <c r="EY29" s="584"/>
      <c r="EZ29" s="584"/>
      <c r="FA29" s="584"/>
      <c r="FB29" s="584"/>
      <c r="FC29" s="584"/>
      <c r="FD29" s="584"/>
      <c r="FE29" s="584"/>
      <c r="FF29" s="584"/>
      <c r="FG29" s="584"/>
      <c r="FH29" s="584"/>
      <c r="FI29" s="584"/>
      <c r="FJ29" s="584"/>
      <c r="FK29" s="584"/>
      <c r="FL29" s="584"/>
      <c r="FM29" s="584"/>
      <c r="FN29" s="584"/>
      <c r="FO29" s="584"/>
      <c r="FP29" s="584"/>
      <c r="FQ29" s="584"/>
      <c r="FR29" s="584"/>
      <c r="FS29" s="584"/>
      <c r="FT29" s="584"/>
      <c r="FU29" s="584"/>
      <c r="FV29" s="584"/>
      <c r="FW29" s="584"/>
      <c r="FX29" s="584"/>
      <c r="FY29" s="584"/>
      <c r="FZ29" s="584"/>
      <c r="GA29" s="584"/>
      <c r="GB29" s="584"/>
      <c r="GC29" s="584"/>
      <c r="GD29" s="584"/>
      <c r="GE29" s="584"/>
      <c r="GF29" s="584"/>
      <c r="GG29" s="584"/>
      <c r="GH29" s="584"/>
      <c r="GI29" s="584"/>
      <c r="GJ29" s="584"/>
      <c r="GK29" s="584"/>
      <c r="GL29" s="584"/>
      <c r="GM29" s="584"/>
      <c r="GN29" s="584"/>
      <c r="GO29" s="584"/>
      <c r="GP29" s="584"/>
      <c r="GQ29" s="584"/>
      <c r="GR29" s="584"/>
      <c r="GS29" s="584"/>
      <c r="GT29" s="584"/>
      <c r="GU29" s="584"/>
      <c r="GV29" s="584"/>
      <c r="GW29" s="584"/>
      <c r="GX29" s="584"/>
      <c r="GY29" s="584"/>
      <c r="GZ29" s="584"/>
      <c r="HA29" s="584"/>
      <c r="HB29" s="584"/>
      <c r="HC29" s="584"/>
      <c r="HD29" s="584"/>
      <c r="HE29" s="584"/>
      <c r="HF29" s="584"/>
      <c r="HG29" s="584"/>
      <c r="HH29" s="584"/>
      <c r="HI29" s="584"/>
      <c r="HJ29" s="584"/>
      <c r="HK29" s="584"/>
      <c r="HL29" s="584"/>
      <c r="HM29" s="584"/>
      <c r="HN29" s="584"/>
      <c r="HO29" s="584"/>
      <c r="HP29" s="584"/>
      <c r="HQ29" s="584"/>
      <c r="HR29" s="584"/>
      <c r="HS29" s="584"/>
      <c r="HT29" s="584"/>
      <c r="HU29" s="584"/>
      <c r="HV29" s="584"/>
      <c r="HW29" s="584"/>
      <c r="HX29" s="584"/>
      <c r="HY29" s="584"/>
      <c r="HZ29" s="584"/>
      <c r="IA29" s="584"/>
      <c r="IB29" s="584"/>
      <c r="IC29" s="584"/>
      <c r="ID29" s="584"/>
      <c r="IE29" s="584"/>
      <c r="IF29" s="584"/>
      <c r="IG29" s="584"/>
      <c r="IH29" s="584"/>
      <c r="II29" s="584"/>
      <c r="IJ29" s="584"/>
      <c r="IK29" s="584"/>
      <c r="IL29" s="584"/>
      <c r="IM29" s="584"/>
      <c r="IN29" s="584"/>
      <c r="IO29" s="584"/>
      <c r="IP29" s="584"/>
      <c r="IQ29" s="584"/>
      <c r="IR29" s="584"/>
      <c r="IS29" s="584"/>
      <c r="IT29" s="584"/>
      <c r="IU29" s="584"/>
      <c r="IV29" s="584"/>
    </row>
    <row r="30" spans="1:256" s="590" customFormat="1" x14ac:dyDescent="0.2">
      <c r="A30" s="591" t="s">
        <v>97</v>
      </c>
      <c r="B30" s="591"/>
      <c r="C30" s="620">
        <f>-C28*Invoerblad!$E$48</f>
        <v>0</v>
      </c>
      <c r="D30" s="620">
        <f>-D28*Invoerblad!$E$48</f>
        <v>0</v>
      </c>
      <c r="E30" s="620">
        <f>-E28*Invoerblad!$E$48</f>
        <v>0</v>
      </c>
      <c r="F30" s="620">
        <f>-F28*Invoerblad!$E$48</f>
        <v>0</v>
      </c>
      <c r="G30" s="620">
        <f>-G28*Invoerblad!$E$48</f>
        <v>0</v>
      </c>
      <c r="H30" s="620">
        <f>-H28*Invoerblad!$E$48</f>
        <v>0</v>
      </c>
      <c r="I30" s="620">
        <f>-I28*Invoerblad!$E$48</f>
        <v>0</v>
      </c>
      <c r="J30" s="620">
        <f>-J28*Invoerblad!$E$48</f>
        <v>0</v>
      </c>
      <c r="K30" s="620">
        <f>-K28*Invoerblad!$E$48</f>
        <v>0</v>
      </c>
      <c r="L30" s="620">
        <f>-L28*Invoerblad!$E$48</f>
        <v>0</v>
      </c>
      <c r="M30" s="620">
        <f>-M28*Invoerblad!$E$48</f>
        <v>0</v>
      </c>
      <c r="N30" s="620">
        <f>-N28*Invoerblad!$E$48</f>
        <v>0</v>
      </c>
      <c r="O30" s="620">
        <f>-O28*Invoerblad!$E$48</f>
        <v>0</v>
      </c>
      <c r="P30" s="620"/>
      <c r="Q30" s="620"/>
      <c r="R30" s="596"/>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4"/>
      <c r="BJ30" s="584"/>
      <c r="BK30" s="584"/>
      <c r="BL30" s="584"/>
      <c r="BM30" s="584"/>
      <c r="BN30" s="584"/>
      <c r="BO30" s="584"/>
      <c r="BP30" s="584"/>
      <c r="BQ30" s="584"/>
      <c r="BR30" s="584"/>
      <c r="BS30" s="584"/>
      <c r="BT30" s="584"/>
      <c r="BU30" s="584"/>
      <c r="BV30" s="584"/>
      <c r="BW30" s="584"/>
      <c r="BX30" s="584"/>
      <c r="BY30" s="584"/>
      <c r="BZ30" s="584"/>
      <c r="CA30" s="584"/>
      <c r="CB30" s="584"/>
      <c r="CC30" s="584"/>
      <c r="CD30" s="584"/>
      <c r="CE30" s="584"/>
      <c r="CF30" s="584"/>
      <c r="CG30" s="584"/>
      <c r="CH30" s="584"/>
      <c r="CI30" s="584"/>
      <c r="CJ30" s="584"/>
      <c r="CK30" s="584"/>
      <c r="CL30" s="584"/>
      <c r="CM30" s="584"/>
      <c r="CN30" s="584"/>
      <c r="CO30" s="584"/>
      <c r="CP30" s="584"/>
      <c r="CQ30" s="584"/>
      <c r="CR30" s="584"/>
      <c r="CS30" s="584"/>
      <c r="CT30" s="584"/>
      <c r="CU30" s="584"/>
      <c r="CV30" s="584"/>
      <c r="CW30" s="584"/>
      <c r="CX30" s="584"/>
      <c r="CY30" s="584"/>
      <c r="CZ30" s="584"/>
      <c r="DA30" s="584"/>
      <c r="DB30" s="584"/>
      <c r="DC30" s="584"/>
      <c r="DD30" s="584"/>
      <c r="DE30" s="584"/>
      <c r="DF30" s="584"/>
      <c r="DG30" s="584"/>
      <c r="DH30" s="584"/>
      <c r="DI30" s="584"/>
      <c r="DJ30" s="584"/>
      <c r="DK30" s="584"/>
      <c r="DL30" s="584"/>
      <c r="DM30" s="584"/>
      <c r="DN30" s="584"/>
      <c r="DO30" s="584"/>
      <c r="DP30" s="584"/>
      <c r="DQ30" s="584"/>
      <c r="DR30" s="584"/>
      <c r="DS30" s="584"/>
      <c r="DT30" s="584"/>
      <c r="DU30" s="584"/>
      <c r="DV30" s="584"/>
      <c r="DW30" s="584"/>
      <c r="DX30" s="584"/>
      <c r="DY30" s="584"/>
      <c r="DZ30" s="584"/>
      <c r="EA30" s="584"/>
      <c r="EB30" s="584"/>
      <c r="EC30" s="584"/>
      <c r="ED30" s="584"/>
      <c r="EE30" s="584"/>
      <c r="EF30" s="584"/>
      <c r="EG30" s="584"/>
      <c r="EH30" s="584"/>
      <c r="EI30" s="584"/>
      <c r="EJ30" s="584"/>
      <c r="EK30" s="584"/>
      <c r="EL30" s="584"/>
      <c r="EM30" s="584"/>
      <c r="EN30" s="584"/>
      <c r="EO30" s="584"/>
      <c r="EP30" s="584"/>
      <c r="EQ30" s="584"/>
      <c r="ER30" s="584"/>
      <c r="ES30" s="584"/>
      <c r="ET30" s="584"/>
      <c r="EU30" s="584"/>
      <c r="EV30" s="584"/>
      <c r="EW30" s="584"/>
      <c r="EX30" s="584"/>
      <c r="EY30" s="584"/>
      <c r="EZ30" s="584"/>
      <c r="FA30" s="584"/>
      <c r="FB30" s="584"/>
      <c r="FC30" s="584"/>
      <c r="FD30" s="584"/>
      <c r="FE30" s="584"/>
      <c r="FF30" s="584"/>
      <c r="FG30" s="584"/>
      <c r="FH30" s="584"/>
      <c r="FI30" s="584"/>
      <c r="FJ30" s="584"/>
      <c r="FK30" s="584"/>
      <c r="FL30" s="584"/>
      <c r="FM30" s="584"/>
      <c r="FN30" s="584"/>
      <c r="FO30" s="584"/>
      <c r="FP30" s="584"/>
      <c r="FQ30" s="584"/>
      <c r="FR30" s="584"/>
      <c r="FS30" s="584"/>
      <c r="FT30" s="584"/>
      <c r="FU30" s="584"/>
      <c r="FV30" s="584"/>
      <c r="FW30" s="584"/>
      <c r="FX30" s="584"/>
      <c r="FY30" s="584"/>
      <c r="FZ30" s="584"/>
      <c r="GA30" s="584"/>
      <c r="GB30" s="584"/>
      <c r="GC30" s="584"/>
      <c r="GD30" s="584"/>
      <c r="GE30" s="584"/>
      <c r="GF30" s="584"/>
      <c r="GG30" s="584"/>
      <c r="GH30" s="584"/>
      <c r="GI30" s="584"/>
      <c r="GJ30" s="584"/>
      <c r="GK30" s="584"/>
      <c r="GL30" s="584"/>
      <c r="GM30" s="584"/>
      <c r="GN30" s="584"/>
      <c r="GO30" s="584"/>
      <c r="GP30" s="584"/>
      <c r="GQ30" s="584"/>
      <c r="GR30" s="584"/>
      <c r="GS30" s="584"/>
      <c r="GT30" s="584"/>
      <c r="GU30" s="584"/>
      <c r="GV30" s="584"/>
      <c r="GW30" s="584"/>
      <c r="GX30" s="584"/>
      <c r="GY30" s="584"/>
      <c r="GZ30" s="584"/>
      <c r="HA30" s="584"/>
      <c r="HB30" s="584"/>
      <c r="HC30" s="584"/>
      <c r="HD30" s="584"/>
      <c r="HE30" s="584"/>
      <c r="HF30" s="584"/>
      <c r="HG30" s="584"/>
      <c r="HH30" s="584"/>
      <c r="HI30" s="584"/>
      <c r="HJ30" s="584"/>
      <c r="HK30" s="584"/>
      <c r="HL30" s="584"/>
      <c r="HM30" s="584"/>
      <c r="HN30" s="584"/>
      <c r="HO30" s="584"/>
      <c r="HP30" s="584"/>
      <c r="HQ30" s="584"/>
      <c r="HR30" s="584"/>
      <c r="HS30" s="584"/>
      <c r="HT30" s="584"/>
      <c r="HU30" s="584"/>
      <c r="HV30" s="584"/>
      <c r="HW30" s="584"/>
      <c r="HX30" s="584"/>
      <c r="HY30" s="584"/>
      <c r="HZ30" s="584"/>
      <c r="IA30" s="584"/>
      <c r="IB30" s="584"/>
      <c r="IC30" s="584"/>
      <c r="ID30" s="584"/>
      <c r="IE30" s="584"/>
      <c r="IF30" s="584"/>
      <c r="IG30" s="584"/>
      <c r="IH30" s="584"/>
      <c r="II30" s="584"/>
      <c r="IJ30" s="584"/>
      <c r="IK30" s="584"/>
      <c r="IL30" s="584"/>
      <c r="IM30" s="584"/>
      <c r="IN30" s="584"/>
      <c r="IO30" s="584"/>
      <c r="IP30" s="584"/>
      <c r="IQ30" s="584"/>
      <c r="IR30" s="584"/>
      <c r="IS30" s="584"/>
      <c r="IT30" s="584"/>
      <c r="IU30" s="584"/>
      <c r="IV30" s="584"/>
    </row>
    <row r="31" spans="1:256" s="590" customFormat="1" x14ac:dyDescent="0.2">
      <c r="A31" s="591" t="s">
        <v>98</v>
      </c>
      <c r="B31" s="591"/>
      <c r="C31" s="620">
        <f>+C21+C30</f>
        <v>0</v>
      </c>
      <c r="D31" s="620">
        <f t="shared" ref="D31:L31" si="5">+D21+D30</f>
        <v>0</v>
      </c>
      <c r="E31" s="620">
        <f t="shared" si="5"/>
        <v>0</v>
      </c>
      <c r="F31" s="620">
        <f t="shared" si="5"/>
        <v>0</v>
      </c>
      <c r="G31" s="620">
        <f t="shared" si="5"/>
        <v>0</v>
      </c>
      <c r="H31" s="620">
        <f t="shared" si="5"/>
        <v>0</v>
      </c>
      <c r="I31" s="620">
        <f t="shared" si="5"/>
        <v>0</v>
      </c>
      <c r="J31" s="620">
        <f t="shared" si="5"/>
        <v>0</v>
      </c>
      <c r="K31" s="620">
        <f t="shared" si="5"/>
        <v>0</v>
      </c>
      <c r="L31" s="620">
        <f t="shared" si="5"/>
        <v>0</v>
      </c>
      <c r="M31" s="620">
        <f>+M21+M30</f>
        <v>0</v>
      </c>
      <c r="N31" s="620">
        <f>+N21+N30</f>
        <v>0</v>
      </c>
      <c r="O31" s="620">
        <f>+O21+O30</f>
        <v>0</v>
      </c>
      <c r="P31" s="620"/>
      <c r="Q31" s="620"/>
      <c r="R31" s="596"/>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584"/>
      <c r="AU31" s="584"/>
      <c r="AV31" s="584"/>
      <c r="AW31" s="584"/>
      <c r="AX31" s="584"/>
      <c r="AY31" s="584"/>
      <c r="AZ31" s="584"/>
      <c r="BA31" s="584"/>
      <c r="BB31" s="584"/>
      <c r="BC31" s="584"/>
      <c r="BD31" s="584"/>
      <c r="BE31" s="584"/>
      <c r="BF31" s="584"/>
      <c r="BG31" s="584"/>
      <c r="BH31" s="584"/>
      <c r="BI31" s="584"/>
      <c r="BJ31" s="584"/>
      <c r="BK31" s="584"/>
      <c r="BL31" s="584"/>
      <c r="BM31" s="584"/>
      <c r="BN31" s="584"/>
      <c r="BO31" s="584"/>
      <c r="BP31" s="584"/>
      <c r="BQ31" s="584"/>
      <c r="BR31" s="584"/>
      <c r="BS31" s="584"/>
      <c r="BT31" s="584"/>
      <c r="BU31" s="584"/>
      <c r="BV31" s="584"/>
      <c r="BW31" s="584"/>
      <c r="BX31" s="584"/>
      <c r="BY31" s="584"/>
      <c r="BZ31" s="584"/>
      <c r="CA31" s="584"/>
      <c r="CB31" s="584"/>
      <c r="CC31" s="584"/>
      <c r="CD31" s="584"/>
      <c r="CE31" s="584"/>
      <c r="CF31" s="584"/>
      <c r="CG31" s="584"/>
      <c r="CH31" s="584"/>
      <c r="CI31" s="584"/>
      <c r="CJ31" s="584"/>
      <c r="CK31" s="584"/>
      <c r="CL31" s="584"/>
      <c r="CM31" s="584"/>
      <c r="CN31" s="584"/>
      <c r="CO31" s="584"/>
      <c r="CP31" s="584"/>
      <c r="CQ31" s="584"/>
      <c r="CR31" s="584"/>
      <c r="CS31" s="584"/>
      <c r="CT31" s="584"/>
      <c r="CU31" s="584"/>
      <c r="CV31" s="584"/>
      <c r="CW31" s="584"/>
      <c r="CX31" s="584"/>
      <c r="CY31" s="584"/>
      <c r="CZ31" s="584"/>
      <c r="DA31" s="584"/>
      <c r="DB31" s="584"/>
      <c r="DC31" s="584"/>
      <c r="DD31" s="584"/>
      <c r="DE31" s="584"/>
      <c r="DF31" s="584"/>
      <c r="DG31" s="584"/>
      <c r="DH31" s="584"/>
      <c r="DI31" s="584"/>
      <c r="DJ31" s="584"/>
      <c r="DK31" s="584"/>
      <c r="DL31" s="584"/>
      <c r="DM31" s="584"/>
      <c r="DN31" s="584"/>
      <c r="DO31" s="584"/>
      <c r="DP31" s="584"/>
      <c r="DQ31" s="584"/>
      <c r="DR31" s="584"/>
      <c r="DS31" s="584"/>
      <c r="DT31" s="584"/>
      <c r="DU31" s="584"/>
      <c r="DV31" s="584"/>
      <c r="DW31" s="584"/>
      <c r="DX31" s="584"/>
      <c r="DY31" s="584"/>
      <c r="DZ31" s="584"/>
      <c r="EA31" s="584"/>
      <c r="EB31" s="584"/>
      <c r="EC31" s="584"/>
      <c r="ED31" s="584"/>
      <c r="EE31" s="584"/>
      <c r="EF31" s="584"/>
      <c r="EG31" s="584"/>
      <c r="EH31" s="584"/>
      <c r="EI31" s="584"/>
      <c r="EJ31" s="584"/>
      <c r="EK31" s="584"/>
      <c r="EL31" s="584"/>
      <c r="EM31" s="584"/>
      <c r="EN31" s="584"/>
      <c r="EO31" s="584"/>
      <c r="EP31" s="584"/>
      <c r="EQ31" s="584"/>
      <c r="ER31" s="584"/>
      <c r="ES31" s="584"/>
      <c r="ET31" s="584"/>
      <c r="EU31" s="584"/>
      <c r="EV31" s="584"/>
      <c r="EW31" s="584"/>
      <c r="EX31" s="584"/>
      <c r="EY31" s="584"/>
      <c r="EZ31" s="584"/>
      <c r="FA31" s="584"/>
      <c r="FB31" s="584"/>
      <c r="FC31" s="584"/>
      <c r="FD31" s="584"/>
      <c r="FE31" s="584"/>
      <c r="FF31" s="584"/>
      <c r="FG31" s="584"/>
      <c r="FH31" s="584"/>
      <c r="FI31" s="584"/>
      <c r="FJ31" s="584"/>
      <c r="FK31" s="584"/>
      <c r="FL31" s="584"/>
      <c r="FM31" s="584"/>
      <c r="FN31" s="584"/>
      <c r="FO31" s="584"/>
      <c r="FP31" s="584"/>
      <c r="FQ31" s="584"/>
      <c r="FR31" s="584"/>
      <c r="FS31" s="584"/>
      <c r="FT31" s="584"/>
      <c r="FU31" s="584"/>
      <c r="FV31" s="584"/>
      <c r="FW31" s="584"/>
      <c r="FX31" s="584"/>
      <c r="FY31" s="584"/>
      <c r="FZ31" s="584"/>
      <c r="GA31" s="584"/>
      <c r="GB31" s="584"/>
      <c r="GC31" s="584"/>
      <c r="GD31" s="584"/>
      <c r="GE31" s="584"/>
      <c r="GF31" s="584"/>
      <c r="GG31" s="584"/>
      <c r="GH31" s="584"/>
      <c r="GI31" s="584"/>
      <c r="GJ31" s="584"/>
      <c r="GK31" s="584"/>
      <c r="GL31" s="584"/>
      <c r="GM31" s="584"/>
      <c r="GN31" s="584"/>
      <c r="GO31" s="584"/>
      <c r="GP31" s="584"/>
      <c r="GQ31" s="584"/>
      <c r="GR31" s="584"/>
      <c r="GS31" s="584"/>
      <c r="GT31" s="584"/>
      <c r="GU31" s="584"/>
      <c r="GV31" s="584"/>
      <c r="GW31" s="584"/>
      <c r="GX31" s="584"/>
      <c r="GY31" s="584"/>
      <c r="GZ31" s="584"/>
      <c r="HA31" s="584"/>
      <c r="HB31" s="584"/>
      <c r="HC31" s="584"/>
      <c r="HD31" s="584"/>
      <c r="HE31" s="584"/>
      <c r="HF31" s="584"/>
      <c r="HG31" s="584"/>
      <c r="HH31" s="584"/>
      <c r="HI31" s="584"/>
      <c r="HJ31" s="584"/>
      <c r="HK31" s="584"/>
      <c r="HL31" s="584"/>
      <c r="HM31" s="584"/>
      <c r="HN31" s="584"/>
      <c r="HO31" s="584"/>
      <c r="HP31" s="584"/>
      <c r="HQ31" s="584"/>
      <c r="HR31" s="584"/>
      <c r="HS31" s="584"/>
      <c r="HT31" s="584"/>
      <c r="HU31" s="584"/>
      <c r="HV31" s="584"/>
      <c r="HW31" s="584"/>
      <c r="HX31" s="584"/>
      <c r="HY31" s="584"/>
      <c r="HZ31" s="584"/>
      <c r="IA31" s="584"/>
      <c r="IB31" s="584"/>
      <c r="IC31" s="584"/>
      <c r="ID31" s="584"/>
      <c r="IE31" s="584"/>
      <c r="IF31" s="584"/>
      <c r="IG31" s="584"/>
      <c r="IH31" s="584"/>
      <c r="II31" s="584"/>
      <c r="IJ31" s="584"/>
      <c r="IK31" s="584"/>
      <c r="IL31" s="584"/>
      <c r="IM31" s="584"/>
      <c r="IN31" s="584"/>
      <c r="IO31" s="584"/>
      <c r="IP31" s="584"/>
      <c r="IQ31" s="584"/>
      <c r="IR31" s="584"/>
      <c r="IS31" s="584"/>
      <c r="IT31" s="584"/>
      <c r="IU31" s="584"/>
      <c r="IV31" s="584"/>
    </row>
    <row r="32" spans="1:256" s="590" customFormat="1" x14ac:dyDescent="0.2">
      <c r="A32" s="591"/>
      <c r="B32" s="591"/>
      <c r="M32" s="584"/>
      <c r="N32" s="584"/>
      <c r="O32" s="584"/>
      <c r="P32" s="584"/>
      <c r="Q32" s="584"/>
      <c r="R32" s="596"/>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584"/>
      <c r="AU32" s="584"/>
      <c r="AV32" s="584"/>
      <c r="AW32" s="584"/>
      <c r="AX32" s="584"/>
      <c r="AY32" s="584"/>
      <c r="AZ32" s="584"/>
      <c r="BA32" s="584"/>
      <c r="BB32" s="584"/>
      <c r="BC32" s="584"/>
      <c r="BD32" s="584"/>
      <c r="BE32" s="584"/>
      <c r="BF32" s="584"/>
      <c r="BG32" s="584"/>
      <c r="BH32" s="584"/>
      <c r="BI32" s="584"/>
      <c r="BJ32" s="584"/>
      <c r="BK32" s="584"/>
      <c r="BL32" s="584"/>
      <c r="BM32" s="584"/>
      <c r="BN32" s="584"/>
      <c r="BO32" s="584"/>
      <c r="BP32" s="584"/>
      <c r="BQ32" s="584"/>
      <c r="BR32" s="584"/>
      <c r="BS32" s="584"/>
      <c r="BT32" s="584"/>
      <c r="BU32" s="584"/>
      <c r="BV32" s="584"/>
      <c r="BW32" s="584"/>
      <c r="BX32" s="584"/>
      <c r="BY32" s="584"/>
      <c r="BZ32" s="584"/>
      <c r="CA32" s="584"/>
      <c r="CB32" s="584"/>
      <c r="CC32" s="584"/>
      <c r="CD32" s="584"/>
      <c r="CE32" s="584"/>
      <c r="CF32" s="584"/>
      <c r="CG32" s="584"/>
      <c r="CH32" s="584"/>
      <c r="CI32" s="584"/>
      <c r="CJ32" s="584"/>
      <c r="CK32" s="584"/>
      <c r="CL32" s="584"/>
      <c r="CM32" s="584"/>
      <c r="CN32" s="584"/>
      <c r="CO32" s="584"/>
      <c r="CP32" s="584"/>
      <c r="CQ32" s="584"/>
      <c r="CR32" s="584"/>
      <c r="CS32" s="584"/>
      <c r="CT32" s="584"/>
      <c r="CU32" s="584"/>
      <c r="CV32" s="584"/>
      <c r="CW32" s="584"/>
      <c r="CX32" s="584"/>
      <c r="CY32" s="584"/>
      <c r="CZ32" s="584"/>
      <c r="DA32" s="584"/>
      <c r="DB32" s="584"/>
      <c r="DC32" s="584"/>
      <c r="DD32" s="584"/>
      <c r="DE32" s="584"/>
      <c r="DF32" s="584"/>
      <c r="DG32" s="584"/>
      <c r="DH32" s="584"/>
      <c r="DI32" s="584"/>
      <c r="DJ32" s="584"/>
      <c r="DK32" s="584"/>
      <c r="DL32" s="584"/>
      <c r="DM32" s="584"/>
      <c r="DN32" s="584"/>
      <c r="DO32" s="584"/>
      <c r="DP32" s="584"/>
      <c r="DQ32" s="584"/>
      <c r="DR32" s="584"/>
      <c r="DS32" s="584"/>
      <c r="DT32" s="584"/>
      <c r="DU32" s="584"/>
      <c r="DV32" s="584"/>
      <c r="DW32" s="584"/>
      <c r="DX32" s="584"/>
      <c r="DY32" s="584"/>
      <c r="DZ32" s="584"/>
      <c r="EA32" s="584"/>
      <c r="EB32" s="584"/>
      <c r="EC32" s="584"/>
      <c r="ED32" s="584"/>
      <c r="EE32" s="584"/>
      <c r="EF32" s="584"/>
      <c r="EG32" s="584"/>
      <c r="EH32" s="584"/>
      <c r="EI32" s="584"/>
      <c r="EJ32" s="584"/>
      <c r="EK32" s="584"/>
      <c r="EL32" s="584"/>
      <c r="EM32" s="584"/>
      <c r="EN32" s="584"/>
      <c r="EO32" s="584"/>
      <c r="EP32" s="584"/>
      <c r="EQ32" s="584"/>
      <c r="ER32" s="584"/>
      <c r="ES32" s="584"/>
      <c r="ET32" s="584"/>
      <c r="EU32" s="584"/>
      <c r="EV32" s="584"/>
      <c r="EW32" s="584"/>
      <c r="EX32" s="584"/>
      <c r="EY32" s="584"/>
      <c r="EZ32" s="584"/>
      <c r="FA32" s="584"/>
      <c r="FB32" s="584"/>
      <c r="FC32" s="584"/>
      <c r="FD32" s="584"/>
      <c r="FE32" s="584"/>
      <c r="FF32" s="584"/>
      <c r="FG32" s="584"/>
      <c r="FH32" s="584"/>
      <c r="FI32" s="584"/>
      <c r="FJ32" s="584"/>
      <c r="FK32" s="584"/>
      <c r="FL32" s="584"/>
      <c r="FM32" s="584"/>
      <c r="FN32" s="584"/>
      <c r="FO32" s="584"/>
      <c r="FP32" s="584"/>
      <c r="FQ32" s="584"/>
      <c r="FR32" s="584"/>
      <c r="FS32" s="584"/>
      <c r="FT32" s="584"/>
      <c r="FU32" s="584"/>
      <c r="FV32" s="584"/>
      <c r="FW32" s="584"/>
      <c r="FX32" s="584"/>
      <c r="FY32" s="584"/>
      <c r="FZ32" s="584"/>
      <c r="GA32" s="584"/>
      <c r="GB32" s="584"/>
      <c r="GC32" s="584"/>
      <c r="GD32" s="584"/>
      <c r="GE32" s="584"/>
      <c r="GF32" s="584"/>
      <c r="GG32" s="584"/>
      <c r="GH32" s="584"/>
      <c r="GI32" s="584"/>
      <c r="GJ32" s="584"/>
      <c r="GK32" s="584"/>
      <c r="GL32" s="584"/>
      <c r="GM32" s="584"/>
      <c r="GN32" s="584"/>
      <c r="GO32" s="584"/>
      <c r="GP32" s="584"/>
      <c r="GQ32" s="584"/>
      <c r="GR32" s="584"/>
      <c r="GS32" s="584"/>
      <c r="GT32" s="584"/>
      <c r="GU32" s="584"/>
      <c r="GV32" s="584"/>
      <c r="GW32" s="584"/>
      <c r="GX32" s="584"/>
      <c r="GY32" s="584"/>
      <c r="GZ32" s="584"/>
      <c r="HA32" s="584"/>
      <c r="HB32" s="584"/>
      <c r="HC32" s="584"/>
      <c r="HD32" s="584"/>
      <c r="HE32" s="584"/>
      <c r="HF32" s="584"/>
      <c r="HG32" s="584"/>
      <c r="HH32" s="584"/>
      <c r="HI32" s="584"/>
      <c r="HJ32" s="584"/>
      <c r="HK32" s="584"/>
      <c r="HL32" s="584"/>
      <c r="HM32" s="584"/>
      <c r="HN32" s="584"/>
      <c r="HO32" s="584"/>
      <c r="HP32" s="584"/>
      <c r="HQ32" s="584"/>
      <c r="HR32" s="584"/>
      <c r="HS32" s="584"/>
      <c r="HT32" s="584"/>
      <c r="HU32" s="584"/>
      <c r="HV32" s="584"/>
      <c r="HW32" s="584"/>
      <c r="HX32" s="584"/>
      <c r="HY32" s="584"/>
      <c r="HZ32" s="584"/>
      <c r="IA32" s="584"/>
      <c r="IB32" s="584"/>
      <c r="IC32" s="584"/>
      <c r="ID32" s="584"/>
      <c r="IE32" s="584"/>
      <c r="IF32" s="584"/>
      <c r="IG32" s="584"/>
      <c r="IH32" s="584"/>
      <c r="II32" s="584"/>
      <c r="IJ32" s="584"/>
      <c r="IK32" s="584"/>
      <c r="IL32" s="584"/>
      <c r="IM32" s="584"/>
      <c r="IN32" s="584"/>
      <c r="IO32" s="584"/>
      <c r="IP32" s="584"/>
      <c r="IQ32" s="584"/>
      <c r="IR32" s="584"/>
      <c r="IS32" s="584"/>
      <c r="IT32" s="584"/>
      <c r="IU32" s="584"/>
      <c r="IV32" s="584"/>
    </row>
    <row r="33" spans="1:256" s="590" customFormat="1" x14ac:dyDescent="0.2">
      <c r="A33" s="591" t="s">
        <v>99</v>
      </c>
      <c r="B33" s="620">
        <f>-Invoerblad!E34+Invoerblad!E44</f>
        <v>0</v>
      </c>
      <c r="C33" s="620">
        <f>+C31+C17+C18</f>
        <v>0</v>
      </c>
      <c r="D33" s="620">
        <f t="shared" ref="D33:Q33" si="6">+D31+D17+D18</f>
        <v>0</v>
      </c>
      <c r="E33" s="620">
        <f t="shared" si="6"/>
        <v>0</v>
      </c>
      <c r="F33" s="620">
        <f t="shared" si="6"/>
        <v>0</v>
      </c>
      <c r="G33" s="620">
        <f t="shared" si="6"/>
        <v>0</v>
      </c>
      <c r="H33" s="620">
        <f t="shared" si="6"/>
        <v>0</v>
      </c>
      <c r="I33" s="620">
        <f t="shared" si="6"/>
        <v>0</v>
      </c>
      <c r="J33" s="620">
        <f t="shared" si="6"/>
        <v>0</v>
      </c>
      <c r="K33" s="620">
        <f t="shared" si="6"/>
        <v>0</v>
      </c>
      <c r="L33" s="620">
        <f t="shared" si="6"/>
        <v>0</v>
      </c>
      <c r="M33" s="620">
        <f t="shared" si="6"/>
        <v>0</v>
      </c>
      <c r="N33" s="620">
        <f t="shared" si="6"/>
        <v>0</v>
      </c>
      <c r="O33" s="620">
        <f t="shared" si="6"/>
        <v>0</v>
      </c>
      <c r="P33" s="620">
        <f t="shared" si="6"/>
        <v>0</v>
      </c>
      <c r="Q33" s="620">
        <f t="shared" si="6"/>
        <v>0</v>
      </c>
      <c r="R33" s="596"/>
      <c r="S33" s="584"/>
      <c r="T33" s="584"/>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4"/>
      <c r="CH33" s="584"/>
      <c r="CI33" s="584"/>
      <c r="CJ33" s="584"/>
      <c r="CK33" s="584"/>
      <c r="CL33" s="584"/>
      <c r="CM33" s="584"/>
      <c r="CN33" s="584"/>
      <c r="CO33" s="584"/>
      <c r="CP33" s="584"/>
      <c r="CQ33" s="584"/>
      <c r="CR33" s="584"/>
      <c r="CS33" s="584"/>
      <c r="CT33" s="584"/>
      <c r="CU33" s="584"/>
      <c r="CV33" s="584"/>
      <c r="CW33" s="584"/>
      <c r="CX33" s="584"/>
      <c r="CY33" s="584"/>
      <c r="CZ33" s="584"/>
      <c r="DA33" s="584"/>
      <c r="DB33" s="584"/>
      <c r="DC33" s="584"/>
      <c r="DD33" s="584"/>
      <c r="DE33" s="584"/>
      <c r="DF33" s="584"/>
      <c r="DG33" s="584"/>
      <c r="DH33" s="584"/>
      <c r="DI33" s="584"/>
      <c r="DJ33" s="584"/>
      <c r="DK33" s="584"/>
      <c r="DL33" s="584"/>
      <c r="DM33" s="584"/>
      <c r="DN33" s="584"/>
      <c r="DO33" s="584"/>
      <c r="DP33" s="584"/>
      <c r="DQ33" s="584"/>
      <c r="DR33" s="584"/>
      <c r="DS33" s="584"/>
      <c r="DT33" s="584"/>
      <c r="DU33" s="584"/>
      <c r="DV33" s="584"/>
      <c r="DW33" s="584"/>
      <c r="DX33" s="584"/>
      <c r="DY33" s="584"/>
      <c r="DZ33" s="584"/>
      <c r="EA33" s="584"/>
      <c r="EB33" s="584"/>
      <c r="EC33" s="584"/>
      <c r="ED33" s="584"/>
      <c r="EE33" s="584"/>
      <c r="EF33" s="584"/>
      <c r="EG33" s="584"/>
      <c r="EH33" s="584"/>
      <c r="EI33" s="584"/>
      <c r="EJ33" s="584"/>
      <c r="EK33" s="584"/>
      <c r="EL33" s="584"/>
      <c r="EM33" s="584"/>
      <c r="EN33" s="584"/>
      <c r="EO33" s="584"/>
      <c r="EP33" s="584"/>
      <c r="EQ33" s="584"/>
      <c r="ER33" s="584"/>
      <c r="ES33" s="584"/>
      <c r="ET33" s="584"/>
      <c r="EU33" s="584"/>
      <c r="EV33" s="584"/>
      <c r="EW33" s="584"/>
      <c r="EX33" s="584"/>
      <c r="EY33" s="584"/>
      <c r="EZ33" s="584"/>
      <c r="FA33" s="584"/>
      <c r="FB33" s="584"/>
      <c r="FC33" s="584"/>
      <c r="FD33" s="584"/>
      <c r="FE33" s="584"/>
      <c r="FF33" s="584"/>
      <c r="FG33" s="584"/>
      <c r="FH33" s="584"/>
      <c r="FI33" s="584"/>
      <c r="FJ33" s="584"/>
      <c r="FK33" s="584"/>
      <c r="FL33" s="584"/>
      <c r="FM33" s="584"/>
      <c r="FN33" s="584"/>
      <c r="FO33" s="584"/>
      <c r="FP33" s="584"/>
      <c r="FQ33" s="584"/>
      <c r="FR33" s="584"/>
      <c r="FS33" s="584"/>
      <c r="FT33" s="584"/>
      <c r="FU33" s="584"/>
      <c r="FV33" s="584"/>
      <c r="FW33" s="584"/>
      <c r="FX33" s="584"/>
      <c r="FY33" s="584"/>
      <c r="FZ33" s="584"/>
      <c r="GA33" s="584"/>
      <c r="GB33" s="584"/>
      <c r="GC33" s="584"/>
      <c r="GD33" s="584"/>
      <c r="GE33" s="584"/>
      <c r="GF33" s="584"/>
      <c r="GG33" s="584"/>
      <c r="GH33" s="584"/>
      <c r="GI33" s="584"/>
      <c r="GJ33" s="584"/>
      <c r="GK33" s="584"/>
      <c r="GL33" s="584"/>
      <c r="GM33" s="584"/>
      <c r="GN33" s="584"/>
      <c r="GO33" s="584"/>
      <c r="GP33" s="584"/>
      <c r="GQ33" s="584"/>
      <c r="GR33" s="584"/>
      <c r="GS33" s="584"/>
      <c r="GT33" s="584"/>
      <c r="GU33" s="584"/>
      <c r="GV33" s="584"/>
      <c r="GW33" s="584"/>
      <c r="GX33" s="584"/>
      <c r="GY33" s="584"/>
      <c r="GZ33" s="584"/>
      <c r="HA33" s="584"/>
      <c r="HB33" s="584"/>
      <c r="HC33" s="584"/>
      <c r="HD33" s="584"/>
      <c r="HE33" s="584"/>
      <c r="HF33" s="584"/>
      <c r="HG33" s="584"/>
      <c r="HH33" s="584"/>
      <c r="HI33" s="584"/>
      <c r="HJ33" s="584"/>
      <c r="HK33" s="584"/>
      <c r="HL33" s="584"/>
      <c r="HM33" s="584"/>
      <c r="HN33" s="584"/>
      <c r="HO33" s="584"/>
      <c r="HP33" s="584"/>
      <c r="HQ33" s="584"/>
      <c r="HR33" s="584"/>
      <c r="HS33" s="584"/>
      <c r="HT33" s="584"/>
      <c r="HU33" s="584"/>
      <c r="HV33" s="584"/>
      <c r="HW33" s="584"/>
      <c r="HX33" s="584"/>
      <c r="HY33" s="584"/>
      <c r="HZ33" s="584"/>
      <c r="IA33" s="584"/>
      <c r="IB33" s="584"/>
      <c r="IC33" s="584"/>
      <c r="ID33" s="584"/>
      <c r="IE33" s="584"/>
      <c r="IF33" s="584"/>
      <c r="IG33" s="584"/>
      <c r="IH33" s="584"/>
      <c r="II33" s="584"/>
      <c r="IJ33" s="584"/>
      <c r="IK33" s="584"/>
      <c r="IL33" s="584"/>
      <c r="IM33" s="584"/>
      <c r="IN33" s="584"/>
      <c r="IO33" s="584"/>
      <c r="IP33" s="584"/>
      <c r="IQ33" s="584"/>
      <c r="IR33" s="584"/>
      <c r="IS33" s="584"/>
      <c r="IT33" s="584"/>
      <c r="IU33" s="584"/>
      <c r="IV33" s="584"/>
    </row>
    <row r="34" spans="1:256" s="590" customFormat="1" x14ac:dyDescent="0.2">
      <c r="A34" s="591"/>
      <c r="B34" s="636"/>
      <c r="C34" s="636">
        <f>+B33+C33</f>
        <v>0</v>
      </c>
      <c r="D34" s="636">
        <f>+C34+D33</f>
        <v>0</v>
      </c>
      <c r="E34" s="636">
        <f t="shared" ref="E34:L34" si="7">+D34+E33</f>
        <v>0</v>
      </c>
      <c r="F34" s="636">
        <f t="shared" si="7"/>
        <v>0</v>
      </c>
      <c r="G34" s="636">
        <f t="shared" si="7"/>
        <v>0</v>
      </c>
      <c r="H34" s="636">
        <f t="shared" si="7"/>
        <v>0</v>
      </c>
      <c r="I34" s="636">
        <f t="shared" si="7"/>
        <v>0</v>
      </c>
      <c r="J34" s="636">
        <f t="shared" si="7"/>
        <v>0</v>
      </c>
      <c r="K34" s="636">
        <f t="shared" si="7"/>
        <v>0</v>
      </c>
      <c r="L34" s="636">
        <f t="shared" si="7"/>
        <v>0</v>
      </c>
      <c r="M34" s="636">
        <f>+L34+M33</f>
        <v>0</v>
      </c>
      <c r="N34" s="636">
        <f>+M34+N33</f>
        <v>0</v>
      </c>
      <c r="O34" s="636">
        <f>+N34+O33</f>
        <v>0</v>
      </c>
      <c r="P34" s="636"/>
      <c r="Q34" s="636"/>
      <c r="R34" s="596"/>
      <c r="S34" s="584"/>
      <c r="T34" s="584"/>
      <c r="U34" s="584"/>
      <c r="V34" s="584"/>
      <c r="W34" s="584"/>
      <c r="X34" s="584"/>
      <c r="Y34" s="584"/>
      <c r="Z34" s="584"/>
      <c r="AA34" s="584"/>
      <c r="AB34" s="584"/>
      <c r="AC34" s="584"/>
      <c r="AD34" s="584"/>
      <c r="AE34" s="584"/>
      <c r="AF34" s="584"/>
      <c r="AG34" s="584"/>
      <c r="AH34" s="584"/>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S34" s="584"/>
      <c r="BT34" s="584"/>
      <c r="BU34" s="584"/>
      <c r="BV34" s="584"/>
      <c r="BW34" s="584"/>
      <c r="BX34" s="584"/>
      <c r="BY34" s="584"/>
      <c r="BZ34" s="584"/>
      <c r="CA34" s="584"/>
      <c r="CB34" s="584"/>
      <c r="CC34" s="584"/>
      <c r="CD34" s="584"/>
      <c r="CE34" s="584"/>
      <c r="CF34" s="584"/>
      <c r="CG34" s="584"/>
      <c r="CH34" s="584"/>
      <c r="CI34" s="584"/>
      <c r="CJ34" s="584"/>
      <c r="CK34" s="584"/>
      <c r="CL34" s="584"/>
      <c r="CM34" s="584"/>
      <c r="CN34" s="584"/>
      <c r="CO34" s="584"/>
      <c r="CP34" s="584"/>
      <c r="CQ34" s="584"/>
      <c r="CR34" s="584"/>
      <c r="CS34" s="584"/>
      <c r="CT34" s="584"/>
      <c r="CU34" s="584"/>
      <c r="CV34" s="584"/>
      <c r="CW34" s="584"/>
      <c r="CX34" s="584"/>
      <c r="CY34" s="584"/>
      <c r="CZ34" s="584"/>
      <c r="DA34" s="584"/>
      <c r="DB34" s="584"/>
      <c r="DC34" s="584"/>
      <c r="DD34" s="584"/>
      <c r="DE34" s="584"/>
      <c r="DF34" s="584"/>
      <c r="DG34" s="584"/>
      <c r="DH34" s="584"/>
      <c r="DI34" s="584"/>
      <c r="DJ34" s="584"/>
      <c r="DK34" s="584"/>
      <c r="DL34" s="584"/>
      <c r="DM34" s="584"/>
      <c r="DN34" s="584"/>
      <c r="DO34" s="584"/>
      <c r="DP34" s="584"/>
      <c r="DQ34" s="584"/>
      <c r="DR34" s="584"/>
      <c r="DS34" s="584"/>
      <c r="DT34" s="584"/>
      <c r="DU34" s="584"/>
      <c r="DV34" s="584"/>
      <c r="DW34" s="584"/>
      <c r="DX34" s="584"/>
      <c r="DY34" s="584"/>
      <c r="DZ34" s="584"/>
      <c r="EA34" s="584"/>
      <c r="EB34" s="584"/>
      <c r="EC34" s="584"/>
      <c r="ED34" s="584"/>
      <c r="EE34" s="584"/>
      <c r="EF34" s="584"/>
      <c r="EG34" s="584"/>
      <c r="EH34" s="584"/>
      <c r="EI34" s="584"/>
      <c r="EJ34" s="584"/>
      <c r="EK34" s="584"/>
      <c r="EL34" s="584"/>
      <c r="EM34" s="584"/>
      <c r="EN34" s="584"/>
      <c r="EO34" s="584"/>
      <c r="EP34" s="584"/>
      <c r="EQ34" s="584"/>
      <c r="ER34" s="584"/>
      <c r="ES34" s="584"/>
      <c r="ET34" s="584"/>
      <c r="EU34" s="584"/>
      <c r="EV34" s="584"/>
      <c r="EW34" s="584"/>
      <c r="EX34" s="584"/>
      <c r="EY34" s="584"/>
      <c r="EZ34" s="584"/>
      <c r="FA34" s="584"/>
      <c r="FB34" s="584"/>
      <c r="FC34" s="584"/>
      <c r="FD34" s="584"/>
      <c r="FE34" s="584"/>
      <c r="FF34" s="584"/>
      <c r="FG34" s="584"/>
      <c r="FH34" s="584"/>
      <c r="FI34" s="584"/>
      <c r="FJ34" s="584"/>
      <c r="FK34" s="584"/>
      <c r="FL34" s="584"/>
      <c r="FM34" s="584"/>
      <c r="FN34" s="584"/>
      <c r="FO34" s="584"/>
      <c r="FP34" s="584"/>
      <c r="FQ34" s="584"/>
      <c r="FR34" s="584"/>
      <c r="FS34" s="584"/>
      <c r="FT34" s="584"/>
      <c r="FU34" s="584"/>
      <c r="FV34" s="584"/>
      <c r="FW34" s="584"/>
      <c r="FX34" s="584"/>
      <c r="FY34" s="584"/>
      <c r="FZ34" s="584"/>
      <c r="GA34" s="584"/>
      <c r="GB34" s="584"/>
      <c r="GC34" s="584"/>
      <c r="GD34" s="584"/>
      <c r="GE34" s="584"/>
      <c r="GF34" s="584"/>
      <c r="GG34" s="584"/>
      <c r="GH34" s="584"/>
      <c r="GI34" s="584"/>
      <c r="GJ34" s="584"/>
      <c r="GK34" s="584"/>
      <c r="GL34" s="584"/>
      <c r="GM34" s="584"/>
      <c r="GN34" s="584"/>
      <c r="GO34" s="584"/>
      <c r="GP34" s="584"/>
      <c r="GQ34" s="584"/>
      <c r="GR34" s="584"/>
      <c r="GS34" s="584"/>
      <c r="GT34" s="584"/>
      <c r="GU34" s="584"/>
      <c r="GV34" s="584"/>
      <c r="GW34" s="584"/>
      <c r="GX34" s="584"/>
      <c r="GY34" s="584"/>
      <c r="GZ34" s="584"/>
      <c r="HA34" s="584"/>
      <c r="HB34" s="584"/>
      <c r="HC34" s="584"/>
      <c r="HD34" s="584"/>
      <c r="HE34" s="584"/>
      <c r="HF34" s="584"/>
      <c r="HG34" s="584"/>
      <c r="HH34" s="584"/>
      <c r="HI34" s="584"/>
      <c r="HJ34" s="584"/>
      <c r="HK34" s="584"/>
      <c r="HL34" s="584"/>
      <c r="HM34" s="584"/>
      <c r="HN34" s="584"/>
      <c r="HO34" s="584"/>
      <c r="HP34" s="584"/>
      <c r="HQ34" s="584"/>
      <c r="HR34" s="584"/>
      <c r="HS34" s="584"/>
      <c r="HT34" s="584"/>
      <c r="HU34" s="584"/>
      <c r="HV34" s="584"/>
      <c r="HW34" s="584"/>
      <c r="HX34" s="584"/>
      <c r="HY34" s="584"/>
      <c r="HZ34" s="584"/>
      <c r="IA34" s="584"/>
      <c r="IB34" s="584"/>
      <c r="IC34" s="584"/>
      <c r="ID34" s="584"/>
      <c r="IE34" s="584"/>
      <c r="IF34" s="584"/>
      <c r="IG34" s="584"/>
      <c r="IH34" s="584"/>
      <c r="II34" s="584"/>
      <c r="IJ34" s="584"/>
      <c r="IK34" s="584"/>
      <c r="IL34" s="584"/>
      <c r="IM34" s="584"/>
      <c r="IN34" s="584"/>
      <c r="IO34" s="584"/>
      <c r="IP34" s="584"/>
      <c r="IQ34" s="584"/>
      <c r="IR34" s="584"/>
      <c r="IS34" s="584"/>
      <c r="IT34" s="584"/>
      <c r="IU34" s="584"/>
      <c r="IV34" s="584"/>
    </row>
    <row r="35" spans="1:256" s="590" customFormat="1" x14ac:dyDescent="0.2">
      <c r="A35" s="591"/>
      <c r="B35" s="636">
        <f>SUM(C35:L35)</f>
        <v>0</v>
      </c>
      <c r="C35" s="636">
        <f t="shared" ref="C35:O35" si="8">+C33/(1+0.08)^C5</f>
        <v>0</v>
      </c>
      <c r="D35" s="636">
        <f t="shared" si="8"/>
        <v>0</v>
      </c>
      <c r="E35" s="636">
        <f t="shared" si="8"/>
        <v>0</v>
      </c>
      <c r="F35" s="636">
        <f t="shared" si="8"/>
        <v>0</v>
      </c>
      <c r="G35" s="636">
        <f t="shared" si="8"/>
        <v>0</v>
      </c>
      <c r="H35" s="636">
        <f t="shared" si="8"/>
        <v>0</v>
      </c>
      <c r="I35" s="636">
        <f t="shared" si="8"/>
        <v>0</v>
      </c>
      <c r="J35" s="636">
        <f t="shared" si="8"/>
        <v>0</v>
      </c>
      <c r="K35" s="636">
        <f t="shared" si="8"/>
        <v>0</v>
      </c>
      <c r="L35" s="636">
        <f t="shared" si="8"/>
        <v>0</v>
      </c>
      <c r="M35" s="636">
        <f t="shared" si="8"/>
        <v>0</v>
      </c>
      <c r="N35" s="636">
        <f t="shared" si="8"/>
        <v>0</v>
      </c>
      <c r="O35" s="636">
        <f t="shared" si="8"/>
        <v>0</v>
      </c>
      <c r="P35" s="636"/>
      <c r="Q35" s="636"/>
      <c r="R35" s="596"/>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584"/>
      <c r="CQ35" s="584"/>
      <c r="CR35" s="584"/>
      <c r="CS35" s="584"/>
      <c r="CT35" s="584"/>
      <c r="CU35" s="584"/>
      <c r="CV35" s="584"/>
      <c r="CW35" s="584"/>
      <c r="CX35" s="584"/>
      <c r="CY35" s="584"/>
      <c r="CZ35" s="584"/>
      <c r="DA35" s="584"/>
      <c r="DB35" s="584"/>
      <c r="DC35" s="584"/>
      <c r="DD35" s="584"/>
      <c r="DE35" s="584"/>
      <c r="DF35" s="584"/>
      <c r="DG35" s="584"/>
      <c r="DH35" s="584"/>
      <c r="DI35" s="584"/>
      <c r="DJ35" s="584"/>
      <c r="DK35" s="584"/>
      <c r="DL35" s="584"/>
      <c r="DM35" s="584"/>
      <c r="DN35" s="584"/>
      <c r="DO35" s="584"/>
      <c r="DP35" s="584"/>
      <c r="DQ35" s="584"/>
      <c r="DR35" s="584"/>
      <c r="DS35" s="584"/>
      <c r="DT35" s="584"/>
      <c r="DU35" s="584"/>
      <c r="DV35" s="584"/>
      <c r="DW35" s="584"/>
      <c r="DX35" s="584"/>
      <c r="DY35" s="584"/>
      <c r="DZ35" s="584"/>
      <c r="EA35" s="584"/>
      <c r="EB35" s="584"/>
      <c r="EC35" s="584"/>
      <c r="ED35" s="584"/>
      <c r="EE35" s="584"/>
      <c r="EF35" s="584"/>
      <c r="EG35" s="584"/>
      <c r="EH35" s="584"/>
      <c r="EI35" s="584"/>
      <c r="EJ35" s="584"/>
      <c r="EK35" s="584"/>
      <c r="EL35" s="584"/>
      <c r="EM35" s="584"/>
      <c r="EN35" s="584"/>
      <c r="EO35" s="584"/>
      <c r="EP35" s="584"/>
      <c r="EQ35" s="584"/>
      <c r="ER35" s="584"/>
      <c r="ES35" s="584"/>
      <c r="ET35" s="584"/>
      <c r="EU35" s="584"/>
      <c r="EV35" s="584"/>
      <c r="EW35" s="584"/>
      <c r="EX35" s="584"/>
      <c r="EY35" s="584"/>
      <c r="EZ35" s="584"/>
      <c r="FA35" s="584"/>
      <c r="FB35" s="584"/>
      <c r="FC35" s="584"/>
      <c r="FD35" s="584"/>
      <c r="FE35" s="584"/>
      <c r="FF35" s="584"/>
      <c r="FG35" s="584"/>
      <c r="FH35" s="584"/>
      <c r="FI35" s="584"/>
      <c r="FJ35" s="584"/>
      <c r="FK35" s="584"/>
      <c r="FL35" s="584"/>
      <c r="FM35" s="584"/>
      <c r="FN35" s="584"/>
      <c r="FO35" s="584"/>
      <c r="FP35" s="584"/>
      <c r="FQ35" s="584"/>
      <c r="FR35" s="584"/>
      <c r="FS35" s="584"/>
      <c r="FT35" s="584"/>
      <c r="FU35" s="584"/>
      <c r="FV35" s="584"/>
      <c r="FW35" s="584"/>
      <c r="FX35" s="584"/>
      <c r="FY35" s="584"/>
      <c r="FZ35" s="584"/>
      <c r="GA35" s="584"/>
      <c r="GB35" s="584"/>
      <c r="GC35" s="584"/>
      <c r="GD35" s="584"/>
      <c r="GE35" s="584"/>
      <c r="GF35" s="584"/>
      <c r="GG35" s="584"/>
      <c r="GH35" s="584"/>
      <c r="GI35" s="584"/>
      <c r="GJ35" s="584"/>
      <c r="GK35" s="584"/>
      <c r="GL35" s="584"/>
      <c r="GM35" s="584"/>
      <c r="GN35" s="584"/>
      <c r="GO35" s="584"/>
      <c r="GP35" s="584"/>
      <c r="GQ35" s="584"/>
      <c r="GR35" s="584"/>
      <c r="GS35" s="584"/>
      <c r="GT35" s="584"/>
      <c r="GU35" s="584"/>
      <c r="GV35" s="584"/>
      <c r="GW35" s="584"/>
      <c r="GX35" s="584"/>
      <c r="GY35" s="584"/>
      <c r="GZ35" s="584"/>
      <c r="HA35" s="584"/>
      <c r="HB35" s="584"/>
      <c r="HC35" s="584"/>
      <c r="HD35" s="584"/>
      <c r="HE35" s="584"/>
      <c r="HF35" s="584"/>
      <c r="HG35" s="584"/>
      <c r="HH35" s="584"/>
      <c r="HI35" s="584"/>
      <c r="HJ35" s="584"/>
      <c r="HK35" s="584"/>
      <c r="HL35" s="584"/>
      <c r="HM35" s="584"/>
      <c r="HN35" s="584"/>
      <c r="HO35" s="584"/>
      <c r="HP35" s="584"/>
      <c r="HQ35" s="584"/>
      <c r="HR35" s="584"/>
      <c r="HS35" s="584"/>
      <c r="HT35" s="584"/>
      <c r="HU35" s="584"/>
      <c r="HV35" s="584"/>
      <c r="HW35" s="584"/>
      <c r="HX35" s="584"/>
      <c r="HY35" s="584"/>
      <c r="HZ35" s="584"/>
      <c r="IA35" s="584"/>
      <c r="IB35" s="584"/>
      <c r="IC35" s="584"/>
      <c r="ID35" s="584"/>
      <c r="IE35" s="584"/>
      <c r="IF35" s="584"/>
      <c r="IG35" s="584"/>
      <c r="IH35" s="584"/>
      <c r="II35" s="584"/>
      <c r="IJ35" s="584"/>
      <c r="IK35" s="584"/>
      <c r="IL35" s="584"/>
      <c r="IM35" s="584"/>
      <c r="IN35" s="584"/>
      <c r="IO35" s="584"/>
      <c r="IP35" s="584"/>
      <c r="IQ35" s="584"/>
      <c r="IR35" s="584"/>
      <c r="IS35" s="584"/>
      <c r="IT35" s="584"/>
      <c r="IU35" s="584"/>
      <c r="IV35" s="584"/>
    </row>
    <row r="36" spans="1:256" s="590" customFormat="1" x14ac:dyDescent="0.2">
      <c r="A36" s="591"/>
      <c r="B36" s="636"/>
      <c r="C36" s="636"/>
      <c r="D36" s="636"/>
      <c r="E36" s="636"/>
      <c r="F36" s="636"/>
      <c r="G36" s="636"/>
      <c r="H36" s="636"/>
      <c r="I36" s="636"/>
      <c r="J36" s="636"/>
      <c r="K36" s="636"/>
      <c r="L36" s="636"/>
      <c r="M36" s="636"/>
      <c r="N36" s="636"/>
      <c r="O36" s="636"/>
      <c r="P36" s="636"/>
      <c r="Q36" s="636"/>
      <c r="R36" s="596"/>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c r="BN36" s="584"/>
      <c r="BO36" s="584"/>
      <c r="BP36" s="584"/>
      <c r="BQ36" s="584"/>
      <c r="BR36" s="584"/>
      <c r="BS36" s="584"/>
      <c r="BT36" s="584"/>
      <c r="BU36" s="584"/>
      <c r="BV36" s="584"/>
      <c r="BW36" s="584"/>
      <c r="BX36" s="584"/>
      <c r="BY36" s="584"/>
      <c r="BZ36" s="584"/>
      <c r="CA36" s="584"/>
      <c r="CB36" s="584"/>
      <c r="CC36" s="584"/>
      <c r="CD36" s="584"/>
      <c r="CE36" s="584"/>
      <c r="CF36" s="584"/>
      <c r="CG36" s="584"/>
      <c r="CH36" s="584"/>
      <c r="CI36" s="584"/>
      <c r="CJ36" s="584"/>
      <c r="CK36" s="584"/>
      <c r="CL36" s="584"/>
      <c r="CM36" s="584"/>
      <c r="CN36" s="584"/>
      <c r="CO36" s="584"/>
      <c r="CP36" s="584"/>
      <c r="CQ36" s="584"/>
      <c r="CR36" s="584"/>
      <c r="CS36" s="584"/>
      <c r="CT36" s="584"/>
      <c r="CU36" s="584"/>
      <c r="CV36" s="584"/>
      <c r="CW36" s="584"/>
      <c r="CX36" s="584"/>
      <c r="CY36" s="584"/>
      <c r="CZ36" s="584"/>
      <c r="DA36" s="584"/>
      <c r="DB36" s="584"/>
      <c r="DC36" s="584"/>
      <c r="DD36" s="584"/>
      <c r="DE36" s="584"/>
      <c r="DF36" s="584"/>
      <c r="DG36" s="584"/>
      <c r="DH36" s="584"/>
      <c r="DI36" s="584"/>
      <c r="DJ36" s="584"/>
      <c r="DK36" s="584"/>
      <c r="DL36" s="584"/>
      <c r="DM36" s="584"/>
      <c r="DN36" s="584"/>
      <c r="DO36" s="584"/>
      <c r="DP36" s="584"/>
      <c r="DQ36" s="584"/>
      <c r="DR36" s="584"/>
      <c r="DS36" s="584"/>
      <c r="DT36" s="584"/>
      <c r="DU36" s="584"/>
      <c r="DV36" s="584"/>
      <c r="DW36" s="584"/>
      <c r="DX36" s="584"/>
      <c r="DY36" s="584"/>
      <c r="DZ36" s="584"/>
      <c r="EA36" s="584"/>
      <c r="EB36" s="584"/>
      <c r="EC36" s="584"/>
      <c r="ED36" s="584"/>
      <c r="EE36" s="584"/>
      <c r="EF36" s="584"/>
      <c r="EG36" s="584"/>
      <c r="EH36" s="584"/>
      <c r="EI36" s="584"/>
      <c r="EJ36" s="584"/>
      <c r="EK36" s="584"/>
      <c r="EL36" s="584"/>
      <c r="EM36" s="584"/>
      <c r="EN36" s="584"/>
      <c r="EO36" s="584"/>
      <c r="EP36" s="584"/>
      <c r="EQ36" s="584"/>
      <c r="ER36" s="584"/>
      <c r="ES36" s="584"/>
      <c r="ET36" s="584"/>
      <c r="EU36" s="584"/>
      <c r="EV36" s="584"/>
      <c r="EW36" s="584"/>
      <c r="EX36" s="584"/>
      <c r="EY36" s="584"/>
      <c r="EZ36" s="584"/>
      <c r="FA36" s="584"/>
      <c r="FB36" s="584"/>
      <c r="FC36" s="584"/>
      <c r="FD36" s="584"/>
      <c r="FE36" s="584"/>
      <c r="FF36" s="584"/>
      <c r="FG36" s="584"/>
      <c r="FH36" s="584"/>
      <c r="FI36" s="584"/>
      <c r="FJ36" s="584"/>
      <c r="FK36" s="584"/>
      <c r="FL36" s="584"/>
      <c r="FM36" s="584"/>
      <c r="FN36" s="584"/>
      <c r="FO36" s="584"/>
      <c r="FP36" s="584"/>
      <c r="FQ36" s="584"/>
      <c r="FR36" s="584"/>
      <c r="FS36" s="584"/>
      <c r="FT36" s="584"/>
      <c r="FU36" s="584"/>
      <c r="FV36" s="584"/>
      <c r="FW36" s="584"/>
      <c r="FX36" s="584"/>
      <c r="FY36" s="584"/>
      <c r="FZ36" s="584"/>
      <c r="GA36" s="584"/>
      <c r="GB36" s="584"/>
      <c r="GC36" s="584"/>
      <c r="GD36" s="584"/>
      <c r="GE36" s="584"/>
      <c r="GF36" s="584"/>
      <c r="GG36" s="584"/>
      <c r="GH36" s="584"/>
      <c r="GI36" s="584"/>
      <c r="GJ36" s="584"/>
      <c r="GK36" s="584"/>
      <c r="GL36" s="584"/>
      <c r="GM36" s="584"/>
      <c r="GN36" s="584"/>
      <c r="GO36" s="584"/>
      <c r="GP36" s="584"/>
      <c r="GQ36" s="584"/>
      <c r="GR36" s="584"/>
      <c r="GS36" s="584"/>
      <c r="GT36" s="584"/>
      <c r="GU36" s="584"/>
      <c r="GV36" s="584"/>
      <c r="GW36" s="584"/>
      <c r="GX36" s="584"/>
      <c r="GY36" s="584"/>
      <c r="GZ36" s="584"/>
      <c r="HA36" s="584"/>
      <c r="HB36" s="584"/>
      <c r="HC36" s="584"/>
      <c r="HD36" s="584"/>
      <c r="HE36" s="584"/>
      <c r="HF36" s="584"/>
      <c r="HG36" s="584"/>
      <c r="HH36" s="584"/>
      <c r="HI36" s="584"/>
      <c r="HJ36" s="584"/>
      <c r="HK36" s="584"/>
      <c r="HL36" s="584"/>
      <c r="HM36" s="584"/>
      <c r="HN36" s="584"/>
      <c r="HO36" s="584"/>
      <c r="HP36" s="584"/>
      <c r="HQ36" s="584"/>
      <c r="HR36" s="584"/>
      <c r="HS36" s="584"/>
      <c r="HT36" s="584"/>
      <c r="HU36" s="584"/>
      <c r="HV36" s="584"/>
      <c r="HW36" s="584"/>
      <c r="HX36" s="584"/>
      <c r="HY36" s="584"/>
      <c r="HZ36" s="584"/>
      <c r="IA36" s="584"/>
      <c r="IB36" s="584"/>
      <c r="IC36" s="584"/>
      <c r="ID36" s="584"/>
      <c r="IE36" s="584"/>
      <c r="IF36" s="584"/>
      <c r="IG36" s="584"/>
      <c r="IH36" s="584"/>
      <c r="II36" s="584"/>
      <c r="IJ36" s="584"/>
      <c r="IK36" s="584"/>
      <c r="IL36" s="584"/>
      <c r="IM36" s="584"/>
      <c r="IN36" s="584"/>
      <c r="IO36" s="584"/>
      <c r="IP36" s="584"/>
      <c r="IQ36" s="584"/>
      <c r="IR36" s="584"/>
      <c r="IS36" s="584"/>
      <c r="IT36" s="584"/>
      <c r="IU36" s="584"/>
      <c r="IV36" s="584"/>
    </row>
    <row r="37" spans="1:256" s="590" customFormat="1" x14ac:dyDescent="0.2">
      <c r="A37" s="633" t="s">
        <v>513</v>
      </c>
      <c r="B37" s="635"/>
      <c r="C37" s="634">
        <f>hulp!D24</f>
        <v>70020</v>
      </c>
      <c r="D37" s="634">
        <f>hulp!E24</f>
        <v>140040</v>
      </c>
      <c r="E37" s="634">
        <f>hulp!F24</f>
        <v>140040</v>
      </c>
      <c r="F37" s="634">
        <f>hulp!G24</f>
        <v>140040</v>
      </c>
      <c r="G37" s="634">
        <f>hulp!H24</f>
        <v>140040</v>
      </c>
      <c r="H37" s="634">
        <f>hulp!I24</f>
        <v>140040</v>
      </c>
      <c r="I37" s="634">
        <f>hulp!J24</f>
        <v>140040</v>
      </c>
      <c r="J37" s="634">
        <f>hulp!K24</f>
        <v>140040</v>
      </c>
      <c r="K37" s="634">
        <f>hulp!L24</f>
        <v>140040</v>
      </c>
      <c r="L37" s="634">
        <f>hulp!M24</f>
        <v>140040</v>
      </c>
      <c r="M37" s="634">
        <f>hulp!N24</f>
        <v>70020</v>
      </c>
      <c r="N37" s="634">
        <v>0</v>
      </c>
      <c r="O37" s="634">
        <v>0</v>
      </c>
      <c r="P37" s="634">
        <v>0</v>
      </c>
      <c r="Q37" s="634">
        <v>0</v>
      </c>
      <c r="R37" s="596" t="s">
        <v>514</v>
      </c>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584"/>
      <c r="AU37" s="584"/>
      <c r="AV37" s="584"/>
      <c r="AW37" s="584"/>
      <c r="AX37" s="584"/>
      <c r="AY37" s="584"/>
      <c r="AZ37" s="584"/>
      <c r="BA37" s="584"/>
      <c r="BB37" s="584"/>
      <c r="BC37" s="584"/>
      <c r="BD37" s="584"/>
      <c r="BE37" s="584"/>
      <c r="BF37" s="584"/>
      <c r="BG37" s="584"/>
      <c r="BH37" s="584"/>
      <c r="BI37" s="584"/>
      <c r="BJ37" s="584"/>
      <c r="BK37" s="584"/>
      <c r="BL37" s="584"/>
      <c r="BM37" s="584"/>
      <c r="BN37" s="584"/>
      <c r="BO37" s="584"/>
      <c r="BP37" s="584"/>
      <c r="BQ37" s="584"/>
      <c r="BR37" s="584"/>
      <c r="BS37" s="584"/>
      <c r="BT37" s="584"/>
      <c r="BU37" s="584"/>
      <c r="BV37" s="584"/>
      <c r="BW37" s="584"/>
      <c r="BX37" s="584"/>
      <c r="BY37" s="584"/>
      <c r="BZ37" s="584"/>
      <c r="CA37" s="584"/>
      <c r="CB37" s="584"/>
      <c r="CC37" s="584"/>
      <c r="CD37" s="584"/>
      <c r="CE37" s="584"/>
      <c r="CF37" s="584"/>
      <c r="CG37" s="584"/>
      <c r="CH37" s="584"/>
      <c r="CI37" s="584"/>
      <c r="CJ37" s="584"/>
      <c r="CK37" s="584"/>
      <c r="CL37" s="584"/>
      <c r="CM37" s="584"/>
      <c r="CN37" s="584"/>
      <c r="CO37" s="584"/>
      <c r="CP37" s="584"/>
      <c r="CQ37" s="584"/>
      <c r="CR37" s="584"/>
      <c r="CS37" s="584"/>
      <c r="CT37" s="584"/>
      <c r="CU37" s="584"/>
      <c r="CV37" s="584"/>
      <c r="CW37" s="584"/>
      <c r="CX37" s="584"/>
      <c r="CY37" s="584"/>
      <c r="CZ37" s="584"/>
      <c r="DA37" s="584"/>
      <c r="DB37" s="584"/>
      <c r="DC37" s="584"/>
      <c r="DD37" s="584"/>
      <c r="DE37" s="584"/>
      <c r="DF37" s="584"/>
      <c r="DG37" s="584"/>
      <c r="DH37" s="584"/>
      <c r="DI37" s="584"/>
      <c r="DJ37" s="584"/>
      <c r="DK37" s="584"/>
      <c r="DL37" s="584"/>
      <c r="DM37" s="584"/>
      <c r="DN37" s="584"/>
      <c r="DO37" s="584"/>
      <c r="DP37" s="584"/>
      <c r="DQ37" s="584"/>
      <c r="DR37" s="584"/>
      <c r="DS37" s="584"/>
      <c r="DT37" s="584"/>
      <c r="DU37" s="584"/>
      <c r="DV37" s="584"/>
      <c r="DW37" s="584"/>
      <c r="DX37" s="584"/>
      <c r="DY37" s="584"/>
      <c r="DZ37" s="584"/>
      <c r="EA37" s="584"/>
      <c r="EB37" s="584"/>
      <c r="EC37" s="584"/>
      <c r="ED37" s="584"/>
      <c r="EE37" s="584"/>
      <c r="EF37" s="584"/>
      <c r="EG37" s="584"/>
      <c r="EH37" s="584"/>
      <c r="EI37" s="584"/>
      <c r="EJ37" s="584"/>
      <c r="EK37" s="584"/>
      <c r="EL37" s="584"/>
      <c r="EM37" s="584"/>
      <c r="EN37" s="584"/>
      <c r="EO37" s="584"/>
      <c r="EP37" s="584"/>
      <c r="EQ37" s="584"/>
      <c r="ER37" s="584"/>
      <c r="ES37" s="584"/>
      <c r="ET37" s="584"/>
      <c r="EU37" s="584"/>
      <c r="EV37" s="584"/>
      <c r="EW37" s="584"/>
      <c r="EX37" s="584"/>
      <c r="EY37" s="584"/>
      <c r="EZ37" s="584"/>
      <c r="FA37" s="584"/>
      <c r="FB37" s="584"/>
      <c r="FC37" s="584"/>
      <c r="FD37" s="584"/>
      <c r="FE37" s="584"/>
      <c r="FF37" s="584"/>
      <c r="FG37" s="584"/>
      <c r="FH37" s="584"/>
      <c r="FI37" s="584"/>
      <c r="FJ37" s="584"/>
      <c r="FK37" s="584"/>
      <c r="FL37" s="584"/>
      <c r="FM37" s="584"/>
      <c r="FN37" s="584"/>
      <c r="FO37" s="584"/>
      <c r="FP37" s="584"/>
      <c r="FQ37" s="584"/>
      <c r="FR37" s="584"/>
      <c r="FS37" s="584"/>
      <c r="FT37" s="584"/>
      <c r="FU37" s="584"/>
      <c r="FV37" s="584"/>
      <c r="FW37" s="584"/>
      <c r="FX37" s="584"/>
      <c r="FY37" s="584"/>
      <c r="FZ37" s="584"/>
      <c r="GA37" s="584"/>
      <c r="GB37" s="584"/>
      <c r="GC37" s="584"/>
      <c r="GD37" s="584"/>
      <c r="GE37" s="584"/>
      <c r="GF37" s="584"/>
      <c r="GG37" s="584"/>
      <c r="GH37" s="584"/>
      <c r="GI37" s="584"/>
      <c r="GJ37" s="584"/>
      <c r="GK37" s="584"/>
      <c r="GL37" s="584"/>
      <c r="GM37" s="584"/>
      <c r="GN37" s="584"/>
      <c r="GO37" s="584"/>
      <c r="GP37" s="584"/>
      <c r="GQ37" s="584"/>
      <c r="GR37" s="584"/>
      <c r="GS37" s="584"/>
      <c r="GT37" s="584"/>
      <c r="GU37" s="584"/>
      <c r="GV37" s="584"/>
      <c r="GW37" s="584"/>
      <c r="GX37" s="584"/>
      <c r="GY37" s="584"/>
      <c r="GZ37" s="584"/>
      <c r="HA37" s="584"/>
      <c r="HB37" s="584"/>
      <c r="HC37" s="584"/>
      <c r="HD37" s="584"/>
      <c r="HE37" s="584"/>
      <c r="HF37" s="584"/>
      <c r="HG37" s="584"/>
      <c r="HH37" s="584"/>
      <c r="HI37" s="584"/>
      <c r="HJ37" s="584"/>
      <c r="HK37" s="584"/>
      <c r="HL37" s="584"/>
      <c r="HM37" s="584"/>
      <c r="HN37" s="584"/>
      <c r="HO37" s="584"/>
      <c r="HP37" s="584"/>
      <c r="HQ37" s="584"/>
      <c r="HR37" s="584"/>
      <c r="HS37" s="584"/>
      <c r="HT37" s="584"/>
      <c r="HU37" s="584"/>
      <c r="HV37" s="584"/>
      <c r="HW37" s="584"/>
      <c r="HX37" s="584"/>
      <c r="HY37" s="584"/>
      <c r="HZ37" s="584"/>
      <c r="IA37" s="584"/>
      <c r="IB37" s="584"/>
      <c r="IC37" s="584"/>
      <c r="ID37" s="584"/>
      <c r="IE37" s="584"/>
      <c r="IF37" s="584"/>
      <c r="IG37" s="584"/>
      <c r="IH37" s="584"/>
      <c r="II37" s="584"/>
      <c r="IJ37" s="584"/>
      <c r="IK37" s="584"/>
      <c r="IL37" s="584"/>
      <c r="IM37" s="584"/>
      <c r="IN37" s="584"/>
      <c r="IO37" s="584"/>
      <c r="IP37" s="584"/>
      <c r="IQ37" s="584"/>
      <c r="IR37" s="584"/>
      <c r="IS37" s="584"/>
      <c r="IT37" s="584"/>
      <c r="IU37" s="584"/>
      <c r="IV37" s="584"/>
    </row>
    <row r="38" spans="1:256" s="590" customFormat="1" ht="13.5" thickBot="1" x14ac:dyDescent="0.25">
      <c r="A38" s="591"/>
      <c r="B38" s="636"/>
      <c r="C38" s="636"/>
      <c r="D38" s="636"/>
      <c r="E38" s="636"/>
      <c r="F38" s="636"/>
      <c r="G38" s="636"/>
      <c r="H38" s="636"/>
      <c r="I38" s="636"/>
      <c r="J38" s="636"/>
      <c r="K38" s="636"/>
      <c r="L38" s="636"/>
      <c r="M38" s="584"/>
      <c r="N38" s="584"/>
      <c r="O38" s="584"/>
      <c r="P38" s="584"/>
      <c r="Q38" s="584"/>
      <c r="R38" s="596"/>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584"/>
      <c r="AW38" s="584"/>
      <c r="AX38" s="584"/>
      <c r="AY38" s="584"/>
      <c r="AZ38" s="584"/>
      <c r="BA38" s="584"/>
      <c r="BB38" s="584"/>
      <c r="BC38" s="584"/>
      <c r="BD38" s="584"/>
      <c r="BE38" s="584"/>
      <c r="BF38" s="584"/>
      <c r="BG38" s="584"/>
      <c r="BH38" s="584"/>
      <c r="BI38" s="584"/>
      <c r="BJ38" s="584"/>
      <c r="BK38" s="584"/>
      <c r="BL38" s="584"/>
      <c r="BM38" s="584"/>
      <c r="BN38" s="584"/>
      <c r="BO38" s="584"/>
      <c r="BP38" s="584"/>
      <c r="BQ38" s="584"/>
      <c r="BR38" s="584"/>
      <c r="BS38" s="584"/>
      <c r="BT38" s="584"/>
      <c r="BU38" s="584"/>
      <c r="BV38" s="584"/>
      <c r="BW38" s="584"/>
      <c r="BX38" s="584"/>
      <c r="BY38" s="584"/>
      <c r="BZ38" s="584"/>
      <c r="CA38" s="584"/>
      <c r="CB38" s="584"/>
      <c r="CC38" s="584"/>
      <c r="CD38" s="584"/>
      <c r="CE38" s="584"/>
      <c r="CF38" s="584"/>
      <c r="CG38" s="584"/>
      <c r="CH38" s="584"/>
      <c r="CI38" s="584"/>
      <c r="CJ38" s="584"/>
      <c r="CK38" s="584"/>
      <c r="CL38" s="584"/>
      <c r="CM38" s="584"/>
      <c r="CN38" s="584"/>
      <c r="CO38" s="584"/>
      <c r="CP38" s="584"/>
      <c r="CQ38" s="584"/>
      <c r="CR38" s="584"/>
      <c r="CS38" s="584"/>
      <c r="CT38" s="584"/>
      <c r="CU38" s="584"/>
      <c r="CV38" s="584"/>
      <c r="CW38" s="584"/>
      <c r="CX38" s="584"/>
      <c r="CY38" s="584"/>
      <c r="CZ38" s="584"/>
      <c r="DA38" s="584"/>
      <c r="DB38" s="584"/>
      <c r="DC38" s="584"/>
      <c r="DD38" s="584"/>
      <c r="DE38" s="584"/>
      <c r="DF38" s="584"/>
      <c r="DG38" s="584"/>
      <c r="DH38" s="584"/>
      <c r="DI38" s="584"/>
      <c r="DJ38" s="584"/>
      <c r="DK38" s="584"/>
      <c r="DL38" s="584"/>
      <c r="DM38" s="584"/>
      <c r="DN38" s="584"/>
      <c r="DO38" s="584"/>
      <c r="DP38" s="584"/>
      <c r="DQ38" s="584"/>
      <c r="DR38" s="584"/>
      <c r="DS38" s="584"/>
      <c r="DT38" s="584"/>
      <c r="DU38" s="584"/>
      <c r="DV38" s="584"/>
      <c r="DW38" s="584"/>
      <c r="DX38" s="584"/>
      <c r="DY38" s="584"/>
      <c r="DZ38" s="584"/>
      <c r="EA38" s="584"/>
      <c r="EB38" s="584"/>
      <c r="EC38" s="584"/>
      <c r="ED38" s="584"/>
      <c r="EE38" s="584"/>
      <c r="EF38" s="584"/>
      <c r="EG38" s="584"/>
      <c r="EH38" s="584"/>
      <c r="EI38" s="584"/>
      <c r="EJ38" s="584"/>
      <c r="EK38" s="584"/>
      <c r="EL38" s="584"/>
      <c r="EM38" s="584"/>
      <c r="EN38" s="584"/>
      <c r="EO38" s="584"/>
      <c r="EP38" s="584"/>
      <c r="EQ38" s="584"/>
      <c r="ER38" s="584"/>
      <c r="ES38" s="584"/>
      <c r="ET38" s="584"/>
      <c r="EU38" s="584"/>
      <c r="EV38" s="584"/>
      <c r="EW38" s="584"/>
      <c r="EX38" s="584"/>
      <c r="EY38" s="584"/>
      <c r="EZ38" s="584"/>
      <c r="FA38" s="584"/>
      <c r="FB38" s="584"/>
      <c r="FC38" s="584"/>
      <c r="FD38" s="584"/>
      <c r="FE38" s="584"/>
      <c r="FF38" s="584"/>
      <c r="FG38" s="584"/>
      <c r="FH38" s="584"/>
      <c r="FI38" s="584"/>
      <c r="FJ38" s="584"/>
      <c r="FK38" s="584"/>
      <c r="FL38" s="584"/>
      <c r="FM38" s="584"/>
      <c r="FN38" s="584"/>
      <c r="FO38" s="584"/>
      <c r="FP38" s="584"/>
      <c r="FQ38" s="584"/>
      <c r="FR38" s="584"/>
      <c r="FS38" s="584"/>
      <c r="FT38" s="584"/>
      <c r="FU38" s="584"/>
      <c r="FV38" s="584"/>
      <c r="FW38" s="584"/>
      <c r="FX38" s="584"/>
      <c r="FY38" s="584"/>
      <c r="FZ38" s="584"/>
      <c r="GA38" s="584"/>
      <c r="GB38" s="584"/>
      <c r="GC38" s="584"/>
      <c r="GD38" s="584"/>
      <c r="GE38" s="584"/>
      <c r="GF38" s="584"/>
      <c r="GG38" s="584"/>
      <c r="GH38" s="584"/>
      <c r="GI38" s="584"/>
      <c r="GJ38" s="584"/>
      <c r="GK38" s="584"/>
      <c r="GL38" s="584"/>
      <c r="GM38" s="584"/>
      <c r="GN38" s="584"/>
      <c r="GO38" s="584"/>
      <c r="GP38" s="584"/>
      <c r="GQ38" s="584"/>
      <c r="GR38" s="584"/>
      <c r="GS38" s="584"/>
      <c r="GT38" s="584"/>
      <c r="GU38" s="584"/>
      <c r="GV38" s="584"/>
      <c r="GW38" s="584"/>
      <c r="GX38" s="584"/>
      <c r="GY38" s="584"/>
      <c r="GZ38" s="584"/>
      <c r="HA38" s="584"/>
      <c r="HB38" s="584"/>
      <c r="HC38" s="584"/>
      <c r="HD38" s="584"/>
      <c r="HE38" s="584"/>
      <c r="HF38" s="584"/>
      <c r="HG38" s="584"/>
      <c r="HH38" s="584"/>
      <c r="HI38" s="584"/>
      <c r="HJ38" s="584"/>
      <c r="HK38" s="584"/>
      <c r="HL38" s="584"/>
      <c r="HM38" s="584"/>
      <c r="HN38" s="584"/>
      <c r="HO38" s="584"/>
      <c r="HP38" s="584"/>
      <c r="HQ38" s="584"/>
      <c r="HR38" s="584"/>
      <c r="HS38" s="584"/>
      <c r="HT38" s="584"/>
      <c r="HU38" s="584"/>
      <c r="HV38" s="584"/>
      <c r="HW38" s="584"/>
      <c r="HX38" s="584"/>
      <c r="HY38" s="584"/>
      <c r="HZ38" s="584"/>
      <c r="IA38" s="584"/>
      <c r="IB38" s="584"/>
      <c r="IC38" s="584"/>
      <c r="ID38" s="584"/>
      <c r="IE38" s="584"/>
      <c r="IF38" s="584"/>
      <c r="IG38" s="584"/>
      <c r="IH38" s="584"/>
      <c r="II38" s="584"/>
      <c r="IJ38" s="584"/>
      <c r="IK38" s="584"/>
      <c r="IL38" s="584"/>
      <c r="IM38" s="584"/>
      <c r="IN38" s="584"/>
      <c r="IO38" s="584"/>
      <c r="IP38" s="584"/>
      <c r="IQ38" s="584"/>
      <c r="IR38" s="584"/>
      <c r="IS38" s="584"/>
      <c r="IT38" s="584"/>
      <c r="IU38" s="584"/>
      <c r="IV38" s="584"/>
    </row>
    <row r="39" spans="1:256" s="590" customFormat="1" ht="13.5" thickBot="1" x14ac:dyDescent="0.25">
      <c r="A39" s="591"/>
      <c r="B39" s="637" t="s">
        <v>515</v>
      </c>
      <c r="C39" s="638" t="e">
        <f>IRR(B33:O33,0%)</f>
        <v>#NUM!</v>
      </c>
      <c r="D39" s="636"/>
      <c r="E39" s="636"/>
      <c r="F39" s="636"/>
      <c r="G39" s="636"/>
      <c r="H39" s="636"/>
      <c r="I39" s="636"/>
      <c r="J39" s="636"/>
      <c r="K39" s="636"/>
      <c r="L39" s="636"/>
      <c r="M39" s="584"/>
      <c r="N39" s="584"/>
      <c r="O39" s="584"/>
      <c r="P39" s="584"/>
      <c r="Q39" s="584"/>
      <c r="R39" s="596"/>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c r="BI39" s="584"/>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4"/>
      <c r="CH39" s="584"/>
      <c r="CI39" s="584"/>
      <c r="CJ39" s="584"/>
      <c r="CK39" s="584"/>
      <c r="CL39" s="584"/>
      <c r="CM39" s="584"/>
      <c r="CN39" s="584"/>
      <c r="CO39" s="584"/>
      <c r="CP39" s="584"/>
      <c r="CQ39" s="584"/>
      <c r="CR39" s="584"/>
      <c r="CS39" s="584"/>
      <c r="CT39" s="584"/>
      <c r="CU39" s="584"/>
      <c r="CV39" s="584"/>
      <c r="CW39" s="584"/>
      <c r="CX39" s="584"/>
      <c r="CY39" s="584"/>
      <c r="CZ39" s="584"/>
      <c r="DA39" s="584"/>
      <c r="DB39" s="584"/>
      <c r="DC39" s="584"/>
      <c r="DD39" s="584"/>
      <c r="DE39" s="584"/>
      <c r="DF39" s="584"/>
      <c r="DG39" s="584"/>
      <c r="DH39" s="584"/>
      <c r="DI39" s="584"/>
      <c r="DJ39" s="584"/>
      <c r="DK39" s="584"/>
      <c r="DL39" s="584"/>
      <c r="DM39" s="584"/>
      <c r="DN39" s="584"/>
      <c r="DO39" s="584"/>
      <c r="DP39" s="584"/>
      <c r="DQ39" s="584"/>
      <c r="DR39" s="584"/>
      <c r="DS39" s="584"/>
      <c r="DT39" s="584"/>
      <c r="DU39" s="584"/>
      <c r="DV39" s="584"/>
      <c r="DW39" s="584"/>
      <c r="DX39" s="584"/>
      <c r="DY39" s="584"/>
      <c r="DZ39" s="584"/>
      <c r="EA39" s="584"/>
      <c r="EB39" s="584"/>
      <c r="EC39" s="584"/>
      <c r="ED39" s="584"/>
      <c r="EE39" s="584"/>
      <c r="EF39" s="584"/>
      <c r="EG39" s="584"/>
      <c r="EH39" s="584"/>
      <c r="EI39" s="584"/>
      <c r="EJ39" s="584"/>
      <c r="EK39" s="584"/>
      <c r="EL39" s="584"/>
      <c r="EM39" s="584"/>
      <c r="EN39" s="584"/>
      <c r="EO39" s="584"/>
      <c r="EP39" s="584"/>
      <c r="EQ39" s="584"/>
      <c r="ER39" s="584"/>
      <c r="ES39" s="584"/>
      <c r="ET39" s="584"/>
      <c r="EU39" s="584"/>
      <c r="EV39" s="584"/>
      <c r="EW39" s="584"/>
      <c r="EX39" s="584"/>
      <c r="EY39" s="584"/>
      <c r="EZ39" s="584"/>
      <c r="FA39" s="584"/>
      <c r="FB39" s="584"/>
      <c r="FC39" s="584"/>
      <c r="FD39" s="584"/>
      <c r="FE39" s="584"/>
      <c r="FF39" s="584"/>
      <c r="FG39" s="584"/>
      <c r="FH39" s="584"/>
      <c r="FI39" s="584"/>
      <c r="FJ39" s="584"/>
      <c r="FK39" s="584"/>
      <c r="FL39" s="584"/>
      <c r="FM39" s="584"/>
      <c r="FN39" s="584"/>
      <c r="FO39" s="584"/>
      <c r="FP39" s="584"/>
      <c r="FQ39" s="584"/>
      <c r="FR39" s="584"/>
      <c r="FS39" s="584"/>
      <c r="FT39" s="584"/>
      <c r="FU39" s="584"/>
      <c r="FV39" s="584"/>
      <c r="FW39" s="584"/>
      <c r="FX39" s="584"/>
      <c r="FY39" s="584"/>
      <c r="FZ39" s="584"/>
      <c r="GA39" s="584"/>
      <c r="GB39" s="584"/>
      <c r="GC39" s="584"/>
      <c r="GD39" s="584"/>
      <c r="GE39" s="584"/>
      <c r="GF39" s="584"/>
      <c r="GG39" s="584"/>
      <c r="GH39" s="584"/>
      <c r="GI39" s="584"/>
      <c r="GJ39" s="584"/>
      <c r="GK39" s="584"/>
      <c r="GL39" s="584"/>
      <c r="GM39" s="584"/>
      <c r="GN39" s="584"/>
      <c r="GO39" s="584"/>
      <c r="GP39" s="584"/>
      <c r="GQ39" s="584"/>
      <c r="GR39" s="584"/>
      <c r="GS39" s="584"/>
      <c r="GT39" s="584"/>
      <c r="GU39" s="584"/>
      <c r="GV39" s="584"/>
      <c r="GW39" s="584"/>
      <c r="GX39" s="584"/>
      <c r="GY39" s="584"/>
      <c r="GZ39" s="584"/>
      <c r="HA39" s="584"/>
      <c r="HB39" s="584"/>
      <c r="HC39" s="584"/>
      <c r="HD39" s="584"/>
      <c r="HE39" s="584"/>
      <c r="HF39" s="584"/>
      <c r="HG39" s="584"/>
      <c r="HH39" s="584"/>
      <c r="HI39" s="584"/>
      <c r="HJ39" s="584"/>
      <c r="HK39" s="584"/>
      <c r="HL39" s="584"/>
      <c r="HM39" s="584"/>
      <c r="HN39" s="584"/>
      <c r="HO39" s="584"/>
      <c r="HP39" s="584"/>
      <c r="HQ39" s="584"/>
      <c r="HR39" s="584"/>
      <c r="HS39" s="584"/>
      <c r="HT39" s="584"/>
      <c r="HU39" s="584"/>
      <c r="HV39" s="584"/>
      <c r="HW39" s="584"/>
      <c r="HX39" s="584"/>
      <c r="HY39" s="584"/>
      <c r="HZ39" s="584"/>
      <c r="IA39" s="584"/>
      <c r="IB39" s="584"/>
      <c r="IC39" s="584"/>
      <c r="ID39" s="584"/>
      <c r="IE39" s="584"/>
      <c r="IF39" s="584"/>
      <c r="IG39" s="584"/>
      <c r="IH39" s="584"/>
      <c r="II39" s="584"/>
      <c r="IJ39" s="584"/>
      <c r="IK39" s="584"/>
      <c r="IL39" s="584"/>
      <c r="IM39" s="584"/>
      <c r="IN39" s="584"/>
      <c r="IO39" s="584"/>
      <c r="IP39" s="584"/>
      <c r="IQ39" s="584"/>
      <c r="IR39" s="584"/>
      <c r="IS39" s="584"/>
      <c r="IT39" s="584"/>
      <c r="IU39" s="584"/>
      <c r="IV39" s="584"/>
    </row>
    <row r="40" spans="1:256" ht="13.5" thickBot="1" x14ac:dyDescent="0.25">
      <c r="B40" s="636"/>
      <c r="C40" s="588"/>
    </row>
    <row r="41" spans="1:256" ht="13.5" thickBot="1" x14ac:dyDescent="0.25">
      <c r="A41" s="585"/>
      <c r="B41" s="637" t="s">
        <v>516</v>
      </c>
      <c r="C41" s="639">
        <f>C33/(C37+C18)</f>
        <v>0</v>
      </c>
      <c r="D41" s="639">
        <f t="shared" ref="D41:O41" si="9">D33/(D37+D18)</f>
        <v>0</v>
      </c>
      <c r="E41" s="639">
        <f t="shared" si="9"/>
        <v>0</v>
      </c>
      <c r="F41" s="639">
        <f t="shared" si="9"/>
        <v>0</v>
      </c>
      <c r="G41" s="639">
        <f t="shared" si="9"/>
        <v>0</v>
      </c>
      <c r="H41" s="639">
        <f t="shared" si="9"/>
        <v>0</v>
      </c>
      <c r="I41" s="639">
        <f t="shared" si="9"/>
        <v>0</v>
      </c>
      <c r="J41" s="639">
        <f t="shared" si="9"/>
        <v>0</v>
      </c>
      <c r="K41" s="639">
        <f t="shared" si="9"/>
        <v>0</v>
      </c>
      <c r="L41" s="639">
        <f t="shared" si="9"/>
        <v>0</v>
      </c>
      <c r="M41" s="639">
        <f t="shared" si="9"/>
        <v>0</v>
      </c>
      <c r="N41" s="639" t="e">
        <f t="shared" si="9"/>
        <v>#DIV/0!</v>
      </c>
      <c r="O41" s="639" t="e">
        <f t="shared" si="9"/>
        <v>#DIV/0!</v>
      </c>
      <c r="R41" s="640">
        <f>SUM(C33:Q33)/(SUM(C18:Q18)+SUM(C37:Q37))</f>
        <v>0</v>
      </c>
    </row>
    <row r="42" spans="1:256" ht="13.5" thickBot="1" x14ac:dyDescent="0.25">
      <c r="B42" s="588"/>
    </row>
    <row r="43" spans="1:256" ht="13.5" thickBot="1" x14ac:dyDescent="0.25">
      <c r="A43" s="592" t="s">
        <v>75</v>
      </c>
      <c r="B43" s="637" t="s">
        <v>506</v>
      </c>
      <c r="C43" s="638" t="e">
        <f>IRR(B46:O46,0%)</f>
        <v>#NUM!</v>
      </c>
    </row>
    <row r="45" spans="1:256" x14ac:dyDescent="0.2">
      <c r="A45" s="607"/>
      <c r="B45" s="607"/>
      <c r="C45" s="641"/>
    </row>
    <row r="46" spans="1:256" x14ac:dyDescent="0.2">
      <c r="A46" s="607"/>
      <c r="B46" s="607">
        <v>-399600</v>
      </c>
      <c r="C46" s="588">
        <f>C31+C17-C37</f>
        <v>-70020</v>
      </c>
      <c r="D46" s="588">
        <f t="shared" ref="D46:O46" si="10">D31+D17-D37</f>
        <v>-140040</v>
      </c>
      <c r="E46" s="588">
        <f t="shared" si="10"/>
        <v>-140040</v>
      </c>
      <c r="F46" s="588">
        <f t="shared" si="10"/>
        <v>-140040</v>
      </c>
      <c r="G46" s="588">
        <f t="shared" si="10"/>
        <v>-140040</v>
      </c>
      <c r="H46" s="588">
        <f t="shared" si="10"/>
        <v>-140040</v>
      </c>
      <c r="I46" s="588">
        <f t="shared" si="10"/>
        <v>-140040</v>
      </c>
      <c r="J46" s="588">
        <f t="shared" si="10"/>
        <v>-140040</v>
      </c>
      <c r="K46" s="588">
        <f t="shared" si="10"/>
        <v>-140040</v>
      </c>
      <c r="L46" s="588">
        <f t="shared" si="10"/>
        <v>-140040</v>
      </c>
      <c r="M46" s="588">
        <f t="shared" si="10"/>
        <v>-70020</v>
      </c>
      <c r="N46" s="588">
        <f t="shared" si="10"/>
        <v>0</v>
      </c>
      <c r="O46" s="588">
        <f t="shared" si="10"/>
        <v>0</v>
      </c>
      <c r="P46" s="588"/>
      <c r="R46" s="584"/>
    </row>
    <row r="48" spans="1:256" x14ac:dyDescent="0.2">
      <c r="C48" s="638"/>
      <c r="R48" s="584"/>
    </row>
    <row r="51" spans="3:18" x14ac:dyDescent="0.2">
      <c r="C51" s="584">
        <v>7</v>
      </c>
      <c r="R51" s="5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B1:Y80"/>
  <sheetViews>
    <sheetView topLeftCell="A10" zoomScale="75" workbookViewId="0">
      <selection activeCell="I39" sqref="I39"/>
    </sheetView>
  </sheetViews>
  <sheetFormatPr defaultRowHeight="12.75" x14ac:dyDescent="0.2"/>
  <cols>
    <col min="1" max="1" width="6.5" customWidth="1"/>
    <col min="2" max="2" width="45.33203125" customWidth="1"/>
    <col min="3" max="5" width="2.83203125" customWidth="1"/>
    <col min="6" max="6" width="4" customWidth="1"/>
    <col min="7" max="7" width="14" customWidth="1"/>
    <col min="8" max="8" width="18.83203125" bestFit="1" customWidth="1"/>
    <col min="9" max="9" width="16.33203125" bestFit="1" customWidth="1"/>
    <col min="10" max="10" width="15.5" bestFit="1" customWidth="1"/>
    <col min="11" max="11" width="15.6640625" bestFit="1" customWidth="1"/>
    <col min="12" max="13" width="15.1640625" bestFit="1" customWidth="1"/>
    <col min="14" max="14" width="20.5" bestFit="1" customWidth="1"/>
    <col min="15" max="15" width="16" bestFit="1" customWidth="1"/>
    <col min="16" max="16" width="16.33203125" bestFit="1" customWidth="1"/>
    <col min="17" max="17" width="15.6640625" bestFit="1" customWidth="1"/>
    <col min="18" max="19" width="16" bestFit="1" customWidth="1"/>
    <col min="20" max="20" width="15.6640625" bestFit="1" customWidth="1"/>
    <col min="21" max="22" width="14.33203125" bestFit="1" customWidth="1"/>
    <col min="23" max="23" width="14" bestFit="1" customWidth="1"/>
    <col min="25" max="25" width="13.5" bestFit="1" customWidth="1"/>
  </cols>
  <sheetData>
    <row r="1" spans="2:25" ht="15" x14ac:dyDescent="0.25">
      <c r="C1" s="26"/>
      <c r="D1" s="26"/>
      <c r="E1" s="26"/>
    </row>
    <row r="2" spans="2:25" ht="15" x14ac:dyDescent="0.25">
      <c r="B2" s="2" t="s">
        <v>297</v>
      </c>
      <c r="D2" s="85"/>
      <c r="E2" s="26"/>
      <c r="F2" s="26"/>
      <c r="G2" s="85" t="s">
        <v>47</v>
      </c>
      <c r="H2" s="85"/>
      <c r="I2" s="26"/>
      <c r="J2" s="26"/>
      <c r="K2" s="26"/>
      <c r="L2" s="26"/>
      <c r="M2" s="26"/>
      <c r="N2" s="26"/>
      <c r="O2" s="26"/>
      <c r="P2" s="26"/>
      <c r="Q2" s="26"/>
      <c r="R2" s="26"/>
      <c r="S2" s="26"/>
    </row>
    <row r="3" spans="2:25" ht="15" x14ac:dyDescent="0.25">
      <c r="B3" s="11"/>
      <c r="C3" s="26"/>
      <c r="D3" s="26"/>
      <c r="E3" s="26"/>
      <c r="F3" s="147"/>
      <c r="G3" s="2">
        <v>1</v>
      </c>
      <c r="H3" s="2">
        <v>2</v>
      </c>
      <c r="I3" s="2">
        <v>3</v>
      </c>
      <c r="J3" s="2">
        <v>4</v>
      </c>
      <c r="K3" s="2">
        <v>5</v>
      </c>
      <c r="L3" s="2">
        <v>6</v>
      </c>
      <c r="M3" s="2">
        <v>7</v>
      </c>
      <c r="N3" s="2">
        <v>8</v>
      </c>
      <c r="O3" s="2">
        <v>9</v>
      </c>
      <c r="P3" s="2">
        <v>10</v>
      </c>
      <c r="Q3" s="2">
        <v>11</v>
      </c>
      <c r="R3" s="2">
        <v>12</v>
      </c>
      <c r="S3" s="2">
        <v>13</v>
      </c>
      <c r="T3" s="2">
        <v>14</v>
      </c>
      <c r="U3" s="2">
        <v>15</v>
      </c>
      <c r="W3" s="2"/>
      <c r="X3" s="2"/>
    </row>
    <row r="4" spans="2:25" ht="15" x14ac:dyDescent="0.25">
      <c r="B4" t="s">
        <v>283</v>
      </c>
      <c r="C4" s="26"/>
      <c r="D4" s="26"/>
      <c r="E4" s="26"/>
      <c r="F4" s="165"/>
      <c r="G4" s="7">
        <f>+Invoerblad!K91+Invoerblad!K30+Invoerblad!K92+Invoerblad!K93</f>
        <v>0</v>
      </c>
      <c r="H4" s="7">
        <f>+Invoerblad!L91+Invoerblad!L30+Invoerblad!L92+Invoerblad!L93</f>
        <v>0</v>
      </c>
      <c r="I4" s="7">
        <f>+Invoerblad!M91+Invoerblad!M30+Invoerblad!M92+Invoerblad!M93</f>
        <v>0</v>
      </c>
      <c r="J4" s="7">
        <f>+Invoerblad!N91+Invoerblad!N30+Invoerblad!N92+Invoerblad!N93</f>
        <v>0</v>
      </c>
      <c r="K4" s="7">
        <f>+Invoerblad!O91+Invoerblad!O30+Invoerblad!O92+Invoerblad!O93</f>
        <v>0</v>
      </c>
      <c r="L4" s="7">
        <f>+Invoerblad!P91+Invoerblad!P30+Invoerblad!P92+Invoerblad!P93</f>
        <v>0</v>
      </c>
      <c r="M4" s="7">
        <f>+Invoerblad!Q91+Invoerblad!Q30+Invoerblad!Q92+Invoerblad!Q93</f>
        <v>0</v>
      </c>
      <c r="N4" s="7">
        <f>+Invoerblad!R91+Invoerblad!R30+Invoerblad!R92+Invoerblad!R93</f>
        <v>0</v>
      </c>
      <c r="O4" s="7">
        <f>+Invoerblad!S91+Invoerblad!S30+Invoerblad!S92+Invoerblad!S93</f>
        <v>0</v>
      </c>
      <c r="P4" s="7">
        <f>+Invoerblad!T91+Invoerblad!T30+Invoerblad!T92+Invoerblad!T93</f>
        <v>0</v>
      </c>
      <c r="Q4" s="7">
        <f>+Invoerblad!U91+Invoerblad!U30+Invoerblad!U92+Invoerblad!U93</f>
        <v>0</v>
      </c>
      <c r="R4" s="7">
        <f>+Invoerblad!V91+Invoerblad!V30+Invoerblad!V92+Invoerblad!V93</f>
        <v>0</v>
      </c>
      <c r="S4" s="7">
        <f>+Invoerblad!W91+Invoerblad!W30+Invoerblad!W92+Invoerblad!W93</f>
        <v>0</v>
      </c>
      <c r="T4" s="7">
        <f>+Invoerblad!X91+Invoerblad!X30+Invoerblad!X92+Invoerblad!X93</f>
        <v>0</v>
      </c>
      <c r="U4" s="7">
        <f>+Invoerblad!Y91+Invoerblad!Y30+Invoerblad!Y92+Invoerblad!Y93</f>
        <v>0</v>
      </c>
      <c r="W4" s="366"/>
    </row>
    <row r="5" spans="2:25" ht="15" x14ac:dyDescent="0.25">
      <c r="B5" s="140" t="s">
        <v>279</v>
      </c>
      <c r="C5" s="26"/>
      <c r="D5" s="26"/>
      <c r="E5" s="26"/>
      <c r="F5" s="147"/>
      <c r="G5" s="200">
        <f>1/POWER(1+Invoerblad!$E$75,G3)*'Hulpberekeningen 2'!$E$39*'Hulpberekeningen 2'!$E$46*G4*'Hulpberekeningen 2'!$E$57</f>
        <v>0</v>
      </c>
      <c r="H5" s="200">
        <f>1/POWER(1+Invoerblad!$E$75,H3)*'Hulpberekeningen 2'!$E$39*'Hulpberekeningen 2'!$E$46*H4*'Hulpberekeningen 2'!$E$57</f>
        <v>0</v>
      </c>
      <c r="I5" s="200">
        <f>1/POWER(1+Invoerblad!$E$75,I3)*'Hulpberekeningen 2'!$E$39*'Hulpberekeningen 2'!$E$46*I4*'Hulpberekeningen 2'!$E$57</f>
        <v>0</v>
      </c>
      <c r="J5" s="200">
        <f>1/POWER(1+Invoerblad!$E$75,J3)*'Hulpberekeningen 2'!$E$39*'Hulpberekeningen 2'!$E$46*J4*'Hulpberekeningen 2'!$E$57</f>
        <v>0</v>
      </c>
      <c r="K5" s="200">
        <f>1/POWER(1+Invoerblad!$E$75,K3)*'Hulpberekeningen 2'!$E$39*'Hulpberekeningen 2'!$E$46*K4*'Hulpberekeningen 2'!$E$57</f>
        <v>0</v>
      </c>
      <c r="L5" s="200">
        <f>1/POWER(1+Invoerblad!$E$75,L3)*'Hulpberekeningen 2'!$E$39*'Hulpberekeningen 2'!$E$46*L4*'Hulpberekeningen 2'!$E$57</f>
        <v>0</v>
      </c>
      <c r="M5" s="200">
        <f>1/POWER(1+Invoerblad!$E$75,M3)*'Hulpberekeningen 2'!$E$39*'Hulpberekeningen 2'!$E$46*M4*'Hulpberekeningen 2'!$E$57</f>
        <v>0</v>
      </c>
      <c r="N5" s="200">
        <f>1/POWER(1+Invoerblad!$E$75,N3)*'Hulpberekeningen 2'!$E$39*'Hulpberekeningen 2'!$E$46*N4*'Hulpberekeningen 2'!$E$57</f>
        <v>0</v>
      </c>
      <c r="O5" s="200">
        <f>1/POWER(1+Invoerblad!$E$75,O3)*'Hulpberekeningen 2'!$E$39*'Hulpberekeningen 2'!$E$46*O4*'Hulpberekeningen 2'!$E$57</f>
        <v>0</v>
      </c>
      <c r="P5" s="200">
        <f>1/POWER(1+Invoerblad!$E$75,P3)*'Hulpberekeningen 2'!$E$39*'Hulpberekeningen 2'!$E$46*P4*'Hulpberekeningen 2'!$E$57</f>
        <v>0</v>
      </c>
      <c r="Q5" s="200">
        <f>1/POWER(1+Invoerblad!$E$75,Q3)*'Hulpberekeningen 2'!$E$39*'Hulpberekeningen 2'!$E$46*Q4*'Hulpberekeningen 2'!$E$57</f>
        <v>0</v>
      </c>
      <c r="R5" s="200">
        <f>1/POWER(1+Invoerblad!$E$75,R3)*'Hulpberekeningen 2'!$E$39*'Hulpberekeningen 2'!$E$46*R4*'Hulpberekeningen 2'!$E$57</f>
        <v>0</v>
      </c>
      <c r="S5" s="200">
        <f>1/POWER(1+Invoerblad!$E$75,S3)*'Hulpberekeningen 2'!$E$39*'Hulpberekeningen 2'!$E$46*S4*'Hulpberekeningen 2'!$E$57</f>
        <v>0</v>
      </c>
      <c r="T5" s="200">
        <f>1/POWER(1+Invoerblad!$E$75,T3)*'Hulpberekeningen 2'!$E$39*'Hulpberekeningen 2'!$E$46*T4*'Hulpberekeningen 2'!$E$57</f>
        <v>0</v>
      </c>
      <c r="U5" s="200">
        <f>1/POWER(1+Invoerblad!$E$75,U3)*'Hulpberekeningen 2'!$E$39*'Hulpberekeningen 2'!$E$46*U4*'Hulpberekeningen 2'!$E$57</f>
        <v>0</v>
      </c>
      <c r="W5" s="565"/>
      <c r="Y5" s="8"/>
    </row>
    <row r="6" spans="2:25" ht="15" x14ac:dyDescent="0.25">
      <c r="B6" s="14"/>
      <c r="C6" s="26"/>
      <c r="D6" s="26"/>
      <c r="E6" s="26"/>
      <c r="F6" s="147"/>
      <c r="G6" s="8">
        <f t="shared" ref="G6:U6" si="0">+H6+G5</f>
        <v>0</v>
      </c>
      <c r="H6" s="8">
        <f t="shared" si="0"/>
        <v>0</v>
      </c>
      <c r="I6" s="8">
        <f t="shared" si="0"/>
        <v>0</v>
      </c>
      <c r="J6" s="8">
        <f t="shared" si="0"/>
        <v>0</v>
      </c>
      <c r="K6" s="8">
        <f t="shared" si="0"/>
        <v>0</v>
      </c>
      <c r="L6" s="8">
        <f t="shared" si="0"/>
        <v>0</v>
      </c>
      <c r="M6" s="8">
        <f t="shared" si="0"/>
        <v>0</v>
      </c>
      <c r="N6" s="8">
        <f t="shared" si="0"/>
        <v>0</v>
      </c>
      <c r="O6" s="8">
        <f t="shared" si="0"/>
        <v>0</v>
      </c>
      <c r="P6" s="8">
        <f t="shared" si="0"/>
        <v>0</v>
      </c>
      <c r="Q6" s="8">
        <f t="shared" si="0"/>
        <v>0</v>
      </c>
      <c r="R6" s="8">
        <f t="shared" si="0"/>
        <v>0</v>
      </c>
      <c r="S6" s="8">
        <f t="shared" si="0"/>
        <v>0</v>
      </c>
      <c r="T6" s="8">
        <f t="shared" si="0"/>
        <v>0</v>
      </c>
      <c r="U6" s="8">
        <f t="shared" si="0"/>
        <v>0</v>
      </c>
      <c r="W6" s="367"/>
    </row>
    <row r="7" spans="2:25" ht="15" x14ac:dyDescent="0.25">
      <c r="B7" s="14"/>
      <c r="C7" s="26"/>
      <c r="D7" s="26"/>
      <c r="E7" s="26"/>
      <c r="F7" s="147"/>
      <c r="G7" s="147"/>
      <c r="H7" s="8"/>
      <c r="I7" s="8"/>
      <c r="J7" s="8"/>
      <c r="K7" s="8"/>
      <c r="L7" s="8"/>
      <c r="M7" s="8"/>
      <c r="N7" s="8"/>
      <c r="O7" s="8"/>
      <c r="P7" s="8"/>
      <c r="Q7" s="8"/>
      <c r="R7" s="8"/>
      <c r="S7" s="8"/>
      <c r="T7" s="8"/>
    </row>
    <row r="8" spans="2:25" ht="15" x14ac:dyDescent="0.25">
      <c r="B8" s="14" t="s">
        <v>47</v>
      </c>
      <c r="C8" s="26"/>
      <c r="D8" s="26"/>
      <c r="E8" s="26"/>
      <c r="F8" s="147"/>
      <c r="G8" s="147">
        <v>14</v>
      </c>
      <c r="H8" s="8">
        <v>13</v>
      </c>
      <c r="I8" s="8">
        <v>12</v>
      </c>
      <c r="J8" s="8">
        <v>11</v>
      </c>
      <c r="K8" s="8">
        <v>10</v>
      </c>
      <c r="L8" s="8">
        <v>9</v>
      </c>
      <c r="M8" s="8">
        <v>8</v>
      </c>
      <c r="N8" s="8">
        <v>7</v>
      </c>
      <c r="O8" s="8">
        <v>6</v>
      </c>
      <c r="P8" s="8">
        <v>5</v>
      </c>
      <c r="Q8" s="8">
        <v>4</v>
      </c>
      <c r="R8" s="8">
        <v>3</v>
      </c>
      <c r="S8" s="8">
        <v>2</v>
      </c>
      <c r="T8" s="8">
        <v>1</v>
      </c>
      <c r="U8" s="8"/>
      <c r="V8" s="8"/>
      <c r="W8" s="8"/>
    </row>
    <row r="9" spans="2:25" ht="15" x14ac:dyDescent="0.25">
      <c r="B9" s="14" t="s">
        <v>284</v>
      </c>
      <c r="C9" s="26"/>
      <c r="D9" s="26"/>
      <c r="E9" s="26"/>
      <c r="F9" s="147"/>
      <c r="G9" s="560">
        <f>+T4+U4</f>
        <v>0</v>
      </c>
      <c r="H9" s="8">
        <f>+S4</f>
        <v>0</v>
      </c>
      <c r="I9" s="8">
        <f>+R4</f>
        <v>0</v>
      </c>
      <c r="J9" s="8">
        <f>+Q4</f>
        <v>0</v>
      </c>
      <c r="K9" s="8">
        <f>+P4</f>
        <v>0</v>
      </c>
      <c r="L9" s="8">
        <f>+O4</f>
        <v>0</v>
      </c>
      <c r="M9" s="8">
        <f>+N4</f>
        <v>0</v>
      </c>
      <c r="N9" s="8">
        <f>+M4</f>
        <v>0</v>
      </c>
      <c r="O9" s="8">
        <f>+L4</f>
        <v>0</v>
      </c>
      <c r="P9" s="8">
        <f>+K4</f>
        <v>0</v>
      </c>
      <c r="Q9" s="8">
        <f>+J4</f>
        <v>0</v>
      </c>
      <c r="R9" s="8">
        <f>+I4</f>
        <v>0</v>
      </c>
      <c r="S9" s="8">
        <f>+H4</f>
        <v>0</v>
      </c>
      <c r="T9" s="8">
        <f>+G4</f>
        <v>0</v>
      </c>
    </row>
    <row r="10" spans="2:25" ht="15" x14ac:dyDescent="0.25">
      <c r="B10" s="14" t="s">
        <v>285</v>
      </c>
      <c r="C10" s="26"/>
      <c r="D10" s="26"/>
      <c r="E10" s="26"/>
      <c r="F10" s="147"/>
      <c r="G10" s="560">
        <f>G9</f>
        <v>0</v>
      </c>
      <c r="H10" s="8">
        <f>G10+H9</f>
        <v>0</v>
      </c>
      <c r="I10" s="8">
        <f>+H10+I9</f>
        <v>0</v>
      </c>
      <c r="J10" s="8">
        <f t="shared" ref="J10:T10" si="1">+I10+J9</f>
        <v>0</v>
      </c>
      <c r="K10" s="8">
        <f t="shared" si="1"/>
        <v>0</v>
      </c>
      <c r="L10" s="8">
        <f t="shared" si="1"/>
        <v>0</v>
      </c>
      <c r="M10" s="8">
        <f t="shared" si="1"/>
        <v>0</v>
      </c>
      <c r="N10" s="8">
        <f t="shared" si="1"/>
        <v>0</v>
      </c>
      <c r="O10" s="8">
        <f t="shared" si="1"/>
        <v>0</v>
      </c>
      <c r="P10" s="8">
        <f t="shared" si="1"/>
        <v>0</v>
      </c>
      <c r="Q10" s="8">
        <f t="shared" si="1"/>
        <v>0</v>
      </c>
      <c r="R10" s="8">
        <f t="shared" si="1"/>
        <v>0</v>
      </c>
      <c r="S10" s="8">
        <f t="shared" si="1"/>
        <v>0</v>
      </c>
      <c r="T10" s="8">
        <f t="shared" si="1"/>
        <v>0</v>
      </c>
      <c r="U10" s="8"/>
      <c r="V10" s="8"/>
      <c r="W10" s="8"/>
    </row>
    <row r="11" spans="2:25" ht="15" x14ac:dyDescent="0.25">
      <c r="B11" s="14" t="s">
        <v>286</v>
      </c>
      <c r="C11" s="26"/>
      <c r="D11" s="26"/>
      <c r="E11" s="26"/>
      <c r="F11" s="147"/>
      <c r="G11" s="560">
        <f>T5+U5</f>
        <v>0</v>
      </c>
      <c r="H11" s="8">
        <f>+S5</f>
        <v>0</v>
      </c>
      <c r="I11" s="8">
        <f>+R5</f>
        <v>0</v>
      </c>
      <c r="J11" s="8">
        <f>+Q5</f>
        <v>0</v>
      </c>
      <c r="K11" s="8">
        <f>+P5</f>
        <v>0</v>
      </c>
      <c r="L11" s="8">
        <f>+O5</f>
        <v>0</v>
      </c>
      <c r="M11" s="8">
        <f>+N5</f>
        <v>0</v>
      </c>
      <c r="N11" s="8">
        <f>+M5</f>
        <v>0</v>
      </c>
      <c r="O11" s="8">
        <f>+L5</f>
        <v>0</v>
      </c>
      <c r="P11" s="8">
        <f>+K5</f>
        <v>0</v>
      </c>
      <c r="Q11" s="8">
        <f>+J5</f>
        <v>0</v>
      </c>
      <c r="R11" s="8">
        <f>+I5</f>
        <v>0</v>
      </c>
      <c r="S11" s="8">
        <f>+H5</f>
        <v>0</v>
      </c>
      <c r="T11" s="8">
        <f>+G5</f>
        <v>0</v>
      </c>
      <c r="U11" s="8"/>
      <c r="V11" s="8"/>
      <c r="W11" s="8"/>
      <c r="Y11" s="8"/>
    </row>
    <row r="12" spans="2:25" ht="15" x14ac:dyDescent="0.25">
      <c r="B12" s="14" t="s">
        <v>287</v>
      </c>
      <c r="C12" s="26"/>
      <c r="D12" s="26"/>
      <c r="E12" s="26"/>
      <c r="F12" s="147"/>
      <c r="G12" s="560">
        <f>+G11</f>
        <v>0</v>
      </c>
      <c r="H12" s="86">
        <f>IF(G11&lt;'Overzicht MSK toets'!$E$53,SUM($G11:H11),0)</f>
        <v>0</v>
      </c>
      <c r="I12" s="86">
        <f>IF(SUM(G11:H11)&lt;'Overzicht MSK toets'!$E$53,SUM($G11:I11),0)</f>
        <v>0</v>
      </c>
      <c r="J12" s="86">
        <f>IF(SUM($G11:I11)&lt;'Overzicht MSK toets'!$E$53,SUM($G11:J11),0)</f>
        <v>0</v>
      </c>
      <c r="K12" s="86">
        <f>IF(SUM($G11:J11)&lt;'Overzicht MSK toets'!$E$53,SUM($G11:K11),0)</f>
        <v>0</v>
      </c>
      <c r="L12" s="86">
        <f>IF(SUM($G11:K11)&lt;'Overzicht MSK toets'!$E$53,SUM($G11:L11),0)</f>
        <v>0</v>
      </c>
      <c r="M12" s="86">
        <f>IF(SUM($G11:L11)&lt;'Overzicht MSK toets'!$E$53,SUM($G11:M11),0)</f>
        <v>0</v>
      </c>
      <c r="N12" s="86">
        <f>IF(SUM($G11:M11)&lt;'Overzicht MSK toets'!$E$53,SUM($G11:N11),0)</f>
        <v>0</v>
      </c>
      <c r="O12" s="86">
        <f>IF(SUM($G11:N11)&lt;'Overzicht MSK toets'!$E$53,SUM($G11:O11),0)</f>
        <v>0</v>
      </c>
      <c r="P12" s="86">
        <f>IF(SUM($G11:O11)&lt;'Overzicht MSK toets'!$E$53,SUM($G11:P11),0)</f>
        <v>0</v>
      </c>
      <c r="Q12" s="86">
        <f>IF(SUM($G11:P11)&lt;'Overzicht MSK toets'!$E$53,SUM($G11:Q11),0)</f>
        <v>0</v>
      </c>
      <c r="R12" s="86">
        <f>IF(SUM($G11:Q11)&lt;'Overzicht MSK toets'!$E$53,SUM($G11:R11),0)</f>
        <v>0</v>
      </c>
      <c r="S12" s="86">
        <f>IF(SUM($G11:R11)&lt;'Overzicht MSK toets'!$E$53,SUM($G11:S11),0)</f>
        <v>0</v>
      </c>
      <c r="T12" s="86">
        <f>IF(SUM($G11:S11)&lt;'Overzicht MSK toets'!$E$53,SUM($G11:T11),0)</f>
        <v>0</v>
      </c>
      <c r="U12" s="86"/>
      <c r="V12" s="86"/>
      <c r="W12" s="86"/>
      <c r="X12" s="125"/>
    </row>
    <row r="13" spans="2:25" ht="15" x14ac:dyDescent="0.25">
      <c r="B13" s="14"/>
      <c r="C13" s="26"/>
      <c r="D13" s="26"/>
      <c r="E13" s="26"/>
      <c r="F13" s="147"/>
      <c r="G13" s="147"/>
      <c r="K13" s="87"/>
    </row>
    <row r="14" spans="2:25" ht="15" x14ac:dyDescent="0.25">
      <c r="B14" s="14" t="s">
        <v>62</v>
      </c>
      <c r="C14" s="26"/>
      <c r="D14" s="26"/>
      <c r="E14" s="26"/>
      <c r="F14" s="147"/>
      <c r="G14" s="147"/>
      <c r="H14" s="88" t="s">
        <v>59</v>
      </c>
      <c r="I14" s="126">
        <f>COUNTIF(G11:T11,0)+6+L14</f>
        <v>19</v>
      </c>
      <c r="J14" s="89"/>
      <c r="K14" s="90" t="s">
        <v>60</v>
      </c>
      <c r="L14" s="126">
        <f>14-COUNTIF(G12:T12,0)-1</f>
        <v>-1</v>
      </c>
      <c r="M14" s="90" t="s">
        <v>61</v>
      </c>
      <c r="N14" s="662">
        <f ca="1">IF(INDIRECT("r11k"&amp;SUM($I$14+1),FALSE)=0,0,$L$14+('Overzicht MSK toets'!E53-INDIRECT("r12k"&amp;SUM($I$14),FALSE))/(INDIRECT("r11k"&amp;SUM($I$14+1),FALSE)))</f>
        <v>0</v>
      </c>
      <c r="O14" s="663"/>
      <c r="P14" s="128">
        <f ca="1">+N14-L14</f>
        <v>1</v>
      </c>
      <c r="Q14" s="91"/>
      <c r="R14" s="561"/>
      <c r="S14" s="562"/>
    </row>
    <row r="15" spans="2:25" ht="15" x14ac:dyDescent="0.25">
      <c r="B15" s="14" t="s">
        <v>288</v>
      </c>
      <c r="C15" s="26"/>
      <c r="D15" s="26"/>
      <c r="E15" s="26"/>
      <c r="F15" s="147"/>
      <c r="G15" s="147"/>
      <c r="H15" s="88"/>
      <c r="I15" s="126"/>
      <c r="J15" s="8"/>
      <c r="K15" s="8"/>
      <c r="L15" s="126"/>
      <c r="M15" s="8"/>
      <c r="N15" s="127">
        <f ca="1">INDIRECT("r10k"&amp;I14,FALSE)+INDIRECT("r9k"&amp;I14+1,FALSE)*P14</f>
        <v>0</v>
      </c>
      <c r="O15" s="8"/>
      <c r="P15" s="8"/>
      <c r="Q15" s="8"/>
    </row>
    <row r="16" spans="2:25" ht="15" x14ac:dyDescent="0.25">
      <c r="B16" s="14"/>
      <c r="C16" s="26"/>
      <c r="D16" s="26"/>
      <c r="E16" s="26"/>
      <c r="F16" s="147"/>
      <c r="G16" s="147"/>
      <c r="H16" s="88" t="s">
        <v>59</v>
      </c>
      <c r="I16" s="126">
        <f>COUNTIF(H11:W11,0)+7</f>
        <v>20</v>
      </c>
      <c r="J16" s="8"/>
      <c r="K16" s="8"/>
      <c r="L16" s="126"/>
      <c r="M16" s="8"/>
      <c r="N16" s="159">
        <f ca="1">(INDIRECT("r9k"&amp;SUM($I$16+1),FALSE))</f>
        <v>0</v>
      </c>
      <c r="O16" s="160"/>
      <c r="P16" s="8"/>
      <c r="Q16" s="8"/>
    </row>
    <row r="17" spans="2:24" ht="15" x14ac:dyDescent="0.25">
      <c r="B17" s="14"/>
      <c r="C17" s="26"/>
      <c r="D17" s="26"/>
      <c r="E17" s="26"/>
      <c r="F17" s="147"/>
      <c r="G17" s="131">
        <f t="shared" ref="G17:T17" si="2">+G9</f>
        <v>0</v>
      </c>
      <c r="H17" s="131">
        <f t="shared" si="2"/>
        <v>0</v>
      </c>
      <c r="I17" s="131">
        <f t="shared" si="2"/>
        <v>0</v>
      </c>
      <c r="J17" s="131">
        <f t="shared" si="2"/>
        <v>0</v>
      </c>
      <c r="K17" s="131">
        <f t="shared" si="2"/>
        <v>0</v>
      </c>
      <c r="L17" s="131">
        <f t="shared" si="2"/>
        <v>0</v>
      </c>
      <c r="M17" s="131">
        <f t="shared" si="2"/>
        <v>0</v>
      </c>
      <c r="N17" s="131">
        <f t="shared" si="2"/>
        <v>0</v>
      </c>
      <c r="O17" s="131">
        <f t="shared" si="2"/>
        <v>0</v>
      </c>
      <c r="P17" s="131">
        <f t="shared" si="2"/>
        <v>0</v>
      </c>
      <c r="Q17" s="131">
        <f t="shared" si="2"/>
        <v>0</v>
      </c>
      <c r="R17" s="131">
        <f t="shared" si="2"/>
        <v>0</v>
      </c>
      <c r="S17" s="131">
        <f t="shared" si="2"/>
        <v>0</v>
      </c>
      <c r="T17" s="131">
        <f t="shared" si="2"/>
        <v>0</v>
      </c>
    </row>
    <row r="18" spans="2:24" ht="15" x14ac:dyDescent="0.25">
      <c r="B18" s="14"/>
      <c r="C18" s="26"/>
      <c r="D18" s="26"/>
      <c r="E18" s="26"/>
      <c r="F18" s="147"/>
      <c r="G18" s="131">
        <f t="shared" ref="G18:V18" si="3">+G10</f>
        <v>0</v>
      </c>
      <c r="H18" s="131">
        <f t="shared" si="3"/>
        <v>0</v>
      </c>
      <c r="I18" s="131">
        <f t="shared" si="3"/>
        <v>0</v>
      </c>
      <c r="J18" s="131">
        <f t="shared" si="3"/>
        <v>0</v>
      </c>
      <c r="K18" s="131">
        <f t="shared" si="3"/>
        <v>0</v>
      </c>
      <c r="L18" s="131">
        <f t="shared" si="3"/>
        <v>0</v>
      </c>
      <c r="M18" s="131">
        <f t="shared" si="3"/>
        <v>0</v>
      </c>
      <c r="N18" s="131">
        <f t="shared" si="3"/>
        <v>0</v>
      </c>
      <c r="O18" s="131">
        <f t="shared" si="3"/>
        <v>0</v>
      </c>
      <c r="P18" s="131">
        <f t="shared" si="3"/>
        <v>0</v>
      </c>
      <c r="Q18" s="131">
        <f t="shared" si="3"/>
        <v>0</v>
      </c>
      <c r="R18" s="131">
        <f t="shared" si="3"/>
        <v>0</v>
      </c>
      <c r="S18" s="131">
        <f t="shared" si="3"/>
        <v>0</v>
      </c>
      <c r="T18" s="131">
        <f t="shared" si="3"/>
        <v>0</v>
      </c>
      <c r="U18" s="131">
        <f t="shared" si="3"/>
        <v>0</v>
      </c>
      <c r="V18" s="131">
        <f t="shared" si="3"/>
        <v>0</v>
      </c>
      <c r="W18" s="131">
        <f>+W10</f>
        <v>0</v>
      </c>
    </row>
    <row r="19" spans="2:24" ht="15" x14ac:dyDescent="0.25">
      <c r="B19" s="14"/>
      <c r="C19" s="26"/>
      <c r="D19" s="26"/>
      <c r="E19" s="26"/>
      <c r="F19" s="147"/>
      <c r="G19" s="131">
        <f t="shared" ref="G19:V19" si="4">+G11</f>
        <v>0</v>
      </c>
      <c r="H19" s="131">
        <f t="shared" si="4"/>
        <v>0</v>
      </c>
      <c r="I19" s="131">
        <f t="shared" si="4"/>
        <v>0</v>
      </c>
      <c r="J19" s="131">
        <f t="shared" si="4"/>
        <v>0</v>
      </c>
      <c r="K19" s="131">
        <f t="shared" si="4"/>
        <v>0</v>
      </c>
      <c r="L19" s="131">
        <f t="shared" si="4"/>
        <v>0</v>
      </c>
      <c r="M19" s="131">
        <f t="shared" si="4"/>
        <v>0</v>
      </c>
      <c r="N19" s="131">
        <f t="shared" si="4"/>
        <v>0</v>
      </c>
      <c r="O19" s="131">
        <f t="shared" si="4"/>
        <v>0</v>
      </c>
      <c r="P19" s="131">
        <f t="shared" si="4"/>
        <v>0</v>
      </c>
      <c r="Q19" s="131">
        <f t="shared" si="4"/>
        <v>0</v>
      </c>
      <c r="R19" s="131">
        <f t="shared" si="4"/>
        <v>0</v>
      </c>
      <c r="S19" s="131">
        <f t="shared" si="4"/>
        <v>0</v>
      </c>
      <c r="T19" s="131">
        <f t="shared" si="4"/>
        <v>0</v>
      </c>
      <c r="U19" s="131">
        <f t="shared" si="4"/>
        <v>0</v>
      </c>
      <c r="V19" s="131">
        <f t="shared" si="4"/>
        <v>0</v>
      </c>
      <c r="W19" s="131">
        <f>+W11</f>
        <v>0</v>
      </c>
    </row>
    <row r="20" spans="2:24" ht="15" x14ac:dyDescent="0.25">
      <c r="B20" s="14"/>
      <c r="C20" s="26"/>
      <c r="D20" s="26"/>
      <c r="E20" s="26"/>
      <c r="F20" s="147"/>
      <c r="G20" s="86">
        <f>+G19</f>
        <v>0</v>
      </c>
      <c r="H20" s="86">
        <f>IF(G19&lt;'Overzicht MSK toets'!$D$23,SUM($G19:H19),0)</f>
        <v>0</v>
      </c>
      <c r="I20" s="86">
        <f>IF(SUM($G19:H19)&lt;'Overzicht MSK toets'!$D$23,SUM($G19:I19),0)</f>
        <v>0</v>
      </c>
      <c r="J20" s="86">
        <f>IF(SUM($G19:I19)&lt;'Overzicht MSK toets'!$D$23,SUM($G19:J19),0)</f>
        <v>0</v>
      </c>
      <c r="K20" s="86">
        <f>IF(SUM($G19:J19)&lt;'Overzicht MSK toets'!$D$23,SUM($G19:K19),0)</f>
        <v>0</v>
      </c>
      <c r="L20" s="86">
        <f>IF(SUM($G19:K19)&lt;'Overzicht MSK toets'!$D$23,SUM($G19:L19),0)</f>
        <v>0</v>
      </c>
      <c r="M20" s="86">
        <f>IF(SUM($G19:L19)&lt;'Overzicht MSK toets'!$D$23,SUM($G19:M19),0)</f>
        <v>0</v>
      </c>
      <c r="N20" s="86">
        <f>IF(SUM($G19:M19)&lt;'Overzicht MSK toets'!$D$23,SUM($G19:N19),0)</f>
        <v>0</v>
      </c>
      <c r="O20" s="86">
        <f>IF(SUM($G19:N19)&lt;'Overzicht MSK toets'!$D$23,SUM($G19:O19),0)</f>
        <v>0</v>
      </c>
      <c r="P20" s="86">
        <f>IF(SUM($G19:O19)&lt;'Overzicht MSK toets'!$D$23,SUM($G19:P19),0)</f>
        <v>0</v>
      </c>
      <c r="Q20" s="86">
        <f>IF(SUM($G19:P19)&lt;'Overzicht MSK toets'!$D$23,SUM($G19:Q19),0)</f>
        <v>0</v>
      </c>
      <c r="R20" s="86">
        <f>IF(SUM($G19:Q19)&lt;'Overzicht MSK toets'!$D$23,SUM($G19:R19),0)</f>
        <v>0</v>
      </c>
      <c r="S20" s="86">
        <f>IF(SUM($G19:R19)&lt;'Overzicht MSK toets'!$D$23,SUM($G19:S19),0)</f>
        <v>0</v>
      </c>
      <c r="T20" s="86">
        <f>IF(SUM($G19:S19)&lt;'Overzicht MSK toets'!$D$23,SUM($G19:T19),0)</f>
        <v>0</v>
      </c>
      <c r="U20" s="86">
        <f>IF(SUM($G19:T19)&lt;'Overzicht MSK toets'!$D$23,SUM($G19:U19),0)</f>
        <v>0</v>
      </c>
      <c r="V20" s="86">
        <f>IF(SUM($G19:U19)&lt;'Overzicht MSK toets'!$D$23,SUM($G19:V19),0)</f>
        <v>0</v>
      </c>
      <c r="W20" s="86">
        <f>IF(SUM($G19:V19)&lt;'Overzicht MSK toets'!$D$23,SUM($G19:W19),0)</f>
        <v>0</v>
      </c>
      <c r="X20" s="125">
        <f>IF(AND(W20&lt;'Overzicht MSK toets'!$D$23,W20&lt;&gt;0,OR(W19&lt;&gt;"",W19&lt;&gt;"")),"jaren &gt; 10",0)</f>
        <v>0</v>
      </c>
    </row>
    <row r="21" spans="2:24" ht="15" x14ac:dyDescent="0.25">
      <c r="B21" s="14"/>
      <c r="C21" s="26"/>
      <c r="D21" s="26"/>
      <c r="E21" s="26"/>
      <c r="F21" s="147"/>
      <c r="G21" s="147"/>
      <c r="K21" s="87"/>
    </row>
    <row r="22" spans="2:24" ht="15" x14ac:dyDescent="0.25">
      <c r="B22" s="14"/>
      <c r="C22" s="26"/>
      <c r="D22" s="26"/>
      <c r="E22" s="26"/>
      <c r="F22" s="147"/>
      <c r="G22" s="147"/>
      <c r="H22" s="88" t="s">
        <v>59</v>
      </c>
      <c r="I22" s="126">
        <f>COUNTIF(G19:T19,0)+6+L22</f>
        <v>19</v>
      </c>
      <c r="J22" s="89"/>
      <c r="K22" s="90" t="s">
        <v>60</v>
      </c>
      <c r="L22" s="126">
        <f>14-COUNTIF(G20:T20,0)-1</f>
        <v>-1</v>
      </c>
      <c r="M22" s="90" t="s">
        <v>61</v>
      </c>
      <c r="N22" s="664">
        <f ca="1">IF(INDIRECT("r19k"&amp;SUM($I$22+1),FALSE)=0,0,$L$22+('Overzicht MSK toets'!$D$23-INDIRECT("r20k"&amp;SUM($I$22),FALSE))/(INDIRECT("r19k"&amp;SUM($I$22+1),FALSE)))</f>
        <v>0</v>
      </c>
      <c r="O22" s="665"/>
      <c r="P22" s="128">
        <f ca="1">+N22-L22</f>
        <v>1</v>
      </c>
      <c r="Q22" s="91"/>
      <c r="R22" s="91"/>
    </row>
    <row r="23" spans="2:24" ht="15" x14ac:dyDescent="0.25">
      <c r="B23" s="14"/>
      <c r="C23" s="26"/>
      <c r="D23" s="26"/>
      <c r="E23" s="26"/>
      <c r="F23" s="147"/>
      <c r="G23" s="147"/>
      <c r="H23" s="88"/>
      <c r="I23" s="126"/>
      <c r="J23" s="8"/>
      <c r="K23" s="8"/>
      <c r="L23" s="126"/>
      <c r="M23" s="8"/>
      <c r="N23" s="127">
        <f ca="1">INDIRECT("r18k"&amp;I22,FALSE)+INDIRECT("r17k"&amp;I22+1,FALSE)*P22</f>
        <v>0</v>
      </c>
      <c r="O23" s="8"/>
      <c r="P23" s="8"/>
      <c r="Q23" s="8"/>
    </row>
    <row r="24" spans="2:24" ht="15" x14ac:dyDescent="0.25">
      <c r="B24" s="14"/>
      <c r="C24" s="26"/>
      <c r="D24" s="26"/>
      <c r="E24" s="26"/>
      <c r="F24" s="147"/>
      <c r="G24" s="147"/>
      <c r="H24" s="88"/>
      <c r="I24" s="126"/>
      <c r="J24" s="8"/>
      <c r="K24" s="8"/>
      <c r="L24" s="126"/>
      <c r="M24" s="8"/>
      <c r="N24" s="127"/>
      <c r="O24" s="8"/>
      <c r="P24" s="8"/>
      <c r="Q24" s="8"/>
    </row>
    <row r="25" spans="2:24" ht="15" x14ac:dyDescent="0.25">
      <c r="B25" s="14"/>
      <c r="C25" s="26"/>
      <c r="D25" s="26"/>
      <c r="E25" s="26"/>
      <c r="F25" s="147"/>
      <c r="G25" s="147"/>
      <c r="H25" s="126" t="s">
        <v>450</v>
      </c>
      <c r="I25" s="126" t="s">
        <v>451</v>
      </c>
      <c r="J25" s="126" t="s">
        <v>452</v>
      </c>
      <c r="K25" s="126" t="s">
        <v>453</v>
      </c>
      <c r="L25" s="126" t="s">
        <v>454</v>
      </c>
      <c r="M25" s="126" t="s">
        <v>455</v>
      </c>
      <c r="N25" s="126" t="s">
        <v>456</v>
      </c>
      <c r="O25" s="126" t="s">
        <v>457</v>
      </c>
      <c r="P25" s="126" t="s">
        <v>458</v>
      </c>
      <c r="Q25" s="126" t="s">
        <v>459</v>
      </c>
      <c r="R25" s="126" t="s">
        <v>460</v>
      </c>
      <c r="S25" s="126" t="s">
        <v>461</v>
      </c>
      <c r="T25" s="126" t="s">
        <v>462</v>
      </c>
      <c r="U25" s="126" t="s">
        <v>463</v>
      </c>
      <c r="V25" s="126" t="s">
        <v>464</v>
      </c>
      <c r="W25" s="126" t="s">
        <v>465</v>
      </c>
    </row>
    <row r="26" spans="2:24" ht="15" x14ac:dyDescent="0.25">
      <c r="B26" s="582" t="s">
        <v>495</v>
      </c>
      <c r="C26" s="26"/>
      <c r="D26" s="26"/>
      <c r="E26" s="26"/>
      <c r="F26" s="147"/>
      <c r="G26" s="147"/>
      <c r="H26" s="8">
        <f>Invoerblad!K20+Invoerblad!K22</f>
        <v>0</v>
      </c>
      <c r="I26" s="8">
        <f>Invoerblad!L20+Invoerblad!L22</f>
        <v>0</v>
      </c>
      <c r="J26" s="8">
        <f>Invoerblad!M20+Invoerblad!M22</f>
        <v>0</v>
      </c>
      <c r="K26" s="8">
        <f>Invoerblad!N20+Invoerblad!N22</f>
        <v>0</v>
      </c>
      <c r="L26" s="8">
        <f>Invoerblad!O20+Invoerblad!O22</f>
        <v>0</v>
      </c>
      <c r="M26" s="8">
        <f>Invoerblad!P20+Invoerblad!P22</f>
        <v>0</v>
      </c>
      <c r="N26" s="8">
        <f>Invoerblad!Q20+Invoerblad!Q22</f>
        <v>0</v>
      </c>
      <c r="O26" s="8">
        <f>Invoerblad!R20+Invoerblad!R22</f>
        <v>0</v>
      </c>
      <c r="P26" s="8">
        <f>Invoerblad!S20+Invoerblad!S22</f>
        <v>0</v>
      </c>
      <c r="Q26" s="8">
        <f>Invoerblad!T20+Invoerblad!T22</f>
        <v>0</v>
      </c>
      <c r="R26" s="8">
        <f>Invoerblad!U20+Invoerblad!U22</f>
        <v>0</v>
      </c>
      <c r="S26" s="8">
        <f>Invoerblad!V20+Invoerblad!V22</f>
        <v>0</v>
      </c>
      <c r="T26" s="8">
        <f>Invoerblad!W20+Invoerblad!W22</f>
        <v>0</v>
      </c>
      <c r="U26" s="8">
        <f>Invoerblad!X20+Invoerblad!X22</f>
        <v>0</v>
      </c>
      <c r="V26" s="8">
        <f>Invoerblad!Y20+Invoerblad!Y22</f>
        <v>0</v>
      </c>
      <c r="W26" s="8">
        <f>Invoerblad!Z20+Invoerblad!Z22</f>
        <v>0</v>
      </c>
    </row>
    <row r="27" spans="2:24" ht="15" x14ac:dyDescent="0.25">
      <c r="B27" s="582" t="s">
        <v>496</v>
      </c>
      <c r="C27" s="26"/>
      <c r="D27" s="26"/>
      <c r="E27" s="26"/>
      <c r="F27" s="147"/>
      <c r="G27" s="147"/>
      <c r="H27" s="8">
        <f>Invoerblad!K21</f>
        <v>0</v>
      </c>
      <c r="I27" s="8">
        <f>Invoerblad!L21</f>
        <v>0</v>
      </c>
      <c r="J27" s="8">
        <f>Invoerblad!M21</f>
        <v>0</v>
      </c>
      <c r="K27" s="8">
        <f>Invoerblad!N21</f>
        <v>0</v>
      </c>
      <c r="L27" s="8">
        <f>Invoerblad!O21</f>
        <v>0</v>
      </c>
      <c r="M27" s="8">
        <f>Invoerblad!P21</f>
        <v>0</v>
      </c>
      <c r="N27" s="8">
        <f>Invoerblad!Q21</f>
        <v>0</v>
      </c>
      <c r="O27" s="8">
        <f>Invoerblad!R21</f>
        <v>0</v>
      </c>
      <c r="P27" s="8">
        <f>Invoerblad!S21</f>
        <v>0</v>
      </c>
      <c r="Q27" s="8">
        <f>Invoerblad!T21</f>
        <v>0</v>
      </c>
      <c r="R27" s="8">
        <f>Invoerblad!U21</f>
        <v>0</v>
      </c>
      <c r="S27" s="8">
        <f>Invoerblad!V21</f>
        <v>0</v>
      </c>
      <c r="T27" s="8">
        <f>Invoerblad!W21</f>
        <v>0</v>
      </c>
      <c r="U27" s="8">
        <f>Invoerblad!X21</f>
        <v>0</v>
      </c>
      <c r="V27" s="8">
        <f>Invoerblad!Y21</f>
        <v>0</v>
      </c>
      <c r="W27" s="8">
        <f>Invoerblad!Z21</f>
        <v>0</v>
      </c>
    </row>
    <row r="28" spans="2:24" ht="15" x14ac:dyDescent="0.25">
      <c r="B28" s="582" t="s">
        <v>115</v>
      </c>
      <c r="C28" s="26"/>
      <c r="D28" s="26"/>
      <c r="E28" s="26"/>
      <c r="F28" s="147"/>
      <c r="G28" s="147"/>
      <c r="H28" s="8">
        <f>+Invoerblad!K90</f>
        <v>0</v>
      </c>
      <c r="I28" s="8">
        <f>+Invoerblad!L90</f>
        <v>0</v>
      </c>
      <c r="J28" s="8">
        <f>+Invoerblad!M90</f>
        <v>0</v>
      </c>
      <c r="K28" s="8">
        <f>+Invoerblad!N90</f>
        <v>0</v>
      </c>
      <c r="L28" s="8">
        <f>+Invoerblad!O90</f>
        <v>0</v>
      </c>
      <c r="M28" s="8">
        <f>+Invoerblad!P90</f>
        <v>0</v>
      </c>
      <c r="N28" s="8">
        <f>+Invoerblad!Q90</f>
        <v>0</v>
      </c>
      <c r="O28" s="8">
        <f>+Invoerblad!R90</f>
        <v>0</v>
      </c>
      <c r="P28" s="8">
        <f>+Invoerblad!S90</f>
        <v>0</v>
      </c>
      <c r="Q28" s="8">
        <f>+Invoerblad!T90</f>
        <v>0</v>
      </c>
      <c r="R28" s="8">
        <f>+Invoerblad!U90</f>
        <v>0</v>
      </c>
      <c r="S28" s="8">
        <f>+Invoerblad!V90</f>
        <v>0</v>
      </c>
      <c r="T28" s="8">
        <f>+Invoerblad!W90</f>
        <v>0</v>
      </c>
      <c r="U28" s="8">
        <f>+Invoerblad!X90</f>
        <v>0</v>
      </c>
      <c r="V28" s="8">
        <f>+Invoerblad!Y90</f>
        <v>0</v>
      </c>
      <c r="W28" s="8">
        <f>+Invoerblad!Z90</f>
        <v>0</v>
      </c>
    </row>
    <row r="29" spans="2:24" ht="15" x14ac:dyDescent="0.25">
      <c r="C29" s="26"/>
      <c r="D29" s="26"/>
      <c r="E29" s="26"/>
      <c r="H29" t="s">
        <v>466</v>
      </c>
      <c r="N29">
        <f>COUNTIF(G9:T9,"&gt;0")</f>
        <v>0</v>
      </c>
    </row>
    <row r="30" spans="2:24" x14ac:dyDescent="0.2">
      <c r="H30" t="s">
        <v>202</v>
      </c>
      <c r="N30" s="159">
        <f ca="1">(INDIRECT("r27k"&amp;SUM($N$29+7),FALSE))</f>
        <v>0</v>
      </c>
    </row>
    <row r="32" spans="2:24" x14ac:dyDescent="0.2">
      <c r="B32" s="581" t="s">
        <v>47</v>
      </c>
      <c r="G32" s="2">
        <v>14</v>
      </c>
      <c r="H32" s="472">
        <v>13</v>
      </c>
      <c r="I32" s="472">
        <v>12</v>
      </c>
      <c r="J32" s="472">
        <v>11</v>
      </c>
      <c r="K32" s="472">
        <v>10</v>
      </c>
      <c r="L32" s="472">
        <v>9</v>
      </c>
      <c r="M32" s="472">
        <v>8</v>
      </c>
      <c r="N32" s="472">
        <v>7</v>
      </c>
      <c r="O32" s="472">
        <v>6</v>
      </c>
      <c r="P32" s="472">
        <v>5</v>
      </c>
      <c r="Q32" s="472">
        <v>4</v>
      </c>
      <c r="R32" s="472">
        <v>3</v>
      </c>
      <c r="S32" s="472">
        <v>2</v>
      </c>
      <c r="T32" s="472">
        <v>1</v>
      </c>
      <c r="U32" s="472"/>
      <c r="V32" s="472"/>
      <c r="W32" s="472"/>
    </row>
    <row r="33" spans="2:23" x14ac:dyDescent="0.2">
      <c r="B33" s="581" t="s">
        <v>497</v>
      </c>
      <c r="G33" s="8">
        <f>U26</f>
        <v>0</v>
      </c>
      <c r="H33" s="8">
        <f>+T26</f>
        <v>0</v>
      </c>
      <c r="I33" s="8">
        <f>+S26</f>
        <v>0</v>
      </c>
      <c r="J33" s="8">
        <f>+R26</f>
        <v>0</v>
      </c>
      <c r="K33" s="8">
        <f>+Q26</f>
        <v>0</v>
      </c>
      <c r="L33" s="8">
        <f>+P26</f>
        <v>0</v>
      </c>
      <c r="M33" s="8">
        <f>+O26</f>
        <v>0</v>
      </c>
      <c r="N33" s="8">
        <f>+N26</f>
        <v>0</v>
      </c>
      <c r="O33" s="8">
        <f>+M26</f>
        <v>0</v>
      </c>
      <c r="P33" s="8">
        <f>+L26</f>
        <v>0</v>
      </c>
      <c r="Q33" s="8">
        <f>+K26</f>
        <v>0</v>
      </c>
      <c r="R33" s="8">
        <f>+J26</f>
        <v>0</v>
      </c>
      <c r="S33" s="8">
        <f>+I26</f>
        <v>0</v>
      </c>
      <c r="T33" s="8">
        <f>+H26</f>
        <v>0</v>
      </c>
    </row>
    <row r="34" spans="2:23" x14ac:dyDescent="0.2">
      <c r="B34" s="581" t="s">
        <v>498</v>
      </c>
      <c r="G34" s="8">
        <f>U27</f>
        <v>0</v>
      </c>
      <c r="H34" s="8">
        <f>+T27</f>
        <v>0</v>
      </c>
      <c r="I34" s="8">
        <f>+S27</f>
        <v>0</v>
      </c>
      <c r="J34" s="8">
        <f>+R27</f>
        <v>0</v>
      </c>
      <c r="K34" s="8">
        <f>+Q27</f>
        <v>0</v>
      </c>
      <c r="L34" s="8">
        <f>+P27</f>
        <v>0</v>
      </c>
      <c r="M34" s="8">
        <f>+O27</f>
        <v>0</v>
      </c>
      <c r="N34" s="8">
        <f>+N27</f>
        <v>0</v>
      </c>
      <c r="O34" s="8">
        <f>+M27</f>
        <v>0</v>
      </c>
      <c r="P34" s="8">
        <f>+L27</f>
        <v>0</v>
      </c>
      <c r="Q34" s="8">
        <f>+K27</f>
        <v>0</v>
      </c>
      <c r="R34" s="8">
        <f>+J27</f>
        <v>0</v>
      </c>
      <c r="S34" s="8">
        <f>+I27</f>
        <v>0</v>
      </c>
      <c r="T34" s="8">
        <f>+H27</f>
        <v>0</v>
      </c>
    </row>
    <row r="35" spans="2:23" x14ac:dyDescent="0.2">
      <c r="B35" s="20" t="s">
        <v>410</v>
      </c>
      <c r="G35" s="8">
        <f>U28</f>
        <v>0</v>
      </c>
      <c r="H35" s="8">
        <f>+T28</f>
        <v>0</v>
      </c>
      <c r="I35" s="8">
        <f>+S28</f>
        <v>0</v>
      </c>
      <c r="J35" s="8">
        <f>+R28</f>
        <v>0</v>
      </c>
      <c r="K35" s="8">
        <f>+Q28</f>
        <v>0</v>
      </c>
      <c r="L35" s="8">
        <f>+P28</f>
        <v>0</v>
      </c>
      <c r="M35" s="8">
        <f>+O28</f>
        <v>0</v>
      </c>
      <c r="N35" s="8">
        <f>+N28</f>
        <v>0</v>
      </c>
      <c r="O35" s="8">
        <f>+M28</f>
        <v>0</v>
      </c>
      <c r="P35" s="8">
        <f>+L28</f>
        <v>0</v>
      </c>
      <c r="Q35" s="8">
        <f>+K28</f>
        <v>0</v>
      </c>
      <c r="R35" s="8">
        <f>+J28</f>
        <v>0</v>
      </c>
      <c r="S35" s="8">
        <f>+I28</f>
        <v>0</v>
      </c>
      <c r="T35" s="8">
        <f>+H28</f>
        <v>0</v>
      </c>
      <c r="U35" s="8"/>
    </row>
    <row r="36" spans="2:23" x14ac:dyDescent="0.2">
      <c r="B36" s="20" t="s">
        <v>411</v>
      </c>
      <c r="G36" s="8">
        <f>G9</f>
        <v>0</v>
      </c>
      <c r="H36" s="8">
        <f ca="1">IF(SUM($G9:G9)&lt;$N$15,$N$15-SUM($G9:G9),0)</f>
        <v>0</v>
      </c>
      <c r="I36" s="86">
        <f ca="1">IF(SUM($G9:H9)&lt;$N$15,$N$15-SUM($G9:H9),0)</f>
        <v>0</v>
      </c>
      <c r="J36" s="86">
        <f ca="1">IF(SUM($G9:I9)&lt;$N$15,$N$15-SUM($G9:I9),0)</f>
        <v>0</v>
      </c>
      <c r="K36" s="86">
        <f ca="1">IF(SUM($G9:J9)&lt;$N$15,$N$15-SUM($G9:J9),0)</f>
        <v>0</v>
      </c>
      <c r="L36" s="86">
        <f ca="1">IF(SUM($G9:K9)&lt;$N$15,$N$15-SUM($G9:K9),0)</f>
        <v>0</v>
      </c>
      <c r="M36" s="86">
        <f ca="1">IF(SUM($G9:L9)&lt;$N$15,$N$15-SUM($G9:L9),0)</f>
        <v>0</v>
      </c>
      <c r="N36" s="86">
        <f ca="1">IF(SUM($G9:M9)&lt;$N$15,$N$15-SUM($G9:M9),0)</f>
        <v>0</v>
      </c>
      <c r="O36" s="86">
        <f ca="1">IF(SUM($G9:N9)&lt;$N$15,$N$15-SUM($G9:N9),0)</f>
        <v>0</v>
      </c>
      <c r="P36" s="86">
        <f ca="1">IF(SUM($G9:O9)&lt;$N$15,$N$15-SUM($G9:O9),0)</f>
        <v>0</v>
      </c>
      <c r="Q36" s="86">
        <f ca="1">IF(SUM($G9:P9)&lt;$N$15,$N$15-SUM($G9:P9),0)</f>
        <v>0</v>
      </c>
      <c r="R36" s="86">
        <f ca="1">IF(SUM($G9:Q9)&lt;$N$15,$N$15-SUM($G9:Q9),0)</f>
        <v>0</v>
      </c>
      <c r="S36" s="86">
        <f ca="1">IF(SUM($G9:R9)&lt;$N$15,$N$15-SUM($G9:R9),0)</f>
        <v>0</v>
      </c>
      <c r="T36" s="86">
        <f ca="1">IF(SUM($G9:S9)&lt;$N$15,$N$15-SUM($G9:S9),0)</f>
        <v>0</v>
      </c>
      <c r="U36" s="86"/>
      <c r="V36" s="86"/>
      <c r="W36" s="86"/>
    </row>
    <row r="37" spans="2:23" x14ac:dyDescent="0.2">
      <c r="B37" s="20" t="s">
        <v>412</v>
      </c>
      <c r="G37">
        <f ca="1">IF($N$15&lt;G9,$N$15,G9)</f>
        <v>0</v>
      </c>
      <c r="H37" s="86">
        <f ca="1">IF(SUM($G9:G9)&lt;$N$15,H9,0)</f>
        <v>0</v>
      </c>
      <c r="I37" s="86">
        <f ca="1">IF(SUM($G9:H9)&lt;$N$15,I9,0)</f>
        <v>0</v>
      </c>
      <c r="J37" s="86">
        <f ca="1">IF(SUM($G9:I9)&lt;$N$15,J9,0)</f>
        <v>0</v>
      </c>
      <c r="K37" s="86">
        <f ca="1">IF(SUM($G9:J9)&lt;$N$15,K9,0)</f>
        <v>0</v>
      </c>
      <c r="L37" s="86">
        <f ca="1">IF(SUM($G9:K9)&lt;$N$15,L9,0)</f>
        <v>0</v>
      </c>
      <c r="M37" s="86">
        <f ca="1">IF(SUM($G9:L9)&lt;$N$15,M9,0)</f>
        <v>0</v>
      </c>
      <c r="N37" s="86">
        <f ca="1">IF(SUM($G9:M9)&lt;$N$15,N9,0)</f>
        <v>0</v>
      </c>
      <c r="O37" s="86">
        <f ca="1">IF(SUM($G9:N9)&lt;$N$15,O9,0)</f>
        <v>0</v>
      </c>
      <c r="P37" s="86">
        <f ca="1">IF(SUM($G9:O9)&lt;$N$15,P9,0)</f>
        <v>0</v>
      </c>
      <c r="Q37" s="86">
        <f ca="1">IF(SUM($G9:P9)&lt;$N$15,Q9,0)</f>
        <v>0</v>
      </c>
      <c r="R37" s="86">
        <f ca="1">IF(SUM($G9:Q9)&lt;$N$15,R9,0)</f>
        <v>0</v>
      </c>
      <c r="S37" s="86">
        <f ca="1">IF(SUM($G9:R9)&lt;$N$15,S9,0)</f>
        <v>0</v>
      </c>
      <c r="T37" s="86">
        <f ca="1">IF(SUM($G9:S9)&lt;$N$15,T9,0)</f>
        <v>0</v>
      </c>
      <c r="U37" s="86"/>
      <c r="V37" s="86"/>
      <c r="W37" s="86"/>
    </row>
    <row r="38" spans="2:23" x14ac:dyDescent="0.2">
      <c r="B38" s="473" t="s">
        <v>413</v>
      </c>
      <c r="C38" s="2"/>
      <c r="D38" s="2"/>
      <c r="E38" s="2"/>
      <c r="F38" s="2"/>
      <c r="G38" s="474">
        <f ca="1">IF(G36&gt;G37,G37,G36)</f>
        <v>0</v>
      </c>
      <c r="H38" s="474">
        <f ca="1">IF(H36&gt;H37,H37,H36)</f>
        <v>0</v>
      </c>
      <c r="I38" s="474">
        <f ca="1">IF(I36&gt;I37,I37,I36)</f>
        <v>0</v>
      </c>
      <c r="J38" s="474">
        <f t="shared" ref="J38:T38" ca="1" si="5">IF(J36&gt;J37,J37,J36)</f>
        <v>0</v>
      </c>
      <c r="K38" s="474">
        <f t="shared" ca="1" si="5"/>
        <v>0</v>
      </c>
      <c r="L38" s="474">
        <f t="shared" ca="1" si="5"/>
        <v>0</v>
      </c>
      <c r="M38" s="474">
        <f t="shared" ca="1" si="5"/>
        <v>0</v>
      </c>
      <c r="N38" s="474">
        <f t="shared" ca="1" si="5"/>
        <v>0</v>
      </c>
      <c r="O38" s="474">
        <f t="shared" ca="1" si="5"/>
        <v>0</v>
      </c>
      <c r="P38" s="474">
        <f t="shared" ca="1" si="5"/>
        <v>0</v>
      </c>
      <c r="Q38" s="474">
        <f t="shared" ca="1" si="5"/>
        <v>0</v>
      </c>
      <c r="R38" s="474">
        <f t="shared" ca="1" si="5"/>
        <v>0</v>
      </c>
      <c r="S38" s="474">
        <f t="shared" ca="1" si="5"/>
        <v>0</v>
      </c>
      <c r="T38" s="474">
        <f t="shared" ca="1" si="5"/>
        <v>0</v>
      </c>
      <c r="U38" s="474"/>
      <c r="V38" s="474"/>
      <c r="W38" s="474"/>
    </row>
    <row r="39" spans="2:23" x14ac:dyDescent="0.2">
      <c r="B39" s="20" t="s">
        <v>414</v>
      </c>
      <c r="G39" s="8" t="b">
        <f ca="1">IF(G38&gt;0,IF(G33=0,G38/H35,IF(G37=G38,(G33*80%)+(H33*20%)+(H34),(G38*80%/G35)+(G38*20%/H35))))</f>
        <v>0</v>
      </c>
      <c r="H39" s="8" t="b">
        <f t="shared" ref="H39:T39" ca="1" si="6">IF(H38&gt;0,IF(H33=0,H38/I35,IF(H37=H38,(H33*80%)+(I33*20%)+(I34),(H38*80%/H35)+(H38*20%/I35))))</f>
        <v>0</v>
      </c>
      <c r="I39" s="8" t="b">
        <f t="shared" ca="1" si="6"/>
        <v>0</v>
      </c>
      <c r="J39" s="8" t="b">
        <f t="shared" ca="1" si="6"/>
        <v>0</v>
      </c>
      <c r="K39" s="8" t="b">
        <f t="shared" ca="1" si="6"/>
        <v>0</v>
      </c>
      <c r="L39" s="8" t="b">
        <f t="shared" ca="1" si="6"/>
        <v>0</v>
      </c>
      <c r="M39" s="8" t="b">
        <f t="shared" ca="1" si="6"/>
        <v>0</v>
      </c>
      <c r="N39" s="8" t="b">
        <f t="shared" ca="1" si="6"/>
        <v>0</v>
      </c>
      <c r="O39" s="8" t="b">
        <f t="shared" ca="1" si="6"/>
        <v>0</v>
      </c>
      <c r="P39" s="8" t="b">
        <f t="shared" ca="1" si="6"/>
        <v>0</v>
      </c>
      <c r="Q39" s="8" t="b">
        <f t="shared" ca="1" si="6"/>
        <v>0</v>
      </c>
      <c r="R39" s="8" t="b">
        <f t="shared" ca="1" si="6"/>
        <v>0</v>
      </c>
      <c r="S39" s="8" t="b">
        <f t="shared" ca="1" si="6"/>
        <v>0</v>
      </c>
      <c r="T39" s="8" t="b">
        <f t="shared" ca="1" si="6"/>
        <v>0</v>
      </c>
      <c r="U39" s="8"/>
      <c r="V39" s="8"/>
      <c r="W39" s="8"/>
    </row>
    <row r="40" spans="2:23" x14ac:dyDescent="0.2">
      <c r="B40" s="20"/>
      <c r="H40" s="475"/>
      <c r="I40" s="475"/>
      <c r="J40" s="475"/>
      <c r="K40" s="475"/>
      <c r="L40" s="475"/>
      <c r="M40" s="475"/>
      <c r="N40" s="475"/>
      <c r="O40" s="475"/>
      <c r="P40" s="475"/>
      <c r="Q40" s="475"/>
      <c r="R40" s="475"/>
      <c r="S40" s="475"/>
      <c r="T40" s="475"/>
      <c r="U40" s="475"/>
      <c r="V40" s="475"/>
      <c r="W40" s="475"/>
    </row>
    <row r="41" spans="2:23" x14ac:dyDescent="0.2">
      <c r="B41" s="20"/>
      <c r="H41" s="475"/>
      <c r="I41" s="475"/>
      <c r="J41" s="475"/>
      <c r="K41" s="475"/>
      <c r="L41" s="475"/>
      <c r="M41" s="475"/>
      <c r="N41" s="475"/>
      <c r="O41" s="475"/>
      <c r="P41" s="475"/>
      <c r="Q41" s="475"/>
      <c r="R41" s="475"/>
      <c r="S41" s="475"/>
      <c r="T41" s="475"/>
      <c r="U41" s="475"/>
      <c r="V41" s="475"/>
      <c r="W41" s="475"/>
    </row>
    <row r="42" spans="2:23" x14ac:dyDescent="0.2">
      <c r="B42" s="20" t="s">
        <v>415</v>
      </c>
      <c r="H42" s="476">
        <f ca="1">SUM(G39:T39)</f>
        <v>0</v>
      </c>
      <c r="K42" s="531"/>
      <c r="N42" s="159"/>
    </row>
    <row r="43" spans="2:23" x14ac:dyDescent="0.2">
      <c r="B43" s="20" t="s">
        <v>416</v>
      </c>
      <c r="H43" s="476">
        <f ca="1">IF(H42=0,0,(G35*G39+H35*H39+I35*I39+J35*J39+K35*K39+L35*L39+M35*M39+N35*N39+O35*O39+P35*P39+Q35*Q39+R35*R39+S35*S39+T35*T39)/H42)</f>
        <v>0</v>
      </c>
      <c r="J43" s="8"/>
    </row>
    <row r="46" spans="2:23" x14ac:dyDescent="0.2">
      <c r="B46" t="s">
        <v>234</v>
      </c>
      <c r="H46" s="7">
        <f>+'Overzicht MSK toets'!D23</f>
        <v>0</v>
      </c>
    </row>
    <row r="47" spans="2:23" x14ac:dyDescent="0.2">
      <c r="H47" s="7">
        <f>'Overzicht MSK toets'!E43</f>
        <v>0</v>
      </c>
    </row>
    <row r="51" spans="8:24" ht="15" x14ac:dyDescent="0.25">
      <c r="H51" s="85"/>
      <c r="I51" s="26"/>
      <c r="J51" s="26"/>
      <c r="K51" s="26"/>
      <c r="L51" s="26"/>
      <c r="M51" s="26"/>
      <c r="N51" s="26"/>
      <c r="O51" s="563"/>
      <c r="P51" s="563"/>
      <c r="Q51" s="26"/>
      <c r="R51" s="564"/>
      <c r="S51" s="26"/>
    </row>
    <row r="52" spans="8:24" x14ac:dyDescent="0.2">
      <c r="H52" s="6"/>
      <c r="I52" s="6"/>
      <c r="J52" s="6"/>
      <c r="K52" s="124"/>
      <c r="L52" s="2"/>
      <c r="M52" s="2"/>
      <c r="N52" s="2"/>
      <c r="O52" s="2"/>
      <c r="P52" s="2"/>
      <c r="Q52" s="2"/>
      <c r="R52" s="2"/>
      <c r="S52" s="2"/>
      <c r="T52" s="2"/>
      <c r="U52" s="2"/>
      <c r="V52" s="2"/>
      <c r="W52" s="2"/>
      <c r="X52" s="2"/>
    </row>
    <row r="53" spans="8:24" x14ac:dyDescent="0.2">
      <c r="H53" s="6"/>
      <c r="I53" s="6"/>
      <c r="J53" s="6"/>
      <c r="K53" s="6"/>
      <c r="N53" s="288"/>
    </row>
    <row r="54" spans="8:24" x14ac:dyDescent="0.2">
      <c r="H54" s="176"/>
      <c r="I54" s="176"/>
      <c r="J54" s="443"/>
      <c r="K54" s="6"/>
      <c r="L54" s="167"/>
      <c r="N54" s="288"/>
    </row>
    <row r="55" spans="8:24" x14ac:dyDescent="0.2">
      <c r="H55" s="176"/>
      <c r="I55" s="176"/>
      <c r="J55" s="443"/>
      <c r="K55" s="6"/>
      <c r="L55" s="167"/>
      <c r="N55" s="167"/>
    </row>
    <row r="56" spans="8:24" x14ac:dyDescent="0.2">
      <c r="H56" s="176"/>
      <c r="I56" s="176"/>
      <c r="J56" s="443"/>
      <c r="K56" s="6"/>
      <c r="L56" s="167"/>
      <c r="N56" s="167"/>
    </row>
    <row r="57" spans="8:24" x14ac:dyDescent="0.2">
      <c r="H57" s="444"/>
      <c r="I57" s="322"/>
      <c r="J57" s="321"/>
      <c r="K57" s="6"/>
      <c r="L57" s="165"/>
    </row>
    <row r="58" spans="8:24" x14ac:dyDescent="0.2">
      <c r="H58" s="444"/>
      <c r="I58" s="444"/>
      <c r="J58" s="321"/>
      <c r="K58" s="6"/>
    </row>
    <row r="59" spans="8:24" x14ac:dyDescent="0.2">
      <c r="H59" s="444"/>
      <c r="I59" s="444"/>
      <c r="J59" s="321"/>
      <c r="K59" s="6"/>
    </row>
    <row r="60" spans="8:24" x14ac:dyDescent="0.2">
      <c r="H60" s="444"/>
      <c r="I60" s="444"/>
      <c r="J60" s="321"/>
      <c r="K60" s="6"/>
    </row>
    <row r="61" spans="8:24" x14ac:dyDescent="0.2">
      <c r="H61" s="444"/>
      <c r="I61" s="444"/>
      <c r="J61" s="321"/>
      <c r="K61" s="6"/>
    </row>
    <row r="62" spans="8:24" x14ac:dyDescent="0.2">
      <c r="H62" s="444"/>
      <c r="I62" s="444"/>
      <c r="J62" s="321"/>
      <c r="K62" s="6"/>
    </row>
    <row r="63" spans="8:24" x14ac:dyDescent="0.2">
      <c r="H63" s="107"/>
      <c r="I63" s="107"/>
      <c r="J63" s="105"/>
      <c r="K63" s="6"/>
    </row>
    <row r="64" spans="8:24" x14ac:dyDescent="0.2">
      <c r="H64" s="6"/>
      <c r="I64" s="6"/>
      <c r="J64" s="6"/>
      <c r="K64" s="6"/>
    </row>
    <row r="67" spans="2:8" ht="18.75" x14ac:dyDescent="0.3">
      <c r="B67" s="208"/>
    </row>
    <row r="68" spans="2:8" ht="18.75" x14ac:dyDescent="0.3">
      <c r="B68" s="208"/>
    </row>
    <row r="69" spans="2:8" ht="18.75" x14ac:dyDescent="0.3">
      <c r="B69" s="208"/>
    </row>
    <row r="70" spans="2:8" ht="18.75" x14ac:dyDescent="0.3">
      <c r="B70" s="208"/>
    </row>
    <row r="71" spans="2:8" ht="18.75" x14ac:dyDescent="0.3">
      <c r="B71" s="208"/>
    </row>
    <row r="72" spans="2:8" ht="18.75" x14ac:dyDescent="0.3">
      <c r="B72" s="208"/>
    </row>
    <row r="73" spans="2:8" ht="18.75" x14ac:dyDescent="0.3">
      <c r="B73" s="208"/>
    </row>
    <row r="74" spans="2:8" ht="18.75" x14ac:dyDescent="0.3">
      <c r="B74" s="208"/>
    </row>
    <row r="75" spans="2:8" ht="18.75" x14ac:dyDescent="0.3">
      <c r="B75" s="208"/>
    </row>
    <row r="76" spans="2:8" ht="18.75" x14ac:dyDescent="0.3">
      <c r="B76" s="208"/>
      <c r="H76" s="207"/>
    </row>
    <row r="77" spans="2:8" ht="18.75" x14ac:dyDescent="0.3">
      <c r="B77" s="208"/>
    </row>
    <row r="78" spans="2:8" ht="18.75" x14ac:dyDescent="0.3">
      <c r="B78" s="208"/>
    </row>
    <row r="79" spans="2:8" ht="18.75" x14ac:dyDescent="0.3">
      <c r="B79" s="208"/>
    </row>
    <row r="80" spans="2:8" ht="18.75" x14ac:dyDescent="0.3">
      <c r="B80" s="208"/>
    </row>
  </sheetData>
  <customSheetViews>
    <customSheetView guid="{D98A0717-74D0-4F54-BB8F-A337A1A9E4DF}" scale="75" showRuler="0">
      <selection activeCell="M40" sqref="M40"/>
      <pageMargins left="0.75" right="0.75" top="1" bottom="1" header="0.5" footer="0.5"/>
      <pageSetup paperSize="9" orientation="portrait"/>
      <headerFooter alignWithMargins="0"/>
    </customSheetView>
    <customSheetView guid="{5D986420-B83B-47C8-8160-784F77FFC196}" scale="75" showRuler="0">
      <selection activeCell="M40" sqref="M40"/>
      <pageMargins left="0.75" right="0.75" top="1" bottom="1" header="0.5" footer="0.5"/>
      <pageSetup paperSize="9" orientation="portrait"/>
      <headerFooter alignWithMargins="0"/>
    </customSheetView>
    <customSheetView guid="{C9029B8D-126A-43F1-8BE9-BB8A7DE12FBF}" scale="75" showRuler="0">
      <selection activeCell="M40" sqref="M40"/>
      <pageMargins left="0.75" right="0.75" top="1" bottom="1" header="0.5" footer="0.5"/>
      <pageSetup paperSize="9" orientation="portrait"/>
      <headerFooter alignWithMargins="0"/>
    </customSheetView>
    <customSheetView guid="{4284377C-91E6-4152-887E-8DA87560FDD6}" scale="75" showRuler="0">
      <selection activeCell="M40" sqref="M40"/>
      <pageMargins left="0.75" right="0.75" top="1" bottom="1" header="0.5" footer="0.5"/>
      <pageSetup paperSize="9" orientation="portrait"/>
      <headerFooter alignWithMargins="0"/>
    </customSheetView>
    <customSheetView guid="{546B9E27-05F9-47A7-B161-BCC56D613799}" scale="75" showRuler="0">
      <selection activeCell="M40" sqref="M40"/>
      <pageMargins left="0.75" right="0.75" top="1" bottom="1" header="0.5" footer="0.5"/>
      <pageSetup paperSize="9" orientation="portrait"/>
      <headerFooter alignWithMargins="0"/>
    </customSheetView>
  </customSheetViews>
  <mergeCells count="2">
    <mergeCell ref="N14:O14"/>
    <mergeCell ref="N22:O22"/>
  </mergeCells>
  <phoneticPr fontId="0" type="noConversion"/>
  <pageMargins left="0.75" right="0.75" top="1" bottom="1" header="0.5" footer="0.5"/>
  <pageSetup paperSize="9" orientation="portrait"/>
  <headerFooter alignWithMargins="0"/>
  <cellWatches>
    <cellWatch r="N23"/>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AB109"/>
  <sheetViews>
    <sheetView topLeftCell="A7" workbookViewId="0">
      <selection activeCell="I24" sqref="I24"/>
    </sheetView>
  </sheetViews>
  <sheetFormatPr defaultRowHeight="12.75" x14ac:dyDescent="0.2"/>
  <cols>
    <col min="2" max="2" width="33" bestFit="1" customWidth="1"/>
    <col min="3" max="3" width="12.6640625" bestFit="1" customWidth="1"/>
    <col min="4" max="4" width="11.5" bestFit="1" customWidth="1"/>
    <col min="5" max="5" width="27.6640625" bestFit="1" customWidth="1"/>
    <col min="6" max="6" width="13.6640625" bestFit="1" customWidth="1"/>
    <col min="7" max="7" width="27.6640625" bestFit="1" customWidth="1"/>
    <col min="18" max="18" width="19.1640625" customWidth="1"/>
    <col min="19" max="19" width="17.83203125" customWidth="1"/>
    <col min="21" max="21" width="12.6640625" bestFit="1" customWidth="1"/>
    <col min="22" max="22" width="10" bestFit="1" customWidth="1"/>
    <col min="25" max="25" width="12.5" bestFit="1" customWidth="1"/>
    <col min="28" max="28" width="10" bestFit="1" customWidth="1"/>
  </cols>
  <sheetData>
    <row r="1" spans="2:15" x14ac:dyDescent="0.2">
      <c r="B1" t="s">
        <v>158</v>
      </c>
      <c r="E1" s="38">
        <f>+Invoerblad!E15</f>
        <v>12</v>
      </c>
    </row>
    <row r="2" spans="2:15" x14ac:dyDescent="0.2">
      <c r="B2" t="s">
        <v>221</v>
      </c>
      <c r="E2" s="425">
        <f>+Invoerblad!E25</f>
        <v>0</v>
      </c>
    </row>
    <row r="3" spans="2:15" x14ac:dyDescent="0.2">
      <c r="B3" t="s">
        <v>219</v>
      </c>
      <c r="D3" s="7">
        <f>MONTH(E3)-1</f>
        <v>0</v>
      </c>
      <c r="E3" s="425">
        <f>+Invoerblad!E26</f>
        <v>0</v>
      </c>
      <c r="F3" t="s">
        <v>226</v>
      </c>
    </row>
    <row r="4" spans="2:15" x14ac:dyDescent="0.2">
      <c r="B4" t="s">
        <v>220</v>
      </c>
      <c r="E4">
        <f>YEAR(E3)</f>
        <v>1900</v>
      </c>
      <c r="F4" t="s">
        <v>225</v>
      </c>
    </row>
    <row r="5" spans="2:15" ht="15" x14ac:dyDescent="0.25">
      <c r="B5" t="s">
        <v>224</v>
      </c>
      <c r="D5">
        <f>MONTH(E5)-1</f>
        <v>0</v>
      </c>
      <c r="E5" s="365">
        <f>DATE(E4,1,1)</f>
        <v>1</v>
      </c>
    </row>
    <row r="6" spans="2:15" x14ac:dyDescent="0.2">
      <c r="E6" s="167"/>
    </row>
    <row r="7" spans="2:15" x14ac:dyDescent="0.2">
      <c r="D7" t="s">
        <v>315</v>
      </c>
      <c r="E7" t="s">
        <v>316</v>
      </c>
    </row>
    <row r="8" spans="2:15" x14ac:dyDescent="0.2">
      <c r="B8" t="s">
        <v>222</v>
      </c>
      <c r="D8" s="167">
        <f>LARGE(E2:E3,1)</f>
        <v>0</v>
      </c>
      <c r="E8" s="167">
        <f>LARGE(E2:E3,1)</f>
        <v>0</v>
      </c>
      <c r="F8" t="s">
        <v>227</v>
      </c>
      <c r="L8">
        <v>5127</v>
      </c>
      <c r="M8">
        <v>350000</v>
      </c>
    </row>
    <row r="9" spans="2:15" x14ac:dyDescent="0.2">
      <c r="B9" t="s">
        <v>169</v>
      </c>
      <c r="D9" s="7">
        <f>YEAR(D8)</f>
        <v>1900</v>
      </c>
      <c r="E9" s="7">
        <f>YEAR(E8)</f>
        <v>1900</v>
      </c>
      <c r="M9">
        <v>282000</v>
      </c>
      <c r="N9">
        <f>+M9/M8</f>
        <v>0.80571428571428572</v>
      </c>
      <c r="O9">
        <f>+L8*N9</f>
        <v>4130.8971428571431</v>
      </c>
    </row>
    <row r="10" spans="2:15" ht="15" x14ac:dyDescent="0.25">
      <c r="B10" t="s">
        <v>170</v>
      </c>
      <c r="D10" s="468">
        <f>MONTH(D8)-1</f>
        <v>0</v>
      </c>
      <c r="E10" s="365">
        <f>DATE(E9,1,1)</f>
        <v>1</v>
      </c>
    </row>
    <row r="11" spans="2:15" x14ac:dyDescent="0.2">
      <c r="B11" t="s">
        <v>223</v>
      </c>
      <c r="D11" s="366">
        <f>(12-D10)/12</f>
        <v>1</v>
      </c>
      <c r="E11" s="366">
        <f>1-(E8-E10)/365</f>
        <v>1.0027397260273974</v>
      </c>
    </row>
    <row r="12" spans="2:15" x14ac:dyDescent="0.2">
      <c r="B12" t="s">
        <v>228</v>
      </c>
      <c r="D12" s="366">
        <f>1-(+D3-D5)/12</f>
        <v>1</v>
      </c>
      <c r="E12" s="366">
        <f>1-(+E3-E5)/365</f>
        <v>1.0027397260273974</v>
      </c>
    </row>
    <row r="14" spans="2:15" x14ac:dyDescent="0.2">
      <c r="B14" t="s">
        <v>155</v>
      </c>
      <c r="D14" s="366">
        <f>IF(E3&gt;E2,1-D11,1-D12)</f>
        <v>0</v>
      </c>
      <c r="E14" s="366">
        <f>IF(E3&gt;E2,1-E11,1-E12)</f>
        <v>-2.73972602739736E-3</v>
      </c>
      <c r="F14" t="s">
        <v>157</v>
      </c>
    </row>
    <row r="15" spans="2:15" x14ac:dyDescent="0.2">
      <c r="B15" t="s">
        <v>156</v>
      </c>
      <c r="D15" s="367">
        <f>1-D12</f>
        <v>0</v>
      </c>
      <c r="E15" s="367">
        <f>1-E12</f>
        <v>-2.73972602739736E-3</v>
      </c>
      <c r="F15" t="s">
        <v>157</v>
      </c>
    </row>
    <row r="17" spans="2:24" x14ac:dyDescent="0.2">
      <c r="B17" t="s">
        <v>159</v>
      </c>
      <c r="E17" s="366">
        <f>IF(E2&gt;E3,(+E2-E3)/365,0)</f>
        <v>0</v>
      </c>
      <c r="F17" s="165">
        <f>+E2-E3</f>
        <v>0</v>
      </c>
      <c r="G17" s="469">
        <v>-2.73972602739736E-3</v>
      </c>
    </row>
    <row r="18" spans="2:24" x14ac:dyDescent="0.2">
      <c r="B18" t="s">
        <v>160</v>
      </c>
      <c r="E18" s="367">
        <f>IF(Invoerblad!E26=DATE(2012,1,1),E1-E17-G17,E1-E17)</f>
        <v>12</v>
      </c>
      <c r="G18" s="167"/>
    </row>
    <row r="19" spans="2:24" x14ac:dyDescent="0.2">
      <c r="B19" t="s">
        <v>168</v>
      </c>
      <c r="E19">
        <f>IF($E$11&lt;1,CEILING(E18-E11,1)+1,CEILING(E18,1))</f>
        <v>12</v>
      </c>
    </row>
    <row r="20" spans="2:24" x14ac:dyDescent="0.2">
      <c r="E20" s="367"/>
    </row>
    <row r="21" spans="2:24" x14ac:dyDescent="0.2">
      <c r="B21" t="s">
        <v>194</v>
      </c>
      <c r="E21">
        <v>1</v>
      </c>
      <c r="F21">
        <f>IF(COUNTA($E$21:E21)&gt;=$E$19,0,+E21+1)</f>
        <v>2</v>
      </c>
      <c r="G21">
        <f>IF(COUNTA($E$21:F21)&gt;=$E$19,0,+F21+1)</f>
        <v>3</v>
      </c>
      <c r="H21">
        <f>IF(COUNTA($E$21:G21)&gt;=$E$19,0,+G21+1)</f>
        <v>4</v>
      </c>
      <c r="I21">
        <f>IF(COUNTA($E$21:H21)&gt;=$E$19,0,+H21+1)</f>
        <v>5</v>
      </c>
      <c r="J21">
        <f>IF(COUNTA($E$21:I21)&gt;=$E$19,0,+I21+1)</f>
        <v>6</v>
      </c>
      <c r="K21">
        <f>IF(COUNTA($E$21:J21)&gt;=$E$19,0,+J21+1)</f>
        <v>7</v>
      </c>
      <c r="L21">
        <f>IF(COUNTA($E$21:K21)&gt;=$E$19,0,+K21+1)</f>
        <v>8</v>
      </c>
      <c r="M21">
        <f>IF(COUNTA($E$21:L21)&gt;=$E$19,0,+L21+1)</f>
        <v>9</v>
      </c>
      <c r="N21">
        <f>IF(COUNTA($E$21:M21)&gt;=$E$19,0,+M21+1)</f>
        <v>10</v>
      </c>
      <c r="O21">
        <f>IF(COUNTA($E$21:N21)&gt;=$E$19,0,+N21+1)</f>
        <v>11</v>
      </c>
      <c r="P21">
        <f>IF(COUNTA($E$21:O21)&gt;=$E$19,0,+O21+1)</f>
        <v>12</v>
      </c>
      <c r="Q21">
        <f>IF(COUNTA($E$21:P21)&gt;=$E$19,0,+P21+1)</f>
        <v>0</v>
      </c>
      <c r="R21">
        <f>IF(COUNTA($E$21:Q21)&gt;=$E$19,0,+Q21+1)</f>
        <v>0</v>
      </c>
      <c r="S21">
        <f>IF(COUNTA($E$21:R21)&gt;=$E$19,0,+R21+1)</f>
        <v>0</v>
      </c>
      <c r="T21">
        <f>IF(COUNTA($E$21:S21)&gt;=$E$19,0,+S21+1)</f>
        <v>0</v>
      </c>
      <c r="U21">
        <f>IF(COUNTA($E$21:T21)&gt;=$E$19,0,+T21+1)</f>
        <v>0</v>
      </c>
      <c r="V21">
        <f>IF(COUNTA($E$21:U21)&gt;=$E$19,0,+U21+1)</f>
        <v>0</v>
      </c>
      <c r="W21">
        <f>IF(COUNTA($E$21:V21)&gt;=$E$19,0,+V21+1)</f>
        <v>0</v>
      </c>
      <c r="X21">
        <f>IF(COUNTA($E$21:W21)&gt;=$E$19,0,+W21+1)</f>
        <v>0</v>
      </c>
    </row>
    <row r="22" spans="2:24" x14ac:dyDescent="0.2">
      <c r="B22" t="s">
        <v>194</v>
      </c>
      <c r="E22">
        <f>IF(ISBLANK($E$8),1,+$E$9)</f>
        <v>1900</v>
      </c>
      <c r="F22">
        <f>IF(F21&gt;0,+E22+1,0)</f>
        <v>1901</v>
      </c>
      <c r="G22">
        <f>IF(G21&gt;0,+F22+1,0)</f>
        <v>1902</v>
      </c>
      <c r="H22">
        <f>IF(H21&gt;0,+G22+1,0)</f>
        <v>1903</v>
      </c>
      <c r="I22">
        <f t="shared" ref="I22:U22" si="0">IF(I21&gt;0,+H22+1,0)</f>
        <v>1904</v>
      </c>
      <c r="J22">
        <f t="shared" si="0"/>
        <v>1905</v>
      </c>
      <c r="K22">
        <f t="shared" si="0"/>
        <v>1906</v>
      </c>
      <c r="L22">
        <f t="shared" si="0"/>
        <v>1907</v>
      </c>
      <c r="M22">
        <f t="shared" si="0"/>
        <v>1908</v>
      </c>
      <c r="N22">
        <f t="shared" si="0"/>
        <v>1909</v>
      </c>
      <c r="O22">
        <f t="shared" si="0"/>
        <v>1910</v>
      </c>
      <c r="P22">
        <f t="shared" si="0"/>
        <v>1911</v>
      </c>
      <c r="Q22">
        <f>IF(Q21&gt;0,+P22+1,0)</f>
        <v>0</v>
      </c>
      <c r="R22">
        <f t="shared" si="0"/>
        <v>0</v>
      </c>
      <c r="S22">
        <f t="shared" si="0"/>
        <v>0</v>
      </c>
      <c r="T22">
        <f t="shared" si="0"/>
        <v>0</v>
      </c>
      <c r="U22">
        <f t="shared" si="0"/>
        <v>0</v>
      </c>
      <c r="V22">
        <f>IF(V21&gt;0,+U22+1,0)</f>
        <v>0</v>
      </c>
      <c r="W22">
        <f>IF(W21&gt;0,+V22+1,0)</f>
        <v>0</v>
      </c>
      <c r="X22">
        <f>IF(X21&gt;0,+W22+1,0)</f>
        <v>0</v>
      </c>
    </row>
    <row r="24" spans="2:24" x14ac:dyDescent="0.2">
      <c r="B24" t="s">
        <v>195</v>
      </c>
      <c r="C24" t="s">
        <v>318</v>
      </c>
      <c r="E24" s="367">
        <f>IF(E21=0,0,IF(E21=1,+$E$11,IF(D25+1&lt;=$E$18,1,IF(E22&gt;=0,$E$14,0))))</f>
        <v>1.0027397260273974</v>
      </c>
      <c r="F24" s="367">
        <f t="shared" ref="F24:X24" si="1">IF(F21=0,0,IF(F21=1,+$E$11,IF(E25+1&lt;=$E$18,1,IF(F22&gt;=0,$E$14,0))))</f>
        <v>1</v>
      </c>
      <c r="G24" s="367">
        <f t="shared" si="1"/>
        <v>1</v>
      </c>
      <c r="H24" s="367">
        <f t="shared" si="1"/>
        <v>1</v>
      </c>
      <c r="I24" s="367">
        <f t="shared" si="1"/>
        <v>1</v>
      </c>
      <c r="J24" s="367">
        <f t="shared" si="1"/>
        <v>1</v>
      </c>
      <c r="K24" s="367">
        <f t="shared" si="1"/>
        <v>1</v>
      </c>
      <c r="L24" s="367">
        <f t="shared" si="1"/>
        <v>1</v>
      </c>
      <c r="M24" s="367">
        <f t="shared" si="1"/>
        <v>1</v>
      </c>
      <c r="N24" s="367">
        <f t="shared" si="1"/>
        <v>1</v>
      </c>
      <c r="O24" s="367">
        <f t="shared" si="1"/>
        <v>1</v>
      </c>
      <c r="P24" s="367">
        <f t="shared" si="1"/>
        <v>-2.73972602739736E-3</v>
      </c>
      <c r="Q24" s="367">
        <f t="shared" si="1"/>
        <v>0</v>
      </c>
      <c r="R24" s="367">
        <f t="shared" si="1"/>
        <v>0</v>
      </c>
      <c r="S24" s="367">
        <f t="shared" si="1"/>
        <v>0</v>
      </c>
      <c r="T24" s="367">
        <f t="shared" si="1"/>
        <v>0</v>
      </c>
      <c r="U24" s="367">
        <f t="shared" si="1"/>
        <v>0</v>
      </c>
      <c r="V24" s="367">
        <f t="shared" si="1"/>
        <v>0</v>
      </c>
      <c r="W24" s="367">
        <f t="shared" si="1"/>
        <v>0</v>
      </c>
      <c r="X24" s="367">
        <f t="shared" si="1"/>
        <v>0</v>
      </c>
    </row>
    <row r="25" spans="2:24" x14ac:dyDescent="0.2">
      <c r="E25" s="367">
        <f>+E24</f>
        <v>1.0027397260273974</v>
      </c>
      <c r="F25" s="367">
        <f>+E25+F24</f>
        <v>2.0027397260273974</v>
      </c>
      <c r="G25" s="367">
        <f t="shared" ref="G25:X25" si="2">+F25+G24</f>
        <v>3.0027397260273974</v>
      </c>
      <c r="H25" s="367">
        <f t="shared" si="2"/>
        <v>4.0027397260273974</v>
      </c>
      <c r="I25" s="367">
        <f t="shared" si="2"/>
        <v>5.0027397260273974</v>
      </c>
      <c r="J25" s="367">
        <f t="shared" si="2"/>
        <v>6.0027397260273974</v>
      </c>
      <c r="K25" s="367">
        <f t="shared" si="2"/>
        <v>7.0027397260273974</v>
      </c>
      <c r="L25" s="367">
        <f t="shared" si="2"/>
        <v>8.0027397260273965</v>
      </c>
      <c r="M25" s="367">
        <f t="shared" si="2"/>
        <v>9.0027397260273965</v>
      </c>
      <c r="N25" s="367">
        <f t="shared" si="2"/>
        <v>10.002739726027396</v>
      </c>
      <c r="O25" s="367">
        <f t="shared" si="2"/>
        <v>11.002739726027396</v>
      </c>
      <c r="P25" s="367">
        <f t="shared" si="2"/>
        <v>11</v>
      </c>
      <c r="Q25" s="367">
        <f t="shared" si="2"/>
        <v>11</v>
      </c>
      <c r="R25" s="367">
        <f t="shared" si="2"/>
        <v>11</v>
      </c>
      <c r="S25" s="367">
        <f t="shared" si="2"/>
        <v>11</v>
      </c>
      <c r="T25" s="367">
        <f>+S25+T24</f>
        <v>11</v>
      </c>
      <c r="U25" s="367">
        <f t="shared" si="2"/>
        <v>11</v>
      </c>
      <c r="V25" s="367">
        <f t="shared" si="2"/>
        <v>11</v>
      </c>
      <c r="W25" s="367">
        <f t="shared" si="2"/>
        <v>11</v>
      </c>
      <c r="X25" s="367">
        <f t="shared" si="2"/>
        <v>11</v>
      </c>
    </row>
    <row r="26" spans="2:24" x14ac:dyDescent="0.2">
      <c r="E26" s="367"/>
      <c r="F26" s="367"/>
      <c r="G26" s="367"/>
      <c r="H26" s="367"/>
      <c r="I26" s="367"/>
      <c r="J26" s="367"/>
      <c r="K26" s="367"/>
      <c r="L26" s="367"/>
      <c r="M26" s="367"/>
      <c r="N26" s="367"/>
      <c r="O26" s="367"/>
      <c r="P26" s="367"/>
      <c r="Q26" s="367"/>
      <c r="R26" s="367"/>
      <c r="S26" s="367"/>
      <c r="T26" s="367"/>
      <c r="U26" s="367"/>
      <c r="V26" s="367"/>
      <c r="W26" s="367"/>
      <c r="X26" s="367"/>
    </row>
    <row r="27" spans="2:24" x14ac:dyDescent="0.2">
      <c r="E27" s="367"/>
      <c r="F27" s="367"/>
      <c r="G27" s="367"/>
      <c r="H27" s="367"/>
      <c r="I27" s="367"/>
      <c r="J27" s="367"/>
      <c r="K27" s="367"/>
      <c r="L27" s="367"/>
      <c r="M27" s="367"/>
      <c r="N27" s="367"/>
      <c r="O27" s="367"/>
      <c r="P27" s="367"/>
      <c r="Q27" s="367"/>
      <c r="R27" s="367"/>
      <c r="S27" s="367"/>
      <c r="T27" s="367"/>
      <c r="U27" s="367"/>
      <c r="V27" s="367"/>
      <c r="W27" s="367"/>
      <c r="X27" s="367"/>
    </row>
    <row r="28" spans="2:24" x14ac:dyDescent="0.2">
      <c r="B28" t="s">
        <v>194</v>
      </c>
      <c r="E28">
        <v>1</v>
      </c>
      <c r="F28">
        <f>IF(COUNTA($E$28:E28)&gt;=$E$19,0,+E28+1)</f>
        <v>2</v>
      </c>
      <c r="G28">
        <f>IF(COUNTA($E$28:F28)&gt;=$E$19,0,+F28+1)</f>
        <v>3</v>
      </c>
      <c r="H28">
        <f>IF(COUNTA($E$28:G28)&gt;=$E$19,0,+G28+1)</f>
        <v>4</v>
      </c>
      <c r="I28">
        <f>IF(COUNTA($E$28:H28)&gt;=$E$19,0,+H28+1)</f>
        <v>5</v>
      </c>
      <c r="J28">
        <f>IF(COUNTA($E$28:I28)&gt;=$E$19,0,+I28+1)</f>
        <v>6</v>
      </c>
      <c r="K28">
        <f>IF(COUNTA($E$28:J28)&gt;=$E$19,0,+J28+1)</f>
        <v>7</v>
      </c>
      <c r="L28">
        <f>IF(COUNTA($E$28:K28)&gt;=$E$19,0,+K28+1)</f>
        <v>8</v>
      </c>
      <c r="M28">
        <f>IF(COUNTA($E$28:L28)&gt;=$E$19,0,+L28+1)</f>
        <v>9</v>
      </c>
      <c r="N28">
        <f>IF(COUNTA($E$28:M28)&gt;=$E$19,0,+M28+1)</f>
        <v>10</v>
      </c>
      <c r="O28">
        <f>IF(COUNTA($E$28:N28)&gt;=$E$19,0,+N28+1)</f>
        <v>11</v>
      </c>
      <c r="P28">
        <f>IF(COUNTA($E$28:O28)&gt;=$E$19,0,+O28+1)</f>
        <v>12</v>
      </c>
      <c r="Q28">
        <f>IF(COUNTA($E$28:P28)&gt;=$E$19,0,+P28+1)</f>
        <v>0</v>
      </c>
      <c r="R28">
        <f>IF(COUNTA($E$28:Q28)&gt;=$E$19,0,+Q28+1)</f>
        <v>0</v>
      </c>
      <c r="S28">
        <f>IF(COUNTA($E$28:R28)&gt;=$E$19,0,+R28+1)</f>
        <v>0</v>
      </c>
      <c r="T28">
        <f>IF(COUNTA($E$28:S28)&gt;=$E$19,0,+S28+1)</f>
        <v>0</v>
      </c>
      <c r="U28">
        <f>IF(COUNTA($E$28:T28)&gt;=$E$19,0,+T28+1)</f>
        <v>0</v>
      </c>
      <c r="V28">
        <f>IF(COUNTA($E$28:U28)&gt;=$E$19,0,+U28+1)</f>
        <v>0</v>
      </c>
      <c r="W28">
        <f>IF(COUNTA($E$28:V28)&gt;=$E$19,0,+V28+1)</f>
        <v>0</v>
      </c>
      <c r="X28">
        <f>IF(COUNTA($E$28:W28)&gt;=$E$19,0,+W28+1)</f>
        <v>0</v>
      </c>
    </row>
    <row r="29" spans="2:24" x14ac:dyDescent="0.2">
      <c r="B29" t="s">
        <v>194</v>
      </c>
      <c r="E29">
        <f>IF(ISBLANK($E$8),1,+$E$9)</f>
        <v>1900</v>
      </c>
      <c r="F29">
        <f t="shared" ref="F29:X29" si="3">IF(F28&gt;0,+E29+1,0)</f>
        <v>1901</v>
      </c>
      <c r="G29">
        <f t="shared" si="3"/>
        <v>1902</v>
      </c>
      <c r="H29">
        <f t="shared" si="3"/>
        <v>1903</v>
      </c>
      <c r="I29">
        <f t="shared" si="3"/>
        <v>1904</v>
      </c>
      <c r="J29">
        <f t="shared" si="3"/>
        <v>1905</v>
      </c>
      <c r="K29">
        <f t="shared" si="3"/>
        <v>1906</v>
      </c>
      <c r="L29">
        <f t="shared" si="3"/>
        <v>1907</v>
      </c>
      <c r="M29">
        <f t="shared" si="3"/>
        <v>1908</v>
      </c>
      <c r="N29">
        <f t="shared" si="3"/>
        <v>1909</v>
      </c>
      <c r="O29">
        <f t="shared" si="3"/>
        <v>1910</v>
      </c>
      <c r="P29">
        <f t="shared" si="3"/>
        <v>1911</v>
      </c>
      <c r="Q29">
        <f t="shared" si="3"/>
        <v>0</v>
      </c>
      <c r="R29">
        <f t="shared" si="3"/>
        <v>0</v>
      </c>
      <c r="S29">
        <f t="shared" si="3"/>
        <v>0</v>
      </c>
      <c r="T29">
        <f t="shared" si="3"/>
        <v>0</v>
      </c>
      <c r="U29">
        <f t="shared" si="3"/>
        <v>0</v>
      </c>
      <c r="V29">
        <f t="shared" si="3"/>
        <v>0</v>
      </c>
      <c r="W29">
        <f t="shared" si="3"/>
        <v>0</v>
      </c>
      <c r="X29">
        <f t="shared" si="3"/>
        <v>0</v>
      </c>
    </row>
    <row r="31" spans="2:24" x14ac:dyDescent="0.2">
      <c r="B31" t="s">
        <v>195</v>
      </c>
      <c r="C31" t="s">
        <v>317</v>
      </c>
      <c r="E31" s="367">
        <f>IF(E28=0,0,IF(E28=1,+$D$11,IF(D32+1&lt;=$E$18,1,IF(E29&gt;=0,$D$14,0))))</f>
        <v>1</v>
      </c>
      <c r="F31" s="367">
        <f t="shared" ref="F31:X31" si="4">IF(F28=0,0,IF(F28=1,+$D$11,IF(E32+1&lt;=$E$18,1,IF(F29&gt;=0,$D$14,0))))</f>
        <v>1</v>
      </c>
      <c r="G31" s="367">
        <f t="shared" si="4"/>
        <v>1</v>
      </c>
      <c r="H31" s="367">
        <f t="shared" si="4"/>
        <v>1</v>
      </c>
      <c r="I31" s="367">
        <f t="shared" si="4"/>
        <v>1</v>
      </c>
      <c r="J31" s="367">
        <f t="shared" si="4"/>
        <v>1</v>
      </c>
      <c r="K31" s="367">
        <f t="shared" si="4"/>
        <v>1</v>
      </c>
      <c r="L31" s="367">
        <f t="shared" si="4"/>
        <v>1</v>
      </c>
      <c r="M31" s="367">
        <f t="shared" si="4"/>
        <v>1</v>
      </c>
      <c r="N31" s="367">
        <f t="shared" si="4"/>
        <v>1</v>
      </c>
      <c r="O31" s="367">
        <f t="shared" si="4"/>
        <v>1</v>
      </c>
      <c r="P31" s="367">
        <f t="shared" si="4"/>
        <v>1</v>
      </c>
      <c r="Q31" s="367">
        <f t="shared" si="4"/>
        <v>0</v>
      </c>
      <c r="R31" s="367">
        <f t="shared" si="4"/>
        <v>0</v>
      </c>
      <c r="S31" s="367">
        <f t="shared" si="4"/>
        <v>0</v>
      </c>
      <c r="T31" s="367">
        <f t="shared" si="4"/>
        <v>0</v>
      </c>
      <c r="U31" s="367">
        <f t="shared" si="4"/>
        <v>0</v>
      </c>
      <c r="V31" s="367">
        <f t="shared" si="4"/>
        <v>0</v>
      </c>
      <c r="W31" s="367">
        <f t="shared" si="4"/>
        <v>0</v>
      </c>
      <c r="X31" s="367">
        <f t="shared" si="4"/>
        <v>0</v>
      </c>
    </row>
    <row r="32" spans="2:24" x14ac:dyDescent="0.2">
      <c r="E32" s="367">
        <f>+E31</f>
        <v>1</v>
      </c>
      <c r="F32" s="367">
        <f t="shared" ref="F32:X32" si="5">+E32+F31</f>
        <v>2</v>
      </c>
      <c r="G32" s="367">
        <f t="shared" si="5"/>
        <v>3</v>
      </c>
      <c r="H32" s="367">
        <f t="shared" si="5"/>
        <v>4</v>
      </c>
      <c r="I32" s="367">
        <f t="shared" si="5"/>
        <v>5</v>
      </c>
      <c r="J32" s="367">
        <f t="shared" si="5"/>
        <v>6</v>
      </c>
      <c r="K32" s="367">
        <f t="shared" si="5"/>
        <v>7</v>
      </c>
      <c r="L32" s="367">
        <f t="shared" si="5"/>
        <v>8</v>
      </c>
      <c r="M32" s="367">
        <f t="shared" si="5"/>
        <v>9</v>
      </c>
      <c r="N32" s="367">
        <f t="shared" si="5"/>
        <v>10</v>
      </c>
      <c r="O32" s="367">
        <f t="shared" si="5"/>
        <v>11</v>
      </c>
      <c r="P32" s="367">
        <f t="shared" si="5"/>
        <v>12</v>
      </c>
      <c r="Q32" s="367">
        <f t="shared" si="5"/>
        <v>12</v>
      </c>
      <c r="R32" s="367">
        <f t="shared" si="5"/>
        <v>12</v>
      </c>
      <c r="S32" s="367">
        <f t="shared" si="5"/>
        <v>12</v>
      </c>
      <c r="T32" s="367">
        <f t="shared" si="5"/>
        <v>12</v>
      </c>
      <c r="U32" s="367">
        <f t="shared" si="5"/>
        <v>12</v>
      </c>
      <c r="V32" s="367">
        <f t="shared" si="5"/>
        <v>12</v>
      </c>
      <c r="W32" s="367">
        <f t="shared" si="5"/>
        <v>12</v>
      </c>
      <c r="X32" s="367">
        <f t="shared" si="5"/>
        <v>12</v>
      </c>
    </row>
    <row r="33" spans="1:24" x14ac:dyDescent="0.2">
      <c r="E33" s="367"/>
      <c r="F33" s="367"/>
      <c r="G33" s="367"/>
      <c r="H33" s="367"/>
      <c r="I33" s="367"/>
      <c r="J33" s="367"/>
      <c r="K33" s="367"/>
      <c r="L33" s="367"/>
      <c r="M33" s="367"/>
      <c r="N33" s="367"/>
      <c r="O33" s="367"/>
      <c r="P33" s="367"/>
      <c r="Q33" s="367"/>
      <c r="R33" s="367"/>
      <c r="S33" s="367"/>
      <c r="T33" s="367"/>
      <c r="U33" s="367"/>
      <c r="V33" s="367"/>
      <c r="W33" s="367"/>
      <c r="X33" s="367"/>
    </row>
    <row r="34" spans="1:24" x14ac:dyDescent="0.2">
      <c r="B34" s="38"/>
      <c r="C34" s="38"/>
      <c r="D34" s="424"/>
      <c r="E34" s="38"/>
      <c r="F34" s="38"/>
      <c r="G34" s="38"/>
      <c r="H34" s="38"/>
      <c r="I34" s="38"/>
      <c r="J34" s="38"/>
      <c r="K34" s="38"/>
      <c r="L34" s="38"/>
      <c r="M34" s="38"/>
      <c r="N34" s="38"/>
      <c r="O34" s="38"/>
      <c r="P34" s="38"/>
      <c r="Q34" s="38"/>
      <c r="R34" s="38"/>
      <c r="S34" s="38"/>
      <c r="T34" s="38"/>
      <c r="U34" s="38"/>
      <c r="V34" s="38"/>
      <c r="W34" s="38"/>
      <c r="X34" s="38"/>
    </row>
    <row r="35" spans="1:24" x14ac:dyDescent="0.2">
      <c r="B35" s="38"/>
      <c r="C35" s="38"/>
      <c r="D35" s="38"/>
      <c r="E35" s="38"/>
      <c r="F35" s="38"/>
      <c r="G35" s="38"/>
      <c r="H35" s="38"/>
      <c r="I35" s="38"/>
      <c r="J35" s="38"/>
      <c r="K35" s="38"/>
      <c r="L35" s="38"/>
      <c r="M35" s="38"/>
      <c r="N35" s="38"/>
      <c r="O35" s="38"/>
      <c r="P35" s="38"/>
      <c r="Q35" s="38"/>
      <c r="R35" s="38"/>
      <c r="S35" s="38"/>
      <c r="T35" s="38"/>
      <c r="U35" s="38"/>
      <c r="V35" s="38"/>
      <c r="W35" s="38"/>
      <c r="X35" s="38"/>
    </row>
    <row r="36" spans="1:24" x14ac:dyDescent="0.2">
      <c r="F36" s="38"/>
      <c r="T36" s="368"/>
    </row>
    <row r="37" spans="1:24" ht="13.5" thickBot="1" x14ac:dyDescent="0.25">
      <c r="B37" s="2" t="s">
        <v>141</v>
      </c>
      <c r="F37" s="38"/>
    </row>
    <row r="38" spans="1:24" x14ac:dyDescent="0.2">
      <c r="E38" s="381">
        <f>IF(Invoerblad!$E$35&lt;=12,0,((Invoerblad!$E$35/12-1)/2))</f>
        <v>0</v>
      </c>
      <c r="F38">
        <f>+Invoerblad!E35</f>
        <v>0</v>
      </c>
      <c r="G38" t="s">
        <v>1</v>
      </c>
    </row>
    <row r="39" spans="1:24" ht="13.5" thickBot="1" x14ac:dyDescent="0.25">
      <c r="A39" t="s">
        <v>10</v>
      </c>
      <c r="B39" s="2" t="s">
        <v>142</v>
      </c>
      <c r="E39" s="422">
        <f>1/POWER((1+Invoerblad!$E$75),$E$38)</f>
        <v>1</v>
      </c>
      <c r="F39" t="s">
        <v>143</v>
      </c>
      <c r="N39" t="s">
        <v>144</v>
      </c>
    </row>
    <row r="40" spans="1:24" x14ac:dyDescent="0.2">
      <c r="F40" s="38" t="s">
        <v>189</v>
      </c>
    </row>
    <row r="42" spans="1:24" x14ac:dyDescent="0.2">
      <c r="B42" s="38"/>
      <c r="R42" s="38"/>
    </row>
    <row r="44" spans="1:24" ht="13.5" thickBot="1" x14ac:dyDescent="0.25"/>
    <row r="45" spans="1:24" ht="15" x14ac:dyDescent="0.25">
      <c r="A45" t="s">
        <v>11</v>
      </c>
      <c r="B45" s="2" t="s">
        <v>407</v>
      </c>
      <c r="E45" s="369">
        <f>+(E8-E10)/365</f>
        <v>-2.7397260273972603E-3</v>
      </c>
      <c r="F45" t="s">
        <v>145</v>
      </c>
      <c r="J45" s="356" t="s">
        <v>190</v>
      </c>
      <c r="K45" s="384"/>
      <c r="L45" s="356"/>
      <c r="M45" s="356"/>
      <c r="N45" s="356"/>
      <c r="O45" s="356"/>
      <c r="P45" s="356"/>
      <c r="Q45" s="356"/>
      <c r="R45" s="356"/>
      <c r="S45" s="356"/>
      <c r="T45" s="356"/>
      <c r="U45" s="356"/>
    </row>
    <row r="46" spans="1:24" ht="15.75" thickBot="1" x14ac:dyDescent="0.3">
      <c r="C46" t="s">
        <v>408</v>
      </c>
      <c r="E46" s="417">
        <f>+D51</f>
        <v>1</v>
      </c>
      <c r="H46" s="377"/>
      <c r="J46" s="417" t="s">
        <v>182</v>
      </c>
      <c r="K46" s="356"/>
      <c r="L46" s="356"/>
      <c r="M46" s="356"/>
      <c r="N46" s="356"/>
      <c r="O46" s="356"/>
      <c r="P46" s="356"/>
      <c r="Q46" s="356"/>
      <c r="R46" s="356"/>
      <c r="S46" s="356"/>
      <c r="T46" s="356"/>
      <c r="U46" s="418">
        <f>11000/193000000</f>
        <v>5.6994818652849744E-5</v>
      </c>
      <c r="V46">
        <f>POWER(1+Invoerblad!$E$75,E45)</f>
        <v>1</v>
      </c>
      <c r="W46" s="386">
        <f>+(E46-V46)/E46</f>
        <v>0</v>
      </c>
    </row>
    <row r="47" spans="1:24" ht="15" x14ac:dyDescent="0.25">
      <c r="E47" s="382"/>
      <c r="F47" s="167"/>
      <c r="G47" s="165"/>
    </row>
    <row r="48" spans="1:24" ht="15.75" thickBot="1" x14ac:dyDescent="0.3">
      <c r="D48" t="s">
        <v>191</v>
      </c>
      <c r="E48" s="382"/>
      <c r="F48" s="167"/>
      <c r="G48" s="165"/>
    </row>
    <row r="49" spans="1:25" x14ac:dyDescent="0.2">
      <c r="B49" s="367"/>
      <c r="D49" s="419">
        <f>NPV(Invoerblad!$E$75,'Hulpberekeningen 2'!$E$24:$X$24)</f>
        <v>11</v>
      </c>
      <c r="E49" s="411"/>
      <c r="F49" s="411">
        <f t="shared" ref="F49:P49" si="6">IF(F24=0,0,IF(F24&gt;=$E$45,$E$45,IF(F24&lt;$E$45,F24,"klopt niet")))</f>
        <v>-2.7397260273972603E-3</v>
      </c>
      <c r="G49" s="411">
        <f t="shared" si="6"/>
        <v>-2.7397260273972603E-3</v>
      </c>
      <c r="H49" s="411">
        <f t="shared" si="6"/>
        <v>-2.7397260273972603E-3</v>
      </c>
      <c r="I49" s="411">
        <f t="shared" si="6"/>
        <v>-2.7397260273972603E-3</v>
      </c>
      <c r="J49" s="411">
        <f t="shared" si="6"/>
        <v>-2.7397260273972603E-3</v>
      </c>
      <c r="K49" s="411">
        <f t="shared" si="6"/>
        <v>-2.7397260273972603E-3</v>
      </c>
      <c r="L49" s="411">
        <f t="shared" si="6"/>
        <v>-2.7397260273972603E-3</v>
      </c>
      <c r="M49" s="411">
        <f t="shared" si="6"/>
        <v>-2.7397260273972603E-3</v>
      </c>
      <c r="N49" s="411">
        <f t="shared" si="6"/>
        <v>-2.7397260273972603E-3</v>
      </c>
      <c r="O49" s="411">
        <f t="shared" si="6"/>
        <v>-2.7397260273972603E-3</v>
      </c>
      <c r="P49" s="411">
        <f t="shared" si="6"/>
        <v>-2.73972602739736E-3</v>
      </c>
      <c r="Q49" s="411">
        <f>IF(Q24=0,0,IF(Q24&gt;=$E$45,$E$45,IF(Q24&lt;$E$45,Q24,"klopt niet")))</f>
        <v>0</v>
      </c>
      <c r="R49" s="411">
        <f t="shared" ref="R49:X49" si="7">IF(R24=0,0,IF(R24&gt;=$E$45,$E$45,IF(R24&lt;$E$45,R24,"klopt niet")))</f>
        <v>0</v>
      </c>
      <c r="S49" s="411">
        <f t="shared" si="7"/>
        <v>0</v>
      </c>
      <c r="T49" s="411">
        <f t="shared" si="7"/>
        <v>0</v>
      </c>
      <c r="U49" s="411">
        <f t="shared" si="7"/>
        <v>0</v>
      </c>
      <c r="V49" s="411">
        <f t="shared" si="7"/>
        <v>0</v>
      </c>
      <c r="W49" s="411">
        <f t="shared" si="7"/>
        <v>0</v>
      </c>
      <c r="X49" s="412">
        <f t="shared" si="7"/>
        <v>0</v>
      </c>
    </row>
    <row r="50" spans="1:25" ht="15" x14ac:dyDescent="0.25">
      <c r="D50" s="420">
        <f>NPV(Invoerblad!$E$75,'Hulpberekeningen 2'!F50:X50)</f>
        <v>0</v>
      </c>
      <c r="E50" s="387"/>
      <c r="F50" s="387">
        <f>(F49)-(F49)/(1+Invoerblad!$E$75)</f>
        <v>0</v>
      </c>
      <c r="G50" s="385">
        <f>(G49)-(G49)/(1+Invoerblad!$E$75)</f>
        <v>0</v>
      </c>
      <c r="H50" s="385">
        <f>(H49)-(H49)/(1+Invoerblad!$E$75)</f>
        <v>0</v>
      </c>
      <c r="I50" s="385">
        <f>(I49)-(I49)/(1+Invoerblad!$E$75)</f>
        <v>0</v>
      </c>
      <c r="J50" s="385">
        <f>(J49)-(J49)/(1+Invoerblad!$E$75)</f>
        <v>0</v>
      </c>
      <c r="K50" s="385">
        <f>(K49)-(K49)/(1+Invoerblad!$E$75)</f>
        <v>0</v>
      </c>
      <c r="L50" s="385">
        <f>(L49)-(L49)/(1+Invoerblad!$E$75)</f>
        <v>0</v>
      </c>
      <c r="M50" s="385">
        <f>(M49)-(M49)/(1+Invoerblad!$E$75)</f>
        <v>0</v>
      </c>
      <c r="N50" s="385">
        <f>(N49)-(N49)/(1+Invoerblad!$E$75)</f>
        <v>0</v>
      </c>
      <c r="O50" s="385">
        <f>(O49)-(O49)/(1+Invoerblad!$E$75)</f>
        <v>0</v>
      </c>
      <c r="P50" s="385">
        <f>(P49)-(P49)/(1+Invoerblad!$E$75)</f>
        <v>0</v>
      </c>
      <c r="Q50" s="385">
        <f>(Q49)-(Q49)/(1+Invoerblad!$E$75)</f>
        <v>0</v>
      </c>
      <c r="R50" s="385">
        <f>(R49)-(R49)/(1+Invoerblad!$E$75)</f>
        <v>0</v>
      </c>
      <c r="S50" s="385">
        <f>(S49)-(S49)/(1+Invoerblad!$E$75)</f>
        <v>0</v>
      </c>
      <c r="T50" s="385">
        <f>(T49)-(T49)/(1+Invoerblad!$E$75)</f>
        <v>0</v>
      </c>
      <c r="U50" s="385">
        <f>(U49)-(U49)/(1+Invoerblad!$E$75)</f>
        <v>0</v>
      </c>
      <c r="V50" s="385">
        <f>(V49)-(V49)/(1+Invoerblad!$E$75)</f>
        <v>0</v>
      </c>
      <c r="W50" s="385">
        <f>(W49)-(W49)/(1+Invoerblad!$E$75)</f>
        <v>0</v>
      </c>
      <c r="X50" s="413">
        <f>(X49)-(X49)/(1+Invoerblad!$E$75)</f>
        <v>0</v>
      </c>
    </row>
    <row r="51" spans="1:25" ht="15.75" thickBot="1" x14ac:dyDescent="0.3">
      <c r="D51" s="426">
        <f>1+D50/D49</f>
        <v>1</v>
      </c>
      <c r="E51" s="414"/>
      <c r="F51" s="415"/>
      <c r="G51" s="416"/>
      <c r="H51" s="29"/>
      <c r="I51" s="29"/>
      <c r="J51" s="29"/>
      <c r="K51" s="29"/>
      <c r="L51" s="29"/>
      <c r="M51" s="29"/>
      <c r="N51" s="29"/>
      <c r="O51" s="29"/>
      <c r="P51" s="29"/>
      <c r="Q51" s="29"/>
      <c r="R51" s="29"/>
      <c r="S51" s="29"/>
      <c r="T51" s="29"/>
      <c r="U51" s="29"/>
      <c r="V51" s="29"/>
      <c r="W51" s="29"/>
      <c r="X51" s="50"/>
    </row>
    <row r="52" spans="1:25" x14ac:dyDescent="0.2">
      <c r="E52" s="153"/>
    </row>
    <row r="55" spans="1:25" ht="13.5" thickBot="1" x14ac:dyDescent="0.25"/>
    <row r="56" spans="1:25" ht="15" x14ac:dyDescent="0.25">
      <c r="A56" t="s">
        <v>192</v>
      </c>
      <c r="B56" s="421" t="s">
        <v>272</v>
      </c>
      <c r="C56" s="38"/>
      <c r="D56" s="38"/>
      <c r="E56" s="369">
        <f>IF(E3&gt;E2,+(E3-E2)/365,0)</f>
        <v>0</v>
      </c>
      <c r="F56" s="38" t="s">
        <v>146</v>
      </c>
      <c r="G56" s="38"/>
      <c r="I56" t="s">
        <v>273</v>
      </c>
    </row>
    <row r="57" spans="1:25" ht="15.75" thickBot="1" x14ac:dyDescent="0.3">
      <c r="B57" s="38"/>
      <c r="C57" s="38"/>
      <c r="D57" s="38"/>
      <c r="E57" s="423">
        <f>1/POWER(1+Invoerblad!$E$75,E56)</f>
        <v>1</v>
      </c>
      <c r="F57" s="38"/>
      <c r="G57" s="38"/>
      <c r="I57" t="s">
        <v>274</v>
      </c>
    </row>
    <row r="58" spans="1:25" x14ac:dyDescent="0.2">
      <c r="B58" s="38"/>
      <c r="C58" s="38"/>
      <c r="D58" s="38"/>
      <c r="E58" s="38"/>
      <c r="F58" s="38"/>
      <c r="G58" s="38"/>
    </row>
    <row r="61" spans="1:25" x14ac:dyDescent="0.2">
      <c r="A61" s="2" t="s">
        <v>188</v>
      </c>
      <c r="B61" s="410" t="s">
        <v>188</v>
      </c>
      <c r="C61" s="361"/>
      <c r="D61" s="361" t="s">
        <v>257</v>
      </c>
      <c r="E61" s="361"/>
      <c r="F61" s="361"/>
      <c r="G61" s="361"/>
      <c r="H61" s="361"/>
      <c r="I61" s="361"/>
      <c r="J61" s="361"/>
      <c r="K61" s="361"/>
      <c r="L61" s="361"/>
      <c r="M61" s="361" t="s">
        <v>245</v>
      </c>
      <c r="N61" s="361"/>
      <c r="O61" s="361"/>
      <c r="P61" s="361"/>
      <c r="Q61" s="361"/>
      <c r="R61" s="361"/>
      <c r="S61" s="361"/>
      <c r="T61" s="361"/>
      <c r="U61" s="361"/>
      <c r="V61" s="361"/>
      <c r="W61" s="361"/>
      <c r="X61" s="361"/>
      <c r="Y61" s="357"/>
    </row>
    <row r="62" spans="1:25" x14ac:dyDescent="0.2">
      <c r="B62" s="358" t="s">
        <v>244</v>
      </c>
      <c r="C62" s="6" t="s">
        <v>258</v>
      </c>
      <c r="D62" s="6" t="s">
        <v>256</v>
      </c>
      <c r="E62" s="6" t="s">
        <v>61</v>
      </c>
      <c r="F62" s="6"/>
      <c r="G62" s="6"/>
      <c r="H62" s="6"/>
      <c r="I62" s="6"/>
      <c r="J62" s="6"/>
      <c r="K62" s="6"/>
      <c r="L62" s="6"/>
      <c r="M62" s="6"/>
      <c r="N62" s="6"/>
      <c r="O62" s="6"/>
      <c r="P62" s="6"/>
      <c r="Q62" s="6" t="s">
        <v>263</v>
      </c>
      <c r="R62" s="6"/>
      <c r="S62" s="6"/>
      <c r="T62" s="6"/>
      <c r="U62" s="6"/>
      <c r="V62" s="6" t="s">
        <v>268</v>
      </c>
      <c r="W62" s="6"/>
      <c r="X62" s="6" t="s">
        <v>270</v>
      </c>
      <c r="Y62" s="359"/>
    </row>
    <row r="63" spans="1:25" ht="13.5" thickBot="1" x14ac:dyDescent="0.25">
      <c r="B63" s="358"/>
      <c r="C63" s="6"/>
      <c r="D63" s="6"/>
      <c r="E63" s="6">
        <f>+E23</f>
        <v>0</v>
      </c>
      <c r="F63" s="6">
        <f t="shared" ref="F63:L63" si="8">+F23</f>
        <v>0</v>
      </c>
      <c r="G63" s="6">
        <f t="shared" si="8"/>
        <v>0</v>
      </c>
      <c r="H63" s="6">
        <f t="shared" si="8"/>
        <v>0</v>
      </c>
      <c r="I63" s="6">
        <f t="shared" si="8"/>
        <v>0</v>
      </c>
      <c r="J63" s="6">
        <f t="shared" si="8"/>
        <v>0</v>
      </c>
      <c r="K63" s="6">
        <f t="shared" si="8"/>
        <v>0</v>
      </c>
      <c r="L63" s="6">
        <f t="shared" si="8"/>
        <v>0</v>
      </c>
      <c r="M63" s="6" t="s">
        <v>259</v>
      </c>
      <c r="N63" s="6" t="s">
        <v>260</v>
      </c>
      <c r="O63" s="6" t="s">
        <v>261</v>
      </c>
      <c r="P63" s="6"/>
      <c r="Q63" s="6" t="s">
        <v>262</v>
      </c>
      <c r="R63" s="6" t="s">
        <v>264</v>
      </c>
      <c r="S63" s="6" t="s">
        <v>265</v>
      </c>
      <c r="T63" s="6" t="s">
        <v>266</v>
      </c>
      <c r="U63" s="6" t="s">
        <v>267</v>
      </c>
      <c r="V63" s="6" t="s">
        <v>269</v>
      </c>
      <c r="W63" s="6"/>
      <c r="X63" s="6" t="s">
        <v>271</v>
      </c>
      <c r="Y63" s="359"/>
    </row>
    <row r="64" spans="1:25" ht="13.5" thickBot="1" x14ac:dyDescent="0.25">
      <c r="B64" s="358" t="s">
        <v>243</v>
      </c>
      <c r="C64" s="395">
        <f>E64/1.0224+F64/(1.0224*1.0224)</f>
        <v>193.47523149678807</v>
      </c>
      <c r="D64" s="380">
        <v>193.47523149678807</v>
      </c>
      <c r="E64" s="6">
        <v>100</v>
      </c>
      <c r="F64" s="6">
        <v>100</v>
      </c>
      <c r="G64" s="6"/>
      <c r="H64" s="6"/>
      <c r="I64" s="6"/>
      <c r="J64" s="6"/>
      <c r="K64" s="6"/>
      <c r="L64" s="6"/>
      <c r="M64" s="6">
        <v>12</v>
      </c>
      <c r="N64" s="396">
        <v>39814</v>
      </c>
      <c r="O64" s="396">
        <v>39814</v>
      </c>
      <c r="P64" s="6"/>
      <c r="Q64" s="6">
        <v>0.5</v>
      </c>
      <c r="R64" s="6">
        <v>0</v>
      </c>
      <c r="S64" s="6">
        <v>0.5</v>
      </c>
      <c r="T64" s="6">
        <f>SUM(Q64:S64)</f>
        <v>1</v>
      </c>
      <c r="U64" s="6">
        <f>T64-1</f>
        <v>0</v>
      </c>
      <c r="V64" s="397">
        <f>1/POWER(1+Invoerblad!$E$75,'Hulpberekeningen 2'!U64)</f>
        <v>1</v>
      </c>
      <c r="W64" s="6"/>
      <c r="X64" s="6"/>
      <c r="Y64" s="359"/>
    </row>
    <row r="65" spans="2:28" ht="13.5" thickBot="1" x14ac:dyDescent="0.25">
      <c r="B65" s="358" t="s">
        <v>246</v>
      </c>
      <c r="C65" s="395">
        <f>E65/1.0224+F65/(1.0224*1.0224)</f>
        <v>193.47523149678807</v>
      </c>
      <c r="D65" s="378">
        <v>193.47523149678807</v>
      </c>
      <c r="E65" s="6">
        <v>100</v>
      </c>
      <c r="F65" s="6">
        <v>100</v>
      </c>
      <c r="G65" s="6"/>
      <c r="H65" s="6"/>
      <c r="I65" s="6"/>
      <c r="J65" s="6"/>
      <c r="K65" s="6"/>
      <c r="L65" s="6"/>
      <c r="M65" s="6">
        <v>6</v>
      </c>
      <c r="N65" s="396">
        <v>39814</v>
      </c>
      <c r="O65" s="396">
        <v>39814</v>
      </c>
      <c r="P65" s="6"/>
      <c r="Q65" s="6">
        <v>0.5</v>
      </c>
      <c r="R65" s="6"/>
      <c r="S65" s="6">
        <v>0.5</v>
      </c>
      <c r="T65" s="6">
        <f t="shared" ref="T65:T76" si="9">SUM(Q65:S65)</f>
        <v>1</v>
      </c>
      <c r="U65" s="6">
        <f t="shared" ref="U65:U76" si="10">T65-1</f>
        <v>0</v>
      </c>
      <c r="V65" s="397">
        <f>1/POWER(1+Invoerblad!$E$75,'Hulpberekeningen 2'!U65)</f>
        <v>1</v>
      </c>
      <c r="W65" s="6"/>
      <c r="X65" s="6"/>
      <c r="Y65" s="359"/>
    </row>
    <row r="66" spans="2:28" ht="13.5" thickBot="1" x14ac:dyDescent="0.25">
      <c r="B66" s="358" t="s">
        <v>247</v>
      </c>
      <c r="C66" s="398">
        <f>(E66/1.0224+F66/(1.0224*1.0224))*V66</f>
        <v>193.47523149678807</v>
      </c>
      <c r="D66" s="379">
        <v>192.40668837975733</v>
      </c>
      <c r="E66" s="6">
        <v>100</v>
      </c>
      <c r="F66" s="6">
        <v>100</v>
      </c>
      <c r="G66" s="6"/>
      <c r="H66" s="6"/>
      <c r="I66" s="6"/>
      <c r="J66" s="6"/>
      <c r="K66" s="6"/>
      <c r="L66" s="6"/>
      <c r="M66" s="6">
        <v>18</v>
      </c>
      <c r="N66" s="396">
        <v>39814</v>
      </c>
      <c r="O66" s="396">
        <v>39814</v>
      </c>
      <c r="P66" s="6"/>
      <c r="Q66" s="6">
        <v>0.75</v>
      </c>
      <c r="R66" s="6"/>
      <c r="S66" s="6">
        <v>0.5</v>
      </c>
      <c r="T66" s="6">
        <f t="shared" si="9"/>
        <v>1.25</v>
      </c>
      <c r="U66" s="399">
        <f t="shared" si="10"/>
        <v>0.25</v>
      </c>
      <c r="V66" s="397">
        <f>1/POWER(1+Invoerblad!$E$75,'Hulpberekeningen 2'!U66)</f>
        <v>1</v>
      </c>
      <c r="W66" s="6"/>
      <c r="X66" s="400">
        <f t="shared" ref="X66:X74" si="11">+D66-C66</f>
        <v>-1.0685431170307425</v>
      </c>
      <c r="Y66" s="359"/>
    </row>
    <row r="67" spans="2:28" ht="13.5" thickBot="1" x14ac:dyDescent="0.25">
      <c r="B67" s="358" t="s">
        <v>248</v>
      </c>
      <c r="C67" s="6">
        <v>193.47523149678807</v>
      </c>
      <c r="D67" s="378">
        <v>193.47523149678807</v>
      </c>
      <c r="E67" s="401">
        <v>50.410958904109584</v>
      </c>
      <c r="F67" s="401">
        <v>100</v>
      </c>
      <c r="G67" s="401">
        <v>49.589041095890416</v>
      </c>
      <c r="H67" s="6"/>
      <c r="I67" s="6"/>
      <c r="J67" s="6"/>
      <c r="K67" s="6"/>
      <c r="L67" s="6"/>
      <c r="M67" s="6">
        <v>12</v>
      </c>
      <c r="N67" s="396">
        <v>39995</v>
      </c>
      <c r="O67" s="396">
        <v>39995</v>
      </c>
      <c r="P67" s="6"/>
      <c r="Q67" s="6">
        <v>0.5</v>
      </c>
      <c r="R67" s="6"/>
      <c r="S67" s="6">
        <v>0.5</v>
      </c>
      <c r="T67" s="6">
        <f t="shared" si="9"/>
        <v>1</v>
      </c>
      <c r="U67" s="399">
        <f t="shared" si="10"/>
        <v>0</v>
      </c>
      <c r="V67" s="397">
        <f>1/POWER(1+Invoerblad!$E$75,'Hulpberekeningen 2'!U67)</f>
        <v>1</v>
      </c>
      <c r="W67" s="6"/>
      <c r="X67" s="400">
        <f t="shared" si="11"/>
        <v>0</v>
      </c>
      <c r="Y67" s="402">
        <f t="shared" ref="Y67:Y74" si="12">+X67/C67</f>
        <v>0</v>
      </c>
    </row>
    <row r="68" spans="2:28" ht="13.5" thickBot="1" x14ac:dyDescent="0.25">
      <c r="B68" s="358" t="s">
        <v>249</v>
      </c>
      <c r="C68" s="6">
        <v>193.47523149678807</v>
      </c>
      <c r="D68" s="378">
        <v>193.4752314967881</v>
      </c>
      <c r="E68" s="6">
        <v>25.205479452054792</v>
      </c>
      <c r="F68" s="6">
        <v>100</v>
      </c>
      <c r="G68" s="6">
        <v>74.794520547945211</v>
      </c>
      <c r="H68" s="6"/>
      <c r="I68" s="6"/>
      <c r="J68" s="6"/>
      <c r="K68" s="6"/>
      <c r="L68" s="6"/>
      <c r="M68" s="6">
        <v>12</v>
      </c>
      <c r="N68" s="396">
        <v>40087</v>
      </c>
      <c r="O68" s="396">
        <v>40087</v>
      </c>
      <c r="P68" s="6"/>
      <c r="Q68" s="6">
        <v>0.5</v>
      </c>
      <c r="R68" s="6"/>
      <c r="S68" s="6">
        <v>0.5</v>
      </c>
      <c r="T68" s="6">
        <f t="shared" si="9"/>
        <v>1</v>
      </c>
      <c r="U68" s="399">
        <f t="shared" si="10"/>
        <v>0</v>
      </c>
      <c r="V68" s="397">
        <f>1/POWER(1+Invoerblad!$E$75,'Hulpberekeningen 2'!U68)</f>
        <v>1</v>
      </c>
      <c r="W68" s="6"/>
      <c r="X68" s="400">
        <f t="shared" si="11"/>
        <v>0</v>
      </c>
      <c r="Y68" s="402">
        <f t="shared" si="12"/>
        <v>0</v>
      </c>
    </row>
    <row r="69" spans="2:28" ht="13.5" thickBot="1" x14ac:dyDescent="0.25">
      <c r="B69" s="358" t="s">
        <v>250</v>
      </c>
      <c r="C69" s="383">
        <v>192.40668837975733</v>
      </c>
      <c r="D69" s="378">
        <v>192.40668837975733</v>
      </c>
      <c r="E69" s="6">
        <v>50.410958904109584</v>
      </c>
      <c r="F69" s="6">
        <v>100</v>
      </c>
      <c r="G69" s="6">
        <v>49.589041095890416</v>
      </c>
      <c r="H69" s="6"/>
      <c r="I69" s="6"/>
      <c r="J69" s="6"/>
      <c r="K69" s="6"/>
      <c r="L69" s="6"/>
      <c r="M69" s="6">
        <v>18</v>
      </c>
      <c r="N69" s="396">
        <v>39995</v>
      </c>
      <c r="O69" s="396">
        <v>39995</v>
      </c>
      <c r="P69" s="6"/>
      <c r="Q69" s="6">
        <v>0.75</v>
      </c>
      <c r="R69" s="6"/>
      <c r="S69" s="6">
        <v>0.5</v>
      </c>
      <c r="T69" s="6">
        <f t="shared" si="9"/>
        <v>1.25</v>
      </c>
      <c r="U69" s="399">
        <f t="shared" si="10"/>
        <v>0.25</v>
      </c>
      <c r="V69" s="397">
        <f>1/POWER(1+Invoerblad!$E$75,'Hulpberekeningen 2'!U69)</f>
        <v>1</v>
      </c>
      <c r="W69" s="6"/>
      <c r="X69" s="400">
        <f t="shared" si="11"/>
        <v>0</v>
      </c>
      <c r="Y69" s="402">
        <f t="shared" si="12"/>
        <v>0</v>
      </c>
    </row>
    <row r="70" spans="2:28" ht="13.5" thickBot="1" x14ac:dyDescent="0.25">
      <c r="B70" s="358" t="s">
        <v>251</v>
      </c>
      <c r="C70" s="383">
        <v>192.40668837975733</v>
      </c>
      <c r="D70" s="378">
        <v>192.40668837975736</v>
      </c>
      <c r="E70" s="6">
        <v>25.205479452054792</v>
      </c>
      <c r="F70" s="6">
        <v>100</v>
      </c>
      <c r="G70" s="6">
        <v>74.794520547945211</v>
      </c>
      <c r="H70" s="6"/>
      <c r="I70" s="6"/>
      <c r="J70" s="6"/>
      <c r="K70" s="6"/>
      <c r="L70" s="6"/>
      <c r="M70" s="6">
        <v>18</v>
      </c>
      <c r="N70" s="396">
        <v>40087</v>
      </c>
      <c r="O70" s="396">
        <v>40087</v>
      </c>
      <c r="P70" s="6"/>
      <c r="Q70" s="6">
        <v>0.75</v>
      </c>
      <c r="R70" s="6"/>
      <c r="S70" s="6">
        <v>0.5</v>
      </c>
      <c r="T70" s="6">
        <f t="shared" si="9"/>
        <v>1.25</v>
      </c>
      <c r="U70" s="399">
        <f t="shared" si="10"/>
        <v>0.25</v>
      </c>
      <c r="V70" s="397">
        <f>1/POWER(1+Invoerblad!$E$75,'Hulpberekeningen 2'!U70)</f>
        <v>1</v>
      </c>
      <c r="W70" s="6"/>
      <c r="X70" s="400">
        <f t="shared" si="11"/>
        <v>0</v>
      </c>
      <c r="Y70" s="402">
        <f t="shared" si="12"/>
        <v>0</v>
      </c>
    </row>
    <row r="71" spans="2:28" ht="13.5" thickBot="1" x14ac:dyDescent="0.25">
      <c r="B71" s="358" t="s">
        <v>187</v>
      </c>
      <c r="C71" s="378">
        <v>240.64485785118345</v>
      </c>
      <c r="D71" s="378">
        <v>241.08490250484599</v>
      </c>
      <c r="E71" s="6">
        <v>50.410958904109584</v>
      </c>
      <c r="F71" s="6">
        <v>100</v>
      </c>
      <c r="G71" s="6">
        <v>100</v>
      </c>
      <c r="H71" s="6"/>
      <c r="I71" s="6" t="s">
        <v>183</v>
      </c>
      <c r="J71" s="6"/>
      <c r="K71" s="6"/>
      <c r="L71" s="6"/>
      <c r="M71" s="6">
        <v>12</v>
      </c>
      <c r="N71" s="396">
        <v>39814</v>
      </c>
      <c r="O71" s="396">
        <v>39995</v>
      </c>
      <c r="P71" s="6"/>
      <c r="Q71" s="6">
        <v>0.5</v>
      </c>
      <c r="R71" s="6"/>
      <c r="S71" s="6">
        <v>0.5</v>
      </c>
      <c r="T71" s="6">
        <f t="shared" si="9"/>
        <v>1</v>
      </c>
      <c r="U71" s="399">
        <f t="shared" si="10"/>
        <v>0</v>
      </c>
      <c r="V71" s="397">
        <f>1/POWER(1+Invoerblad!$E$75,'Hulpberekeningen 2'!U71)</f>
        <v>1</v>
      </c>
      <c r="W71" s="6"/>
      <c r="X71" s="400">
        <f t="shared" si="11"/>
        <v>0.44004465366253953</v>
      </c>
      <c r="Y71" s="403">
        <f t="shared" si="12"/>
        <v>1.8286060944409058E-3</v>
      </c>
    </row>
    <row r="72" spans="2:28" ht="13.5" thickBot="1" x14ac:dyDescent="0.25">
      <c r="B72" s="358" t="s">
        <v>252</v>
      </c>
      <c r="C72" s="378">
        <f>+D71*V72</f>
        <v>241.08490250484599</v>
      </c>
      <c r="D72" s="378">
        <v>239.75341624069409</v>
      </c>
      <c r="E72" s="6">
        <v>50.410958904109584</v>
      </c>
      <c r="F72" s="6">
        <v>100</v>
      </c>
      <c r="G72" s="6">
        <v>100</v>
      </c>
      <c r="H72" s="6"/>
      <c r="I72" s="6"/>
      <c r="J72" s="6"/>
      <c r="K72" s="6"/>
      <c r="L72" s="6"/>
      <c r="M72" s="6">
        <v>18</v>
      </c>
      <c r="N72" s="396">
        <v>39814</v>
      </c>
      <c r="O72" s="396">
        <v>39995</v>
      </c>
      <c r="P72" s="6"/>
      <c r="Q72" s="6">
        <v>0.75</v>
      </c>
      <c r="R72" s="6"/>
      <c r="S72" s="6">
        <v>0.5</v>
      </c>
      <c r="T72" s="6">
        <f>SUM(Q72:S72)</f>
        <v>1.25</v>
      </c>
      <c r="U72" s="399">
        <f t="shared" si="10"/>
        <v>0.25</v>
      </c>
      <c r="V72" s="397">
        <f>1/POWER(1+Invoerblad!$E$75,'Hulpberekeningen 2'!U72)</f>
        <v>1</v>
      </c>
      <c r="W72" s="6"/>
      <c r="X72" s="400">
        <f t="shared" si="11"/>
        <v>-1.3314862641518914</v>
      </c>
      <c r="Y72" s="402">
        <f t="shared" si="12"/>
        <v>-5.5228935960646795E-3</v>
      </c>
    </row>
    <row r="73" spans="2:28" ht="15.75" thickBot="1" x14ac:dyDescent="0.3">
      <c r="B73" s="358" t="s">
        <v>253</v>
      </c>
      <c r="C73" s="404">
        <f>193.475231496788*V73</f>
        <v>193.47523149678801</v>
      </c>
      <c r="D73" s="378">
        <v>191.36146726159694</v>
      </c>
      <c r="E73" s="6">
        <v>50.410958904109584</v>
      </c>
      <c r="F73" s="6">
        <v>100</v>
      </c>
      <c r="G73" s="6">
        <v>49.589041095890416</v>
      </c>
      <c r="H73" s="6"/>
      <c r="I73" s="6"/>
      <c r="J73" s="6"/>
      <c r="K73" s="6"/>
      <c r="L73" s="6"/>
      <c r="M73" s="6">
        <v>12</v>
      </c>
      <c r="N73" s="396">
        <v>39995</v>
      </c>
      <c r="O73" s="396">
        <v>39814</v>
      </c>
      <c r="P73" s="6"/>
      <c r="Q73" s="6">
        <v>0.5</v>
      </c>
      <c r="R73" s="369">
        <v>0.49589041095890413</v>
      </c>
      <c r="S73" s="6">
        <v>0.5</v>
      </c>
      <c r="T73" s="6">
        <f t="shared" si="9"/>
        <v>1.4958904109589042</v>
      </c>
      <c r="U73" s="399">
        <f t="shared" si="10"/>
        <v>0.49589041095890418</v>
      </c>
      <c r="V73" s="397">
        <f>1/POWER(1+Invoerblad!$E$75,'Hulpberekeningen 2'!U73)</f>
        <v>1</v>
      </c>
      <c r="W73" s="6"/>
      <c r="X73" s="400">
        <f t="shared" si="11"/>
        <v>-2.1137642351910699</v>
      </c>
      <c r="Y73" s="402">
        <f t="shared" si="12"/>
        <v>-1.0925244636423456E-2</v>
      </c>
    </row>
    <row r="74" spans="2:28" ht="15.75" thickBot="1" x14ac:dyDescent="0.3">
      <c r="B74" s="358" t="s">
        <v>254</v>
      </c>
      <c r="C74" s="378">
        <v>190.30459823952441</v>
      </c>
      <c r="D74" s="378">
        <v>190.30459823952432</v>
      </c>
      <c r="E74" s="6">
        <v>50.410958904109584</v>
      </c>
      <c r="F74" s="6">
        <v>100</v>
      </c>
      <c r="G74" s="6">
        <v>49.589041095890416</v>
      </c>
      <c r="H74" s="6"/>
      <c r="I74" s="6"/>
      <c r="J74" s="6"/>
      <c r="K74" s="6"/>
      <c r="L74" s="6"/>
      <c r="M74" s="6">
        <v>18</v>
      </c>
      <c r="N74" s="396">
        <v>39995</v>
      </c>
      <c r="O74" s="396">
        <v>39814</v>
      </c>
      <c r="P74" s="6"/>
      <c r="Q74" s="6">
        <v>0.75</v>
      </c>
      <c r="R74" s="369">
        <v>0.49589041095890413</v>
      </c>
      <c r="S74" s="6">
        <v>0.5</v>
      </c>
      <c r="T74" s="6">
        <f t="shared" si="9"/>
        <v>1.7458904109589042</v>
      </c>
      <c r="U74" s="399">
        <f t="shared" si="10"/>
        <v>0.74589041095890418</v>
      </c>
      <c r="V74" s="397">
        <f>1/POWER(1+Invoerblad!$E$75,'Hulpberekeningen 2'!U74)</f>
        <v>1</v>
      </c>
      <c r="W74" s="6"/>
      <c r="X74" s="400">
        <f t="shared" si="11"/>
        <v>0</v>
      </c>
      <c r="Y74" s="402">
        <f t="shared" si="12"/>
        <v>0</v>
      </c>
    </row>
    <row r="75" spans="2:28" ht="13.5" thickBot="1" x14ac:dyDescent="0.25">
      <c r="B75" s="358" t="s">
        <v>255</v>
      </c>
      <c r="C75" s="395">
        <v>191.32662774960852</v>
      </c>
      <c r="D75" s="378">
        <v>191.32662774960852</v>
      </c>
      <c r="E75" s="6">
        <v>100</v>
      </c>
      <c r="F75" s="6">
        <v>100</v>
      </c>
      <c r="G75" s="6">
        <v>0</v>
      </c>
      <c r="H75" s="6"/>
      <c r="I75" s="6"/>
      <c r="J75" s="6"/>
      <c r="K75" s="6"/>
      <c r="L75" s="6"/>
      <c r="M75" s="6">
        <v>12</v>
      </c>
      <c r="N75" s="396">
        <v>39814</v>
      </c>
      <c r="O75" s="396">
        <v>39630</v>
      </c>
      <c r="P75" s="6"/>
      <c r="Q75" s="6">
        <v>0.5</v>
      </c>
      <c r="R75" s="6">
        <v>0.50410958904109593</v>
      </c>
      <c r="S75" s="6">
        <v>0.5</v>
      </c>
      <c r="T75" s="6">
        <f t="shared" si="9"/>
        <v>1.504109589041096</v>
      </c>
      <c r="U75" s="399">
        <f t="shared" si="10"/>
        <v>0.50410958904109604</v>
      </c>
      <c r="V75" s="397">
        <f>1/POWER(1+Invoerblad!$E$75,'Hulpberekeningen 2'!U75)</f>
        <v>1</v>
      </c>
      <c r="W75" s="6"/>
      <c r="X75" s="6"/>
      <c r="Y75" s="405"/>
      <c r="Z75" s="377"/>
      <c r="AA75" s="377"/>
      <c r="AB75" s="377"/>
    </row>
    <row r="76" spans="2:28" ht="13.5" thickBot="1" x14ac:dyDescent="0.25">
      <c r="B76" s="358" t="s">
        <v>193</v>
      </c>
      <c r="C76" s="6"/>
      <c r="D76" s="378">
        <f>NPV(Invoerblad!$E$75,E76:L76)*'Hulpberekeningen 2'!$E$39*'Hulpberekeningen 2'!$E$46*$E$57</f>
        <v>0</v>
      </c>
      <c r="E76" s="6"/>
      <c r="F76" s="6"/>
      <c r="G76" s="6"/>
      <c r="H76" s="6"/>
      <c r="I76" s="6"/>
      <c r="J76" s="6"/>
      <c r="K76" s="6"/>
      <c r="L76" s="6"/>
      <c r="M76" s="37">
        <v>12</v>
      </c>
      <c r="N76" s="396">
        <v>39904</v>
      </c>
      <c r="O76" s="396">
        <v>40210</v>
      </c>
      <c r="P76" s="6"/>
      <c r="Q76" s="37">
        <v>0.5</v>
      </c>
      <c r="R76" s="37">
        <v>0</v>
      </c>
      <c r="S76" s="37">
        <v>0.5</v>
      </c>
      <c r="T76" s="6">
        <f t="shared" si="9"/>
        <v>1</v>
      </c>
      <c r="U76" s="399">
        <f t="shared" si="10"/>
        <v>0</v>
      </c>
      <c r="V76" s="397">
        <f>1/POWER(1+Invoerblad!$E$75,'Hulpberekeningen 2'!U76)</f>
        <v>1</v>
      </c>
      <c r="W76" s="6"/>
      <c r="X76" s="6"/>
      <c r="Y76" s="359"/>
    </row>
    <row r="77" spans="2:28" ht="13.5" thickBot="1" x14ac:dyDescent="0.25">
      <c r="B77" s="358" t="s">
        <v>183</v>
      </c>
      <c r="C77" s="6"/>
      <c r="D77" s="378">
        <f>NPV(Invoerblad!$E$75,E77:L77)*'Hulpberekeningen 2'!$E$39*'Hulpberekeningen 2'!$E$46*$E$57</f>
        <v>0</v>
      </c>
      <c r="E77" s="6"/>
      <c r="F77" s="6"/>
      <c r="G77" s="6"/>
      <c r="H77" s="6"/>
      <c r="I77" s="6"/>
      <c r="J77" s="6"/>
      <c r="K77" s="6"/>
      <c r="L77" s="6"/>
      <c r="M77" s="6"/>
      <c r="N77" s="396"/>
      <c r="O77" s="396"/>
      <c r="P77" s="6"/>
      <c r="Q77" s="6"/>
      <c r="R77" s="6"/>
      <c r="S77" s="6"/>
      <c r="T77" s="6"/>
      <c r="U77" s="6"/>
      <c r="V77" s="397"/>
      <c r="W77" s="6"/>
      <c r="X77" s="6"/>
      <c r="Y77" s="359"/>
    </row>
    <row r="78" spans="2:28" x14ac:dyDescent="0.2">
      <c r="B78" s="358"/>
      <c r="C78" s="6"/>
      <c r="D78" s="6"/>
      <c r="E78" s="6"/>
      <c r="F78" s="6"/>
      <c r="G78" s="6"/>
      <c r="H78" s="6"/>
      <c r="I78" s="6"/>
      <c r="J78" s="6"/>
      <c r="K78" s="6"/>
      <c r="L78" s="6"/>
      <c r="M78" s="6"/>
      <c r="N78" s="396"/>
      <c r="O78" s="396"/>
      <c r="P78" s="6"/>
      <c r="Q78" s="6"/>
      <c r="R78" s="6"/>
      <c r="S78" s="6"/>
      <c r="T78" s="6"/>
      <c r="U78" s="6"/>
      <c r="V78" s="6"/>
      <c r="W78" s="6"/>
      <c r="X78" s="6"/>
      <c r="Y78" s="359"/>
    </row>
    <row r="79" spans="2:28" x14ac:dyDescent="0.2">
      <c r="B79" s="358"/>
      <c r="C79" s="6"/>
      <c r="D79" s="6"/>
      <c r="E79" s="6"/>
      <c r="F79" s="6"/>
      <c r="G79" s="6"/>
      <c r="H79" s="6"/>
      <c r="I79" s="6"/>
      <c r="J79" s="6"/>
      <c r="K79" s="6"/>
      <c r="L79" s="6"/>
      <c r="M79" s="6"/>
      <c r="N79" s="6"/>
      <c r="O79" s="6"/>
      <c r="P79" s="6"/>
      <c r="Q79" s="6"/>
      <c r="R79" s="6"/>
      <c r="S79" s="6"/>
      <c r="T79" s="6"/>
      <c r="U79" s="6"/>
      <c r="V79" s="6"/>
      <c r="W79" s="6"/>
      <c r="X79" s="6"/>
      <c r="Y79" s="359"/>
    </row>
    <row r="80" spans="2:28" x14ac:dyDescent="0.2">
      <c r="B80" s="358"/>
      <c r="C80" s="6"/>
      <c r="D80" s="406"/>
      <c r="E80" s="6"/>
      <c r="F80" s="6"/>
      <c r="G80" s="6"/>
      <c r="H80" s="6"/>
      <c r="I80" s="6"/>
      <c r="J80" s="6"/>
      <c r="K80" s="6"/>
      <c r="L80" s="6"/>
      <c r="M80" s="6"/>
      <c r="N80" s="6"/>
      <c r="O80" s="6"/>
      <c r="P80" s="6"/>
      <c r="Q80" s="6"/>
      <c r="R80" s="6"/>
      <c r="S80" s="6"/>
      <c r="T80" s="6"/>
      <c r="U80" s="6"/>
      <c r="V80" s="6"/>
      <c r="W80" s="6"/>
      <c r="X80" s="6"/>
      <c r="Y80" s="359"/>
    </row>
    <row r="81" spans="2:25" x14ac:dyDescent="0.2">
      <c r="B81" s="358"/>
      <c r="C81" s="6"/>
      <c r="D81" s="6"/>
      <c r="E81" s="6"/>
      <c r="F81" s="6"/>
      <c r="G81" s="6"/>
      <c r="H81" s="6"/>
      <c r="I81" s="6"/>
      <c r="J81" s="6"/>
      <c r="K81" s="6"/>
      <c r="L81" s="6"/>
      <c r="M81" s="6"/>
      <c r="N81" s="6"/>
      <c r="O81" s="6"/>
      <c r="P81" s="6"/>
      <c r="Q81" s="6"/>
      <c r="R81" s="6"/>
      <c r="S81" s="6"/>
      <c r="T81" s="6"/>
      <c r="U81" s="6"/>
      <c r="V81" s="6"/>
      <c r="W81" s="6"/>
      <c r="X81" s="6"/>
      <c r="Y81" s="359"/>
    </row>
    <row r="82" spans="2:25" x14ac:dyDescent="0.2">
      <c r="B82" s="407"/>
      <c r="C82" s="37"/>
      <c r="D82" s="37"/>
      <c r="E82" s="6">
        <v>1</v>
      </c>
      <c r="F82" s="6">
        <v>2</v>
      </c>
      <c r="G82" s="6">
        <v>3</v>
      </c>
      <c r="H82" s="6">
        <v>4</v>
      </c>
      <c r="I82" s="6">
        <v>5</v>
      </c>
      <c r="J82" s="6">
        <v>6</v>
      </c>
      <c r="K82" s="6">
        <v>7</v>
      </c>
      <c r="L82" s="6">
        <v>8</v>
      </c>
      <c r="M82" s="6">
        <v>9</v>
      </c>
      <c r="N82" s="6">
        <v>10</v>
      </c>
      <c r="O82" s="6">
        <v>11</v>
      </c>
      <c r="P82" s="6">
        <v>12</v>
      </c>
      <c r="Q82" s="6">
        <v>13</v>
      </c>
      <c r="R82" s="6"/>
      <c r="S82" s="6"/>
      <c r="T82" s="6"/>
      <c r="U82" s="6"/>
      <c r="V82" s="6"/>
      <c r="W82" s="6"/>
      <c r="X82" s="6"/>
      <c r="Y82" s="359"/>
    </row>
    <row r="83" spans="2:25" ht="13.5" thickBot="1" x14ac:dyDescent="0.25">
      <c r="B83" s="392" t="s">
        <v>185</v>
      </c>
      <c r="C83" s="37"/>
      <c r="D83" s="37"/>
      <c r="E83" s="6">
        <v>100</v>
      </c>
      <c r="F83" s="6">
        <v>100</v>
      </c>
      <c r="G83" s="6">
        <v>100</v>
      </c>
      <c r="H83" s="6">
        <v>100</v>
      </c>
      <c r="I83" s="6">
        <v>100</v>
      </c>
      <c r="J83" s="6">
        <v>100</v>
      </c>
      <c r="K83" s="6">
        <v>100</v>
      </c>
      <c r="L83" s="6">
        <v>100</v>
      </c>
      <c r="M83" s="6">
        <v>100</v>
      </c>
      <c r="N83" s="6">
        <v>100</v>
      </c>
      <c r="O83" s="6">
        <v>100</v>
      </c>
      <c r="P83" s="6">
        <v>50.410958899999997</v>
      </c>
      <c r="Q83" s="6"/>
      <c r="R83" s="6"/>
      <c r="S83" s="6"/>
      <c r="T83" s="6"/>
      <c r="U83" s="6"/>
      <c r="V83" s="6"/>
      <c r="W83" s="6"/>
      <c r="X83" s="6"/>
      <c r="Y83" s="359"/>
    </row>
    <row r="84" spans="2:25" ht="13.5" thickBot="1" x14ac:dyDescent="0.25">
      <c r="B84" s="393" t="s">
        <v>184</v>
      </c>
      <c r="C84" s="37"/>
      <c r="D84" s="378">
        <f>SUM(E84:P84)</f>
        <v>1150.4109589</v>
      </c>
      <c r="E84" s="37">
        <f>+E83/(POWER(1+Invoerblad!$E$75,'Hulpberekeningen 2'!E82))</f>
        <v>100</v>
      </c>
      <c r="F84" s="37">
        <f>+F83/(POWER(1+Invoerblad!$E$75,'Hulpberekeningen 2'!F82))</f>
        <v>100</v>
      </c>
      <c r="G84" s="37">
        <f>+G83/(POWER(1+Invoerblad!$E$75,'Hulpberekeningen 2'!G82))</f>
        <v>100</v>
      </c>
      <c r="H84" s="37">
        <f>+H83/(POWER(1+Invoerblad!$E$75,'Hulpberekeningen 2'!H82))</f>
        <v>100</v>
      </c>
      <c r="I84" s="37">
        <f>+I83/(POWER(1+Invoerblad!$E$75,'Hulpberekeningen 2'!I82))</f>
        <v>100</v>
      </c>
      <c r="J84" s="37">
        <f>+J83/(POWER(1+Invoerblad!$E$75,'Hulpberekeningen 2'!J82))</f>
        <v>100</v>
      </c>
      <c r="K84" s="37">
        <f>+K83/(POWER(1+Invoerblad!$E$75,'Hulpberekeningen 2'!K82))</f>
        <v>100</v>
      </c>
      <c r="L84" s="37">
        <f>+L83/(POWER(1+Invoerblad!$E$75,'Hulpberekeningen 2'!L82))</f>
        <v>100</v>
      </c>
      <c r="M84" s="37">
        <f>+M83/(POWER(1+Invoerblad!$E$75,'Hulpberekeningen 2'!M82))</f>
        <v>100</v>
      </c>
      <c r="N84" s="37">
        <f>+N83/(POWER(1+Invoerblad!$E$75,'Hulpberekeningen 2'!N82))</f>
        <v>100</v>
      </c>
      <c r="O84" s="37">
        <f>+O83/(POWER(1+Invoerblad!$E$75,'Hulpberekeningen 2'!O82))</f>
        <v>100</v>
      </c>
      <c r="P84" s="37">
        <f>+P83/(POWER(1+Invoerblad!$E$75,'Hulpberekeningen 2'!P82))</f>
        <v>50.410958899999997</v>
      </c>
      <c r="Q84" s="6"/>
      <c r="R84" s="6"/>
      <c r="S84" s="6"/>
      <c r="T84" s="6"/>
      <c r="U84" s="6"/>
      <c r="V84" s="6"/>
      <c r="W84" s="6"/>
      <c r="X84" s="6"/>
      <c r="Y84" s="359"/>
    </row>
    <row r="85" spans="2:25" ht="13.5" thickBot="1" x14ac:dyDescent="0.25">
      <c r="B85" s="407"/>
      <c r="C85" s="37"/>
      <c r="D85" s="37"/>
      <c r="E85" s="37"/>
      <c r="F85" s="37"/>
      <c r="G85" s="37"/>
      <c r="H85" s="37"/>
      <c r="I85" s="37"/>
      <c r="J85" s="37"/>
      <c r="K85" s="37"/>
      <c r="L85" s="37"/>
      <c r="M85" s="37"/>
      <c r="N85" s="37"/>
      <c r="O85" s="6"/>
      <c r="P85" s="6"/>
      <c r="Q85" s="6"/>
      <c r="R85" s="6"/>
      <c r="S85" s="6"/>
      <c r="T85" s="6"/>
      <c r="U85" s="6"/>
      <c r="V85" s="6"/>
      <c r="W85" s="6"/>
      <c r="X85" s="6"/>
      <c r="Y85" s="359"/>
    </row>
    <row r="86" spans="2:25" ht="13.5" thickBot="1" x14ac:dyDescent="0.25">
      <c r="B86" s="394" t="s">
        <v>186</v>
      </c>
      <c r="C86" s="37"/>
      <c r="D86" s="378">
        <v>1004.0999507870112</v>
      </c>
      <c r="E86" s="6">
        <v>50.410958899999997</v>
      </c>
      <c r="F86" s="6">
        <v>100</v>
      </c>
      <c r="G86" s="6">
        <v>100</v>
      </c>
      <c r="H86" s="6">
        <v>100</v>
      </c>
      <c r="I86" s="6">
        <v>100</v>
      </c>
      <c r="J86" s="6">
        <v>100</v>
      </c>
      <c r="K86" s="6">
        <v>100</v>
      </c>
      <c r="L86" s="6">
        <v>100</v>
      </c>
      <c r="M86" s="6">
        <v>100</v>
      </c>
      <c r="N86" s="6">
        <v>100</v>
      </c>
      <c r="O86" s="6">
        <v>100</v>
      </c>
      <c r="P86" s="6">
        <v>100</v>
      </c>
      <c r="Q86" s="6"/>
      <c r="R86" s="6"/>
      <c r="S86" s="6"/>
      <c r="T86" s="6"/>
      <c r="U86" s="6"/>
      <c r="V86" s="6"/>
      <c r="W86" s="6"/>
      <c r="X86" s="6"/>
      <c r="Y86" s="359"/>
    </row>
    <row r="87" spans="2:25" x14ac:dyDescent="0.2">
      <c r="B87" s="407"/>
      <c r="C87" s="37"/>
      <c r="D87" s="37"/>
      <c r="E87" s="37"/>
      <c r="F87" s="37"/>
      <c r="G87" s="37"/>
      <c r="H87" s="37"/>
      <c r="I87" s="37"/>
      <c r="J87" s="37"/>
      <c r="K87" s="37"/>
      <c r="L87" s="37"/>
      <c r="M87" s="37"/>
      <c r="N87" s="37"/>
      <c r="O87" s="6"/>
      <c r="P87" s="6"/>
      <c r="Q87" s="6"/>
      <c r="R87" s="6"/>
      <c r="S87" s="6"/>
      <c r="T87" s="6"/>
      <c r="U87" s="6"/>
      <c r="V87" s="6"/>
      <c r="W87" s="6"/>
      <c r="X87" s="6"/>
      <c r="Y87" s="359"/>
    </row>
    <row r="88" spans="2:25" x14ac:dyDescent="0.2">
      <c r="B88" s="408"/>
      <c r="C88" s="409"/>
      <c r="D88" s="409"/>
      <c r="E88" s="409"/>
      <c r="F88" s="409"/>
      <c r="G88" s="409"/>
      <c r="H88" s="409"/>
      <c r="I88" s="409"/>
      <c r="J88" s="409"/>
      <c r="K88" s="409"/>
      <c r="L88" s="409"/>
      <c r="M88" s="409"/>
      <c r="N88" s="409"/>
      <c r="O88" s="362"/>
      <c r="P88" s="362"/>
      <c r="Q88" s="362"/>
      <c r="R88" s="362"/>
      <c r="S88" s="362"/>
      <c r="T88" s="362"/>
      <c r="U88" s="362"/>
      <c r="V88" s="362"/>
      <c r="W88" s="362"/>
      <c r="X88" s="362"/>
      <c r="Y88" s="360"/>
    </row>
    <row r="89" spans="2:25" x14ac:dyDescent="0.2">
      <c r="B89" s="38"/>
      <c r="C89" s="38"/>
      <c r="D89" s="38"/>
      <c r="E89" s="38"/>
      <c r="F89" s="38"/>
      <c r="G89" s="38"/>
      <c r="H89" s="38"/>
      <c r="I89" s="38"/>
      <c r="J89" s="38"/>
      <c r="K89" s="38"/>
      <c r="L89" s="38"/>
      <c r="M89" s="38"/>
      <c r="N89" s="38"/>
    </row>
    <row r="90" spans="2:25" x14ac:dyDescent="0.2">
      <c r="B90" s="38"/>
      <c r="C90" s="38"/>
      <c r="D90" s="38"/>
      <c r="E90" s="38"/>
      <c r="F90" s="38"/>
      <c r="G90" s="38"/>
      <c r="H90" s="38"/>
      <c r="I90" s="38"/>
      <c r="J90" s="38"/>
      <c r="K90" s="38"/>
      <c r="L90" s="38"/>
      <c r="M90" s="38"/>
      <c r="N90" s="38"/>
    </row>
    <row r="91" spans="2:25" x14ac:dyDescent="0.2">
      <c r="B91" s="38"/>
      <c r="C91" s="38"/>
      <c r="D91" s="38"/>
      <c r="E91" s="38"/>
      <c r="F91" s="38"/>
      <c r="G91" s="38"/>
      <c r="H91" s="38"/>
      <c r="I91" s="38"/>
      <c r="J91" s="38"/>
      <c r="K91" s="38"/>
      <c r="L91" s="38"/>
      <c r="M91" s="38"/>
      <c r="N91" s="38"/>
    </row>
    <row r="92" spans="2:25" x14ac:dyDescent="0.2">
      <c r="B92" s="38"/>
      <c r="C92" s="38"/>
      <c r="D92" s="38"/>
      <c r="E92" s="38"/>
      <c r="F92" s="38"/>
      <c r="G92" s="38"/>
      <c r="H92" s="38"/>
      <c r="I92" s="38"/>
      <c r="J92" s="38"/>
      <c r="K92" s="38"/>
      <c r="L92" s="38"/>
      <c r="M92" s="38"/>
      <c r="N92" s="38"/>
    </row>
    <row r="93" spans="2:25" x14ac:dyDescent="0.2">
      <c r="B93" s="38"/>
      <c r="C93" s="38"/>
      <c r="D93" s="388"/>
      <c r="E93" s="38"/>
      <c r="F93" s="38"/>
      <c r="G93" s="38"/>
      <c r="H93" s="38"/>
      <c r="I93" s="38"/>
      <c r="J93" s="38"/>
      <c r="K93" s="38"/>
      <c r="L93" s="38"/>
      <c r="M93" s="38"/>
      <c r="N93" s="38"/>
    </row>
    <row r="94" spans="2:25" x14ac:dyDescent="0.2">
      <c r="B94" s="38"/>
      <c r="C94" s="38"/>
      <c r="D94" s="38"/>
      <c r="E94" s="38"/>
      <c r="F94" s="38"/>
      <c r="G94" s="38"/>
      <c r="H94" s="38"/>
      <c r="I94" s="38"/>
      <c r="J94" s="38"/>
      <c r="K94" s="38"/>
      <c r="L94" s="38"/>
      <c r="M94" s="38"/>
      <c r="N94" s="38"/>
    </row>
    <row r="95" spans="2:25" x14ac:dyDescent="0.2">
      <c r="B95" s="38"/>
      <c r="C95" s="38"/>
      <c r="D95" s="38"/>
      <c r="E95" s="38"/>
      <c r="F95" s="38"/>
      <c r="G95" s="38"/>
      <c r="H95" s="38"/>
      <c r="I95" s="38"/>
      <c r="J95" s="38"/>
      <c r="K95" s="38"/>
      <c r="L95" s="38"/>
      <c r="M95" s="38"/>
      <c r="N95" s="38"/>
    </row>
    <row r="96" spans="2:25" x14ac:dyDescent="0.2">
      <c r="B96" s="38"/>
      <c r="C96" s="38"/>
      <c r="D96" s="38"/>
      <c r="E96" s="38"/>
      <c r="F96" s="38"/>
      <c r="G96" s="38"/>
      <c r="H96" s="38"/>
      <c r="I96" s="38"/>
      <c r="J96" s="38"/>
      <c r="K96" s="38"/>
      <c r="L96" s="38"/>
      <c r="M96" s="38"/>
      <c r="N96" s="38"/>
    </row>
    <row r="97" spans="2:14" x14ac:dyDescent="0.2">
      <c r="B97" s="38"/>
      <c r="C97" s="38"/>
      <c r="D97" s="38"/>
      <c r="E97" s="38"/>
      <c r="F97" s="38"/>
      <c r="G97" s="38"/>
      <c r="H97" s="38"/>
      <c r="I97" s="38"/>
      <c r="J97" s="38"/>
      <c r="K97" s="38"/>
      <c r="L97" s="38"/>
      <c r="M97" s="38"/>
      <c r="N97" s="38"/>
    </row>
    <row r="98" spans="2:14" x14ac:dyDescent="0.2">
      <c r="B98" s="38"/>
      <c r="C98" s="38"/>
      <c r="D98" s="38"/>
      <c r="E98" s="38"/>
      <c r="F98" s="38"/>
      <c r="G98" s="38"/>
      <c r="H98" s="38"/>
      <c r="I98" s="38"/>
      <c r="J98" s="38"/>
      <c r="K98" s="38"/>
      <c r="L98" s="38"/>
      <c r="M98" s="38"/>
      <c r="N98" s="38"/>
    </row>
    <row r="99" spans="2:14" x14ac:dyDescent="0.2">
      <c r="B99" s="38"/>
      <c r="C99" s="38"/>
      <c r="D99" s="38"/>
      <c r="E99" s="38"/>
      <c r="F99" s="38"/>
      <c r="G99" s="38"/>
      <c r="H99" s="38"/>
      <c r="I99" s="38"/>
      <c r="J99" s="38"/>
      <c r="K99" s="38"/>
      <c r="L99" s="38"/>
      <c r="M99" s="38"/>
      <c r="N99" s="38"/>
    </row>
    <row r="100" spans="2:14" x14ac:dyDescent="0.2">
      <c r="B100" s="38"/>
      <c r="C100" s="38"/>
      <c r="D100" s="38"/>
      <c r="E100" s="38"/>
      <c r="F100" s="38"/>
      <c r="G100" s="38"/>
      <c r="H100" s="38"/>
      <c r="I100" s="38"/>
      <c r="J100" s="38"/>
      <c r="K100" s="38"/>
      <c r="L100" s="38"/>
      <c r="M100" s="38"/>
      <c r="N100" s="38"/>
    </row>
    <row r="101" spans="2:14" x14ac:dyDescent="0.2">
      <c r="B101" s="38"/>
      <c r="C101" s="388"/>
      <c r="D101" s="38"/>
      <c r="E101" s="38"/>
      <c r="F101" s="38"/>
      <c r="G101" s="38"/>
      <c r="H101" s="38"/>
      <c r="I101" s="38"/>
      <c r="J101" s="38"/>
      <c r="K101" s="38"/>
      <c r="L101" s="38"/>
      <c r="M101" s="38"/>
      <c r="N101" s="38"/>
    </row>
    <row r="102" spans="2:14" x14ac:dyDescent="0.2">
      <c r="B102" s="38"/>
      <c r="C102" s="38"/>
      <c r="D102" s="38"/>
      <c r="E102" s="38"/>
      <c r="F102" s="38"/>
      <c r="G102" s="38"/>
      <c r="H102" s="38"/>
      <c r="I102" s="38"/>
      <c r="J102" s="38"/>
      <c r="K102" s="38"/>
      <c r="L102" s="38"/>
      <c r="M102" s="38"/>
      <c r="N102" s="38"/>
    </row>
    <row r="103" spans="2:14" x14ac:dyDescent="0.2">
      <c r="B103" s="38"/>
      <c r="C103" s="38"/>
      <c r="D103" s="389"/>
      <c r="E103" s="390"/>
      <c r="F103" s="390"/>
      <c r="G103" s="38"/>
      <c r="H103" s="38"/>
      <c r="I103" s="38"/>
      <c r="J103" s="38"/>
      <c r="K103" s="38"/>
      <c r="L103" s="38"/>
      <c r="M103" s="38"/>
      <c r="N103" s="38"/>
    </row>
    <row r="104" spans="2:14" x14ac:dyDescent="0.2">
      <c r="B104" s="38"/>
      <c r="C104" s="38"/>
      <c r="D104" s="38"/>
      <c r="E104" s="38"/>
      <c r="F104" s="38"/>
      <c r="G104" s="38"/>
      <c r="H104" s="38"/>
      <c r="I104" s="38"/>
      <c r="J104" s="38"/>
      <c r="K104" s="38"/>
      <c r="L104" s="38"/>
      <c r="M104" s="38"/>
      <c r="N104" s="38"/>
    </row>
    <row r="105" spans="2:14" x14ac:dyDescent="0.2">
      <c r="B105" s="38"/>
      <c r="C105" s="391"/>
      <c r="D105" s="38"/>
      <c r="E105" s="38"/>
      <c r="F105" s="38"/>
      <c r="G105" s="38"/>
      <c r="H105" s="38"/>
      <c r="I105" s="38"/>
      <c r="J105" s="38"/>
      <c r="K105" s="38"/>
      <c r="L105" s="38"/>
      <c r="M105" s="38"/>
      <c r="N105" s="38"/>
    </row>
    <row r="106" spans="2:14" x14ac:dyDescent="0.2">
      <c r="B106" s="38"/>
      <c r="C106" s="38"/>
      <c r="D106" s="38"/>
      <c r="E106" s="38"/>
      <c r="F106" s="38"/>
      <c r="G106" s="38"/>
      <c r="H106" s="38"/>
      <c r="I106" s="38"/>
      <c r="J106" s="38"/>
      <c r="K106" s="38"/>
      <c r="L106" s="38"/>
      <c r="M106" s="38"/>
      <c r="N106" s="38"/>
    </row>
    <row r="107" spans="2:14" x14ac:dyDescent="0.2">
      <c r="B107" s="38"/>
      <c r="C107" s="38"/>
      <c r="D107" s="38"/>
      <c r="E107" s="38"/>
      <c r="F107" s="38"/>
      <c r="G107" s="38"/>
      <c r="H107" s="38"/>
      <c r="I107" s="38"/>
      <c r="J107" s="38"/>
      <c r="K107" s="38"/>
      <c r="L107" s="38"/>
      <c r="M107" s="38"/>
      <c r="N107" s="38"/>
    </row>
    <row r="108" spans="2:14" x14ac:dyDescent="0.2">
      <c r="B108" s="38"/>
      <c r="C108" s="38"/>
      <c r="D108" s="38"/>
      <c r="E108" s="38"/>
      <c r="F108" s="38"/>
      <c r="G108" s="38"/>
      <c r="H108" s="38"/>
      <c r="I108" s="38"/>
      <c r="J108" s="38"/>
      <c r="K108" s="38"/>
      <c r="L108" s="38"/>
      <c r="M108" s="38"/>
      <c r="N108" s="38"/>
    </row>
    <row r="109" spans="2:14" x14ac:dyDescent="0.2">
      <c r="B109" s="38"/>
      <c r="C109" s="38"/>
      <c r="D109" s="38"/>
      <c r="E109" s="38"/>
      <c r="F109" s="38"/>
      <c r="G109" s="38"/>
      <c r="H109" s="38"/>
      <c r="I109" s="38"/>
      <c r="J109" s="38"/>
      <c r="K109" s="38"/>
      <c r="L109" s="38"/>
      <c r="M109" s="38"/>
      <c r="N109" s="38"/>
    </row>
  </sheetData>
  <customSheetViews>
    <customSheetView guid="{D98A0717-74D0-4F54-BB8F-A337A1A9E4DF}" showRuler="0">
      <selection activeCell="B24" sqref="B24"/>
      <pageMargins left="0.75" right="0.75" top="1" bottom="1" header="0.5" footer="0.5"/>
      <headerFooter alignWithMargins="0"/>
    </customSheetView>
    <customSheetView guid="{5D986420-B83B-47C8-8160-784F77FFC196}" showRuler="0">
      <selection activeCell="B24" sqref="B24"/>
      <pageMargins left="0.75" right="0.75" top="1" bottom="1" header="0.5" footer="0.5"/>
      <headerFooter alignWithMargins="0"/>
    </customSheetView>
    <customSheetView guid="{C9029B8D-126A-43F1-8BE9-BB8A7DE12FBF}" showRuler="0">
      <selection activeCell="B24" sqref="B24"/>
      <pageMargins left="0.75" right="0.75" top="1" bottom="1" header="0.5" footer="0.5"/>
      <headerFooter alignWithMargins="0"/>
    </customSheetView>
    <customSheetView guid="{4284377C-91E6-4152-887E-8DA87560FDD6}" showRuler="0">
      <selection activeCell="B24" sqref="B24"/>
      <pageMargins left="0.75" right="0.75" top="1" bottom="1" header="0.5" footer="0.5"/>
      <headerFooter alignWithMargins="0"/>
    </customSheetView>
    <customSheetView guid="{546B9E27-05F9-47A7-B161-BCC56D613799}" showRuler="0">
      <selection activeCell="B24" sqref="B24"/>
      <pageMargins left="0.75" right="0.75" top="1" bottom="1" header="0.5" footer="0.5"/>
      <headerFooter alignWithMargins="0"/>
    </customSheetView>
  </customSheetViews>
  <phoneticPr fontId="34" type="noConversion"/>
  <pageMargins left="0.75" right="0.75" top="1" bottom="1" header="0.5" footer="0.5"/>
  <pageSetup paperSize="9" scale="42"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6</vt:i4>
      </vt:variant>
    </vt:vector>
  </HeadingPairs>
  <TitlesOfParts>
    <vt:vector size="18" baseType="lpstr">
      <vt:lpstr>Invoerblad</vt:lpstr>
      <vt:lpstr>VAMIL voordeel</vt:lpstr>
      <vt:lpstr>Invoerblad  bij lease</vt:lpstr>
      <vt:lpstr>exploitatieoverzicht Biomassa</vt:lpstr>
      <vt:lpstr>Overzicht MSK toets</vt:lpstr>
      <vt:lpstr>hulp</vt:lpstr>
      <vt:lpstr>Exploitatiecontrole</vt:lpstr>
      <vt:lpstr>Hulpberekeningen 1</vt:lpstr>
      <vt:lpstr>Hulpberekeningen 2</vt:lpstr>
      <vt:lpstr>Samenvatting en uitgangspunten</vt:lpstr>
      <vt:lpstr>Toelichting</vt:lpstr>
      <vt:lpstr>Rendement geinv. vermogen</vt:lpstr>
      <vt:lpstr>Invoerblad!Afdrukbereik</vt:lpstr>
      <vt:lpstr>inv_bl_A</vt:lpstr>
      <vt:lpstr>invbl_B1</vt:lpstr>
      <vt:lpstr>invbl_b2</vt:lpstr>
      <vt:lpstr>msktoets</vt:lpstr>
      <vt:lpstr>sde_ronde</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Winter</dc:creator>
  <cp:lastModifiedBy>Korterink - Bartelds, E. (Esther)</cp:lastModifiedBy>
  <cp:lastPrinted>2011-07-27T11:52:16Z</cp:lastPrinted>
  <dcterms:created xsi:type="dcterms:W3CDTF">2001-10-29T12:18:33Z</dcterms:created>
  <dcterms:modified xsi:type="dcterms:W3CDTF">2020-06-12T09:18:44Z</dcterms:modified>
</cp:coreProperties>
</file>