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T:\rvo\kai\Expertteams\Content algemeen\Publiceren MIJNrvo\Contentmigratie\Ingevulde sjablonen\SDE\"/>
    </mc:Choice>
  </mc:AlternateContent>
  <xr:revisionPtr revIDLastSave="0" documentId="8_{EC52863A-65A9-41A8-8D36-BCBB9683E492}" xr6:coauthVersionLast="44" xr6:coauthVersionMax="44" xr10:uidLastSave="{00000000-0000-0000-0000-000000000000}"/>
  <bookViews>
    <workbookView xWindow="-108" yWindow="-108" windowWidth="18648" windowHeight="9984" tabRatio="787" xr2:uid="{00000000-000D-0000-FFFF-FFFF00000000}"/>
  </bookViews>
  <sheets>
    <sheet name="Invoerblad" sheetId="1" r:id="rId1"/>
    <sheet name="Afwijkingen-Opmerkingen" sheetId="16" r:id="rId2"/>
    <sheet name="Overzicht MSK toets" sheetId="3" r:id="rId3"/>
    <sheet name="Toelichting" sheetId="4" r:id="rId4"/>
    <sheet name="exploitatieoverzicht wind" sheetId="9" state="hidden" r:id="rId5"/>
    <sheet name="Samenvatting en uitgangspunten" sheetId="11" r:id="rId6"/>
    <sheet name="Stamblad" sheetId="15" r:id="rId7"/>
    <sheet name="Hulpberekeningen 1" sheetId="6" state="hidden" r:id="rId8"/>
    <sheet name="Hulpberekeningen 2" sheetId="7" state="hidden" r:id="rId9"/>
    <sheet name="Rendement geinv. vermogen" sheetId="13" state="hidden" r:id="rId10"/>
    <sheet name="VAMIL voordeel" sheetId="12" state="hidden" r:id="rId11"/>
    <sheet name="Invoerblad  bij lease" sheetId="10" state="hidden" r:id="rId12"/>
    <sheet name="exploitatieoverzicht Biomassa" sheetId="14" state="hidden" r:id="rId13"/>
  </sheets>
  <externalReferences>
    <externalReference r:id="rId14"/>
    <externalReference r:id="rId15"/>
  </externalReferences>
  <definedNames>
    <definedName name="_xlnm.Print_Area" localSheetId="0">Invoerblad!$A$1:$AL$113</definedName>
    <definedName name="Categorie">[1]Stamblad!$B$9:$B$39</definedName>
    <definedName name="inv_bl_A">Invoerblad!$A$3:$W$75</definedName>
    <definedName name="inv_bl_C" localSheetId="6">[2]Invoerblad!#REF!</definedName>
    <definedName name="inv_bl_C">Invoerblad!#REF!</definedName>
    <definedName name="invbl_B1">Invoerblad!$A$95:$W$99</definedName>
    <definedName name="invbl_b2">Invoerblad!$A$101:$W$113</definedName>
    <definedName name="lijst_categorien" localSheetId="6">#REF!</definedName>
    <definedName name="lijst_categorien">#REF!</definedName>
    <definedName name="msktoets">'Overzicht MSK toets'!$A$1:$M$92</definedName>
    <definedName name="sde_ronde">'Hulpberekeningen 1'!$M$53:$M$54</definedName>
    <definedName name="Z_4284377C_91E6_4152_887E_8DA87560FDD6_.wvu.Cols" localSheetId="0" hidden="1">Invoerblad!$F:$F,Invoerblad!$I:$J</definedName>
    <definedName name="Z_4284377C_91E6_4152_887E_8DA87560FDD6_.wvu.Rows" localSheetId="0" hidden="1">Invoerblad!#REF!,Invoerblad!#REF!,Invoerblad!#REF!</definedName>
    <definedName name="Z_4284377C_91E6_4152_887E_8DA87560FDD6_.wvu.Rows" localSheetId="11" hidden="1">'Invoerblad  bij lease'!$9:$10</definedName>
    <definedName name="Z_4284377C_91E6_4152_887E_8DA87560FDD6_.wvu.Rows" localSheetId="2" hidden="1">'Overzicht MSK toets'!$74:$74,'Overzicht MSK toets'!$77:$77</definedName>
    <definedName name="Z_546B9E27_05F9_47A7_B161_BCC56D613799_.wvu.Cols" localSheetId="0" hidden="1">Invoerblad!$F:$F,Invoerblad!$I:$J</definedName>
    <definedName name="Z_546B9E27_05F9_47A7_B161_BCC56D613799_.wvu.Rows" localSheetId="0" hidden="1">Invoerblad!#REF!,Invoerblad!#REF!,Invoerblad!#REF!</definedName>
    <definedName name="Z_546B9E27_05F9_47A7_B161_BCC56D613799_.wvu.Rows" localSheetId="11" hidden="1">'Invoerblad  bij lease'!$9:$10</definedName>
    <definedName name="Z_546B9E27_05F9_47A7_B161_BCC56D613799_.wvu.Rows" localSheetId="2" hidden="1">'Overzicht MSK toets'!$74:$74,'Overzicht MSK toets'!$77:$77</definedName>
    <definedName name="Z_5D986420_B83B_47C8_8160_784F77FFC196_.wvu.Cols" localSheetId="0" hidden="1">Invoerblad!$I:$J</definedName>
    <definedName name="Z_5D986420_B83B_47C8_8160_784F77FFC196_.wvu.Rows" localSheetId="0" hidden="1">Invoerblad!#REF!,Invoerblad!#REF!,Invoerblad!#REF!</definedName>
    <definedName name="Z_5D986420_B83B_47C8_8160_784F77FFC196_.wvu.Rows" localSheetId="11" hidden="1">'Invoerblad  bij lease'!$9:$10</definedName>
    <definedName name="Z_5D986420_B83B_47C8_8160_784F77FFC196_.wvu.Rows" localSheetId="2" hidden="1">'Overzicht MSK toets'!$74:$74,'Overzicht MSK toets'!$77:$77</definedName>
    <definedName name="Z_C9029B8D_126A_43F1_8BE9_BB8A7DE12FBF_.wvu.Cols" localSheetId="0" hidden="1">Invoerblad!$F:$F,Invoerblad!$I:$J</definedName>
    <definedName name="Z_C9029B8D_126A_43F1_8BE9_BB8A7DE12FBF_.wvu.Rows" localSheetId="0" hidden="1">Invoerblad!#REF!,Invoerblad!#REF!,Invoerblad!#REF!</definedName>
    <definedName name="Z_C9029B8D_126A_43F1_8BE9_BB8A7DE12FBF_.wvu.Rows" localSheetId="11" hidden="1">'Invoerblad  bij lease'!$9:$10</definedName>
    <definedName name="Z_C9029B8D_126A_43F1_8BE9_BB8A7DE12FBF_.wvu.Rows" localSheetId="2" hidden="1">'Overzicht MSK toets'!$74:$74,'Overzicht MSK toets'!$77:$77</definedName>
    <definedName name="Z_D98A0717_74D0_4F54_BB8F_A337A1A9E4DF_.wvu.Cols" localSheetId="0" hidden="1">Invoerblad!$F:$F,Invoerblad!$I:$J</definedName>
    <definedName name="Z_D98A0717_74D0_4F54_BB8F_A337A1A9E4DF_.wvu.Rows" localSheetId="0" hidden="1">Invoerblad!#REF!,Invoerblad!#REF!,Invoerblad!#REF!</definedName>
    <definedName name="Z_D98A0717_74D0_4F54_BB8F_A337A1A9E4DF_.wvu.Rows" localSheetId="11" hidden="1">'Invoerblad  bij lease'!$9:$10</definedName>
    <definedName name="Z_D98A0717_74D0_4F54_BB8F_A337A1A9E4DF_.wvu.Rows" localSheetId="2" hidden="1">'Overzicht MSK toets'!$74:$74,'Overzicht MSK toets'!$77:$77</definedName>
  </definedNames>
  <calcPr calcId="191029"/>
  <customWorkbookViews>
    <customWorkbookView name="Kasper Schoonen - Persoonlijke weergave" guid="{D98A0717-74D0-4F54-BB8F-A337A1A9E4DF}" mergeInterval="0" personalView="1" maximized="1" windowWidth="1113" windowHeight="658" tabRatio="787" activeSheetId="1"/>
    <customWorkbookView name="nwi - Persoonlijke weergave" guid="{5D986420-B83B-47C8-8160-784F77FFC196}" mergeInterval="0" personalView="1" maximized="1" windowWidth="1276" windowHeight="782" tabRatio="787" activeSheetId="3"/>
    <customWorkbookView name="mht - Persoonlijke weergave" guid="{C9029B8D-126A-43F1-8BE9-BB8A7DE12FBF}" mergeInterval="0" personalView="1" maximized="1" windowWidth="1268" windowHeight="854" tabRatio="787" activeSheetId="4"/>
    <customWorkbookView name="hbu - Persoonlijke weergave" guid="{4284377C-91E6-4152-887E-8DA87560FDD6}" mergeInterval="0" personalView="1" maximized="1" windowWidth="1276" windowHeight="836" tabRatio="787" activeSheetId="10"/>
    <customWorkbookView name="sang0001 - Persoonlijke weergave" guid="{546B9E27-05F9-47A7-B161-BCC56D613799}" mergeInterval="0" personalView="1" maximized="1" windowWidth="1276" windowHeight="864" tabRatio="78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1" l="1"/>
  <c r="D12" i="11"/>
  <c r="D11" i="11"/>
  <c r="C18" i="3"/>
  <c r="C17" i="3"/>
  <c r="C16" i="3"/>
  <c r="L81" i="1" l="1"/>
  <c r="M81" i="1" s="1"/>
  <c r="X26" i="6" l="1"/>
  <c r="H27" i="6" l="1"/>
  <c r="V34" i="6" s="1"/>
  <c r="I27" i="6"/>
  <c r="U34" i="6" s="1"/>
  <c r="J27" i="6"/>
  <c r="T34" i="6" s="1"/>
  <c r="K27" i="6"/>
  <c r="S34" i="6" s="1"/>
  <c r="L27" i="6"/>
  <c r="R34" i="6" s="1"/>
  <c r="M27" i="6"/>
  <c r="Q34" i="6" s="1"/>
  <c r="N27" i="6"/>
  <c r="P34" i="6" s="1"/>
  <c r="O27" i="6"/>
  <c r="O34" i="6" s="1"/>
  <c r="P27" i="6"/>
  <c r="N34" i="6" s="1"/>
  <c r="Q27" i="6"/>
  <c r="M34" i="6" s="1"/>
  <c r="R27" i="6"/>
  <c r="L34" i="6" s="1"/>
  <c r="S27" i="6"/>
  <c r="K34" i="6" s="1"/>
  <c r="T27" i="6"/>
  <c r="J34" i="6" s="1"/>
  <c r="U27" i="6"/>
  <c r="I34" i="6" s="1"/>
  <c r="V27" i="6"/>
  <c r="H34" i="6" s="1"/>
  <c r="W27" i="6"/>
  <c r="G34" i="6" s="1"/>
  <c r="X27" i="6"/>
  <c r="G27" i="6"/>
  <c r="W34" i="6" s="1"/>
  <c r="E51" i="1" l="1"/>
  <c r="J27" i="15" l="1"/>
  <c r="J26" i="15"/>
  <c r="E35" i="7" l="1"/>
  <c r="E36" i="7" s="1"/>
  <c r="E2" i="7"/>
  <c r="E3" i="7"/>
  <c r="D3" i="7" s="1"/>
  <c r="E1" i="7"/>
  <c r="E7" i="3"/>
  <c r="D16" i="3"/>
  <c r="D17" i="3"/>
  <c r="D18" i="3"/>
  <c r="D19" i="3"/>
  <c r="D20" i="3"/>
  <c r="D8" i="12"/>
  <c r="E8" i="12"/>
  <c r="F8" i="12"/>
  <c r="G8" i="12"/>
  <c r="H8" i="12"/>
  <c r="I8" i="12"/>
  <c r="J8" i="12"/>
  <c r="K8" i="12"/>
  <c r="L8" i="12"/>
  <c r="M8" i="12"/>
  <c r="N8" i="12"/>
  <c r="O8" i="12"/>
  <c r="P8" i="12"/>
  <c r="Q8" i="12"/>
  <c r="R8" i="12"/>
  <c r="B25" i="13"/>
  <c r="C25" i="13" s="1"/>
  <c r="B7" i="13"/>
  <c r="B3" i="13"/>
  <c r="F4" i="11"/>
  <c r="E11" i="11"/>
  <c r="E12" i="11"/>
  <c r="E13" i="11"/>
  <c r="E14" i="11"/>
  <c r="E15" i="11"/>
  <c r="AB99" i="1"/>
  <c r="AB111" i="1" s="1"/>
  <c r="AA84" i="1"/>
  <c r="AB84" i="1"/>
  <c r="AB85" i="1"/>
  <c r="L93" i="1"/>
  <c r="K93" i="1"/>
  <c r="L92" i="1"/>
  <c r="K92" i="1"/>
  <c r="E78" i="11"/>
  <c r="E77" i="11"/>
  <c r="E75" i="11"/>
  <c r="E72" i="11"/>
  <c r="E71" i="11"/>
  <c r="E70" i="11"/>
  <c r="E94" i="11"/>
  <c r="E93" i="11"/>
  <c r="E92" i="11"/>
  <c r="E91" i="11"/>
  <c r="E90" i="11"/>
  <c r="E88" i="11"/>
  <c r="E84" i="11"/>
  <c r="E68" i="11"/>
  <c r="E67" i="11"/>
  <c r="E66" i="11"/>
  <c r="E61" i="11"/>
  <c r="E60" i="11"/>
  <c r="E59" i="11"/>
  <c r="L89" i="1"/>
  <c r="L103" i="1" s="1"/>
  <c r="K89" i="1"/>
  <c r="K103" i="1" s="1"/>
  <c r="K54" i="1"/>
  <c r="C8" i="12" s="1"/>
  <c r="E44" i="1"/>
  <c r="E65" i="1" s="1"/>
  <c r="E73" i="11"/>
  <c r="T69" i="7"/>
  <c r="U69" i="7"/>
  <c r="V69" i="7"/>
  <c r="C69" i="7" s="1"/>
  <c r="X69" i="7" s="1"/>
  <c r="Y69" i="7" s="1"/>
  <c r="E81" i="7"/>
  <c r="F81" i="7"/>
  <c r="G81" i="7"/>
  <c r="H81" i="7"/>
  <c r="I81" i="7"/>
  <c r="J81" i="7"/>
  <c r="K81" i="7"/>
  <c r="L81" i="7"/>
  <c r="M81" i="7"/>
  <c r="N81" i="7"/>
  <c r="O81" i="7"/>
  <c r="P81" i="7"/>
  <c r="U43" i="7"/>
  <c r="E60" i="7"/>
  <c r="F60" i="7"/>
  <c r="G60" i="7"/>
  <c r="H60" i="7"/>
  <c r="I60" i="7"/>
  <c r="J60" i="7"/>
  <c r="T70" i="7"/>
  <c r="U70" i="7" s="1"/>
  <c r="V70" i="7" s="1"/>
  <c r="C70" i="7" s="1"/>
  <c r="X70" i="7" s="1"/>
  <c r="Y70" i="7" s="1"/>
  <c r="X71" i="7"/>
  <c r="Y71" i="7"/>
  <c r="X68" i="7"/>
  <c r="Y68" i="7"/>
  <c r="T68" i="7"/>
  <c r="U68" i="7"/>
  <c r="V68" i="7" s="1"/>
  <c r="T71" i="7"/>
  <c r="U71" i="7"/>
  <c r="V71" i="7"/>
  <c r="T72" i="7"/>
  <c r="U72" i="7"/>
  <c r="V72" i="7"/>
  <c r="T73" i="7"/>
  <c r="U73" i="7" s="1"/>
  <c r="V73" i="7" s="1"/>
  <c r="X67" i="7"/>
  <c r="Y67" i="7"/>
  <c r="T67" i="7"/>
  <c r="U67" i="7"/>
  <c r="V67" i="7"/>
  <c r="X66" i="7"/>
  <c r="Y66" i="7" s="1"/>
  <c r="T66" i="7"/>
  <c r="U66" i="7"/>
  <c r="V66" i="7"/>
  <c r="T64" i="7"/>
  <c r="U64" i="7"/>
  <c r="V64" i="7" s="1"/>
  <c r="T65" i="7"/>
  <c r="U65" i="7"/>
  <c r="V65" i="7" s="1"/>
  <c r="T63" i="7"/>
  <c r="U63" i="7"/>
  <c r="V63" i="7"/>
  <c r="C63" i="7" s="1"/>
  <c r="X63" i="7" s="1"/>
  <c r="X65" i="7"/>
  <c r="Y65" i="7"/>
  <c r="X64" i="7"/>
  <c r="Y64" i="7"/>
  <c r="C61" i="7"/>
  <c r="T62" i="7"/>
  <c r="U62" i="7"/>
  <c r="V62" i="7" s="1"/>
  <c r="T61" i="7"/>
  <c r="U61" i="7"/>
  <c r="V61" i="7"/>
  <c r="C62" i="7"/>
  <c r="K60" i="7"/>
  <c r="L60" i="7"/>
  <c r="F35" i="7"/>
  <c r="K85" i="1"/>
  <c r="K84" i="1"/>
  <c r="N9" i="7"/>
  <c r="O9" i="7"/>
  <c r="E68" i="1"/>
  <c r="B5" i="13" s="1"/>
  <c r="C9" i="14"/>
  <c r="D9" i="14"/>
  <c r="E9" i="14"/>
  <c r="F9" i="14"/>
  <c r="G9" i="14"/>
  <c r="H9" i="14"/>
  <c r="I9" i="14"/>
  <c r="J9" i="14"/>
  <c r="K9" i="14"/>
  <c r="L9" i="14"/>
  <c r="M9" i="14"/>
  <c r="N9" i="14"/>
  <c r="O9" i="14"/>
  <c r="C11" i="14"/>
  <c r="D11" i="14"/>
  <c r="E11" i="14"/>
  <c r="F11" i="14"/>
  <c r="G11" i="14"/>
  <c r="H11" i="14"/>
  <c r="I11" i="14"/>
  <c r="J11" i="14"/>
  <c r="K11" i="14"/>
  <c r="L11" i="14"/>
  <c r="M11" i="14"/>
  <c r="N11" i="14"/>
  <c r="O11" i="14"/>
  <c r="M25" i="14"/>
  <c r="N25" i="14"/>
  <c r="O25" i="14"/>
  <c r="D31" i="14"/>
  <c r="E31" i="14"/>
  <c r="F31" i="14"/>
  <c r="G31" i="14"/>
  <c r="H31" i="14"/>
  <c r="I31" i="14"/>
  <c r="J31" i="14"/>
  <c r="K31" i="14"/>
  <c r="L31" i="14"/>
  <c r="M31" i="14"/>
  <c r="N31" i="14"/>
  <c r="O31" i="14"/>
  <c r="D32" i="14"/>
  <c r="E32" i="14"/>
  <c r="F32" i="14"/>
  <c r="G32" i="14"/>
  <c r="H32" i="14"/>
  <c r="I32" i="14"/>
  <c r="J32" i="14"/>
  <c r="K32" i="14"/>
  <c r="L32" i="14"/>
  <c r="M32" i="14"/>
  <c r="N32" i="14"/>
  <c r="O32" i="14"/>
  <c r="B4" i="12"/>
  <c r="F1" i="10"/>
  <c r="C9" i="10"/>
  <c r="C11" i="10"/>
  <c r="C12" i="10"/>
  <c r="C18" i="10"/>
  <c r="C20" i="10" s="1"/>
  <c r="C19" i="10"/>
  <c r="C8" i="9"/>
  <c r="C10" i="9" s="1"/>
  <c r="C17" i="9" s="1"/>
  <c r="D8" i="9"/>
  <c r="D10" i="9" s="1"/>
  <c r="D17" i="9" s="1"/>
  <c r="E8" i="9"/>
  <c r="F8" i="9"/>
  <c r="G8" i="9"/>
  <c r="G10" i="9" s="1"/>
  <c r="G17" i="9" s="1"/>
  <c r="H8" i="9"/>
  <c r="H10" i="9" s="1"/>
  <c r="H17" i="9" s="1"/>
  <c r="I8" i="9"/>
  <c r="J8" i="9"/>
  <c r="K8" i="9"/>
  <c r="K10" i="9" s="1"/>
  <c r="K17" i="9" s="1"/>
  <c r="L8" i="9"/>
  <c r="L10" i="9" s="1"/>
  <c r="L17" i="9" s="1"/>
  <c r="M8" i="9"/>
  <c r="N8" i="9"/>
  <c r="O8" i="9"/>
  <c r="O10" i="9" s="1"/>
  <c r="O17" i="9" s="1"/>
  <c r="P8" i="9"/>
  <c r="P10" i="9" s="1"/>
  <c r="P17" i="9" s="1"/>
  <c r="Q8" i="9"/>
  <c r="C9" i="9"/>
  <c r="D9" i="9"/>
  <c r="E9" i="9"/>
  <c r="F9" i="9"/>
  <c r="G9" i="9"/>
  <c r="H9" i="9"/>
  <c r="I9" i="9"/>
  <c r="J9" i="9"/>
  <c r="K9" i="9"/>
  <c r="L9" i="9"/>
  <c r="M9" i="9"/>
  <c r="N9" i="9"/>
  <c r="O9" i="9"/>
  <c r="P9" i="9"/>
  <c r="Q9" i="9"/>
  <c r="E10" i="9"/>
  <c r="E17" i="9" s="1"/>
  <c r="F10" i="9"/>
  <c r="F17" i="9" s="1"/>
  <c r="I10" i="9"/>
  <c r="I17" i="9" s="1"/>
  <c r="J10" i="9"/>
  <c r="J17" i="9" s="1"/>
  <c r="M10" i="9"/>
  <c r="M17" i="9" s="1"/>
  <c r="N10" i="9"/>
  <c r="N17" i="9" s="1"/>
  <c r="Q10" i="9"/>
  <c r="Q17" i="9" s="1"/>
  <c r="C12" i="9"/>
  <c r="D12" i="9"/>
  <c r="E12" i="9"/>
  <c r="F12" i="9"/>
  <c r="G12" i="9"/>
  <c r="H12" i="9"/>
  <c r="I12" i="9"/>
  <c r="J12" i="9"/>
  <c r="K12" i="9"/>
  <c r="L12" i="9"/>
  <c r="M12" i="9"/>
  <c r="N12" i="9"/>
  <c r="O12" i="9"/>
  <c r="P12" i="9"/>
  <c r="Q12" i="9"/>
  <c r="C19" i="9"/>
  <c r="D19" i="9"/>
  <c r="D24" i="9" s="1"/>
  <c r="E19" i="9"/>
  <c r="E24" i="9" s="1"/>
  <c r="F19" i="9"/>
  <c r="G19" i="9"/>
  <c r="H19" i="9"/>
  <c r="H24" i="9" s="1"/>
  <c r="I19" i="9"/>
  <c r="I24" i="9" s="1"/>
  <c r="J19" i="9"/>
  <c r="K19" i="9"/>
  <c r="L19" i="9"/>
  <c r="L24" i="9" s="1"/>
  <c r="M19" i="9"/>
  <c r="M24" i="9" s="1"/>
  <c r="N19" i="9"/>
  <c r="O19" i="9"/>
  <c r="P19" i="9"/>
  <c r="P24" i="9" s="1"/>
  <c r="Q19" i="9"/>
  <c r="Q24" i="9" s="1"/>
  <c r="C20" i="9"/>
  <c r="D20" i="9"/>
  <c r="E20" i="9"/>
  <c r="F20" i="9"/>
  <c r="G20" i="9"/>
  <c r="H20" i="9"/>
  <c r="I20" i="9"/>
  <c r="J20" i="9"/>
  <c r="K20" i="9"/>
  <c r="L20" i="9"/>
  <c r="M20" i="9"/>
  <c r="N20" i="9"/>
  <c r="O20" i="9"/>
  <c r="P20" i="9"/>
  <c r="Q20" i="9"/>
  <c r="C24" i="9"/>
  <c r="F24" i="9"/>
  <c r="G24" i="9"/>
  <c r="J24" i="9"/>
  <c r="K24" i="9"/>
  <c r="N24" i="9"/>
  <c r="O24" i="9"/>
  <c r="D33" i="9"/>
  <c r="E33" i="9"/>
  <c r="F33" i="9"/>
  <c r="G33" i="9"/>
  <c r="H33" i="9"/>
  <c r="I33" i="9"/>
  <c r="J33" i="9"/>
  <c r="K33" i="9"/>
  <c r="L33" i="9"/>
  <c r="M33" i="9"/>
  <c r="N33" i="9"/>
  <c r="O33" i="9"/>
  <c r="P33" i="9"/>
  <c r="Q33" i="9"/>
  <c r="C44" i="9"/>
  <c r="D44" i="9" s="1"/>
  <c r="E44" i="9" s="1"/>
  <c r="F44" i="9" s="1"/>
  <c r="G44" i="9" s="1"/>
  <c r="H44" i="9" s="1"/>
  <c r="I44" i="9" s="1"/>
  <c r="J44" i="9" s="1"/>
  <c r="K44" i="9" s="1"/>
  <c r="L44" i="9" s="1"/>
  <c r="M44" i="9" s="1"/>
  <c r="N44" i="9" s="1"/>
  <c r="O44" i="9" s="1"/>
  <c r="P44" i="9" s="1"/>
  <c r="Q44" i="9" s="1"/>
  <c r="B50" i="9"/>
  <c r="E59" i="1"/>
  <c r="K57" i="1" s="1"/>
  <c r="L84" i="1"/>
  <c r="M84" i="1"/>
  <c r="N84" i="1"/>
  <c r="O84" i="1"/>
  <c r="P84" i="1"/>
  <c r="Q84" i="1"/>
  <c r="R84" i="1"/>
  <c r="S84" i="1"/>
  <c r="T84" i="1"/>
  <c r="U84" i="1"/>
  <c r="V84" i="1"/>
  <c r="W84" i="1"/>
  <c r="X84" i="1"/>
  <c r="Y84" i="1"/>
  <c r="Z84" i="1"/>
  <c r="M92" i="1"/>
  <c r="C32" i="14" l="1"/>
  <c r="C33" i="9"/>
  <c r="E79" i="11"/>
  <c r="B40" i="9"/>
  <c r="B46" i="9" s="1"/>
  <c r="E8" i="7"/>
  <c r="E9" i="7" s="1"/>
  <c r="E10" i="7" s="1"/>
  <c r="E42" i="7" s="1"/>
  <c r="V43" i="7" s="1"/>
  <c r="K90" i="1"/>
  <c r="G28" i="6" s="1"/>
  <c r="W35" i="6" s="1"/>
  <c r="K102" i="1"/>
  <c r="E4" i="7"/>
  <c r="E5" i="7" s="1"/>
  <c r="D5" i="7" s="1"/>
  <c r="D12" i="7" s="1"/>
  <c r="D15" i="7" s="1"/>
  <c r="E17" i="7"/>
  <c r="E18" i="7" s="1"/>
  <c r="H84" i="1"/>
  <c r="D25" i="13"/>
  <c r="C26" i="13"/>
  <c r="D81" i="7"/>
  <c r="I54" i="1"/>
  <c r="I57" i="1"/>
  <c r="M93" i="1"/>
  <c r="L85" i="1"/>
  <c r="E85" i="11"/>
  <c r="K51" i="1"/>
  <c r="I51" i="1" s="1"/>
  <c r="B32" i="9"/>
  <c r="E82" i="11"/>
  <c r="D25" i="14"/>
  <c r="F25" i="14"/>
  <c r="H25" i="14"/>
  <c r="J25" i="14"/>
  <c r="L25" i="14"/>
  <c r="D26" i="9"/>
  <c r="J26" i="9"/>
  <c r="N26" i="9"/>
  <c r="C25" i="14"/>
  <c r="E25" i="14"/>
  <c r="G25" i="14"/>
  <c r="I25" i="14"/>
  <c r="K25" i="14"/>
  <c r="C26" i="9"/>
  <c r="E26" i="9"/>
  <c r="G26" i="9"/>
  <c r="I26" i="9"/>
  <c r="K26" i="9"/>
  <c r="M26" i="9"/>
  <c r="O26" i="9"/>
  <c r="Q26" i="9"/>
  <c r="F26" i="9"/>
  <c r="H26" i="9"/>
  <c r="L26" i="9"/>
  <c r="P26" i="9"/>
  <c r="B39" i="14"/>
  <c r="F17" i="7"/>
  <c r="E53" i="7"/>
  <c r="E54" i="7" s="1"/>
  <c r="L90" i="1"/>
  <c r="L102" i="1"/>
  <c r="E60" i="1"/>
  <c r="E80" i="11" s="1"/>
  <c r="E12" i="7"/>
  <c r="K15" i="1"/>
  <c r="K98" i="1" s="1"/>
  <c r="L98" i="1" s="1"/>
  <c r="M98" i="1" s="1"/>
  <c r="N98" i="1" s="1"/>
  <c r="O98" i="1" s="1"/>
  <c r="P98" i="1" s="1"/>
  <c r="Q98" i="1" s="1"/>
  <c r="R98" i="1" s="1"/>
  <c r="S98" i="1" s="1"/>
  <c r="T98" i="1" s="1"/>
  <c r="U98" i="1" s="1"/>
  <c r="V98" i="1" s="1"/>
  <c r="W98" i="1" s="1"/>
  <c r="X98" i="1" s="1"/>
  <c r="Y98" i="1" s="1"/>
  <c r="Z98" i="1" s="1"/>
  <c r="D8" i="7"/>
  <c r="E11" i="7"/>
  <c r="E22" i="7" l="1"/>
  <c r="E28" i="7"/>
  <c r="E25" i="13"/>
  <c r="D26" i="13"/>
  <c r="E16" i="11"/>
  <c r="E52" i="1"/>
  <c r="E7" i="11" s="1"/>
  <c r="C31" i="14"/>
  <c r="K78" i="1"/>
  <c r="L78" i="1" s="1"/>
  <c r="M78" i="1" s="1"/>
  <c r="N78" i="1" s="1"/>
  <c r="O78" i="1" s="1"/>
  <c r="P78" i="1" s="1"/>
  <c r="Q78" i="1" s="1"/>
  <c r="R78" i="1" s="1"/>
  <c r="S78" i="1" s="1"/>
  <c r="T78" i="1" s="1"/>
  <c r="U78" i="1" s="1"/>
  <c r="V78" i="1" s="1"/>
  <c r="W78" i="1" s="1"/>
  <c r="X78" i="1" s="1"/>
  <c r="Y78" i="1" s="1"/>
  <c r="Z78" i="1" s="1"/>
  <c r="AA78" i="1" s="1"/>
  <c r="AB78" i="1" s="1"/>
  <c r="M89" i="1"/>
  <c r="M103" i="1" s="1"/>
  <c r="N93" i="1"/>
  <c r="M85" i="1"/>
  <c r="N92" i="1"/>
  <c r="N81" i="1"/>
  <c r="H28" i="6"/>
  <c r="V35" i="6" s="1"/>
  <c r="D21" i="3"/>
  <c r="D12" i="3"/>
  <c r="E14" i="7"/>
  <c r="E15" i="7"/>
  <c r="K49" i="1"/>
  <c r="L49" i="1" s="1"/>
  <c r="M49" i="1" s="1"/>
  <c r="N49" i="1" s="1"/>
  <c r="O49" i="1" s="1"/>
  <c r="P49" i="1" s="1"/>
  <c r="Q49" i="1" s="1"/>
  <c r="R49" i="1" s="1"/>
  <c r="S49" i="1" s="1"/>
  <c r="T49" i="1" s="1"/>
  <c r="U49" i="1" s="1"/>
  <c r="V49" i="1" s="1"/>
  <c r="W49" i="1" s="1"/>
  <c r="X49" i="1" s="1"/>
  <c r="Y49" i="1" s="1"/>
  <c r="Z49" i="1" s="1"/>
  <c r="AA49" i="1" s="1"/>
  <c r="AB49" i="1" s="1"/>
  <c r="L15" i="1"/>
  <c r="M15" i="1" s="1"/>
  <c r="N15" i="1" s="1"/>
  <c r="O15" i="1" s="1"/>
  <c r="P15" i="1" s="1"/>
  <c r="Q15" i="1" s="1"/>
  <c r="R15" i="1" s="1"/>
  <c r="S15" i="1" s="1"/>
  <c r="T15" i="1" s="1"/>
  <c r="U15" i="1" s="1"/>
  <c r="V15" i="1" s="1"/>
  <c r="W15" i="1" s="1"/>
  <c r="X15" i="1" s="1"/>
  <c r="Y15" i="1" s="1"/>
  <c r="Z15" i="1" s="1"/>
  <c r="AA15" i="1" s="1"/>
  <c r="D10" i="7"/>
  <c r="D11" i="7" s="1"/>
  <c r="D9" i="7"/>
  <c r="E19" i="7"/>
  <c r="E24" i="7"/>
  <c r="F25" i="13" l="1"/>
  <c r="E26" i="13"/>
  <c r="E74" i="11"/>
  <c r="N89" i="1"/>
  <c r="N103" i="1" s="1"/>
  <c r="N85" i="1"/>
  <c r="O93" i="1"/>
  <c r="O92" i="1"/>
  <c r="O81" i="1"/>
  <c r="M90" i="1"/>
  <c r="M102" i="1"/>
  <c r="E30" i="7"/>
  <c r="K110" i="1" s="1"/>
  <c r="D14" i="7"/>
  <c r="C7" i="12"/>
  <c r="C10" i="12" s="1"/>
  <c r="C12" i="12" s="1"/>
  <c r="E25" i="7"/>
  <c r="F21" i="7"/>
  <c r="G21" i="7" s="1"/>
  <c r="F27" i="7"/>
  <c r="K16" i="1" l="1"/>
  <c r="K19" i="1" s="1"/>
  <c r="K99" i="1" s="1"/>
  <c r="K111" i="1" s="1"/>
  <c r="K17" i="1"/>
  <c r="K20" i="1" s="1"/>
  <c r="G26" i="6" s="1"/>
  <c r="W33" i="6" s="1"/>
  <c r="I28" i="6"/>
  <c r="U35" i="6" s="1"/>
  <c r="G25" i="13"/>
  <c r="F26" i="13"/>
  <c r="O89" i="1"/>
  <c r="O103" i="1" s="1"/>
  <c r="P92" i="1"/>
  <c r="P93" i="1"/>
  <c r="P81" i="1"/>
  <c r="O85" i="1"/>
  <c r="N90" i="1"/>
  <c r="J28" i="6" s="1"/>
  <c r="T35" i="6" s="1"/>
  <c r="N102" i="1"/>
  <c r="E31" i="7"/>
  <c r="F30" i="7" s="1"/>
  <c r="L110" i="1" s="1"/>
  <c r="F28" i="7"/>
  <c r="H21" i="7"/>
  <c r="G27" i="7"/>
  <c r="F24" i="7"/>
  <c r="F25" i="7" s="1"/>
  <c r="F22" i="7"/>
  <c r="G22" i="7" s="1"/>
  <c r="K91" i="1" l="1"/>
  <c r="G4" i="6" s="1"/>
  <c r="W9" i="6" s="1"/>
  <c r="V17" i="6" s="1"/>
  <c r="L17" i="1"/>
  <c r="L20" i="1" s="1"/>
  <c r="H26" i="6" s="1"/>
  <c r="V33" i="6" s="1"/>
  <c r="L16" i="1"/>
  <c r="L19" i="1" s="1"/>
  <c r="H25" i="13"/>
  <c r="G26" i="13"/>
  <c r="K106" i="1"/>
  <c r="C8" i="14" s="1"/>
  <c r="C16" i="14" s="1"/>
  <c r="C18" i="14"/>
  <c r="C23" i="14" s="1"/>
  <c r="Q92" i="1"/>
  <c r="Q81" i="1"/>
  <c r="P89" i="1"/>
  <c r="P103" i="1" s="1"/>
  <c r="P85" i="1"/>
  <c r="Q93" i="1"/>
  <c r="O102" i="1"/>
  <c r="O90" i="1"/>
  <c r="K28" i="6" s="1"/>
  <c r="S35" i="6" s="1"/>
  <c r="H27" i="7"/>
  <c r="I27" i="7" s="1"/>
  <c r="J27" i="7" s="1"/>
  <c r="G24" i="7"/>
  <c r="G25" i="7" s="1"/>
  <c r="H24" i="7" s="1"/>
  <c r="H22" i="7"/>
  <c r="I21" i="7"/>
  <c r="J21" i="7" s="1"/>
  <c r="G28" i="7"/>
  <c r="F46" i="7"/>
  <c r="F47" i="7" s="1"/>
  <c r="D7" i="12"/>
  <c r="D10" i="12" s="1"/>
  <c r="D12" i="12" s="1"/>
  <c r="F31" i="7"/>
  <c r="I25" i="13" l="1"/>
  <c r="H26" i="13"/>
  <c r="H28" i="7"/>
  <c r="I28" i="7" s="1"/>
  <c r="J28" i="7" s="1"/>
  <c r="Q89" i="1"/>
  <c r="Q103" i="1" s="1"/>
  <c r="R92" i="1"/>
  <c r="R93" i="1"/>
  <c r="R81" i="1"/>
  <c r="Q85" i="1"/>
  <c r="P102" i="1"/>
  <c r="P90" i="1"/>
  <c r="L99" i="1"/>
  <c r="L111" i="1" s="1"/>
  <c r="L91" i="1"/>
  <c r="G30" i="7"/>
  <c r="M110" i="1" s="1"/>
  <c r="I22" i="7"/>
  <c r="J22" i="7" s="1"/>
  <c r="K21" i="7"/>
  <c r="E7" i="12"/>
  <c r="E10" i="12" s="1"/>
  <c r="E12" i="12" s="1"/>
  <c r="G46" i="7"/>
  <c r="G47" i="7" s="1"/>
  <c r="D18" i="14"/>
  <c r="D23" i="14" s="1"/>
  <c r="K27" i="7"/>
  <c r="H46" i="7"/>
  <c r="H47" i="7" s="1"/>
  <c r="F7" i="12"/>
  <c r="F10" i="12" s="1"/>
  <c r="F12" i="12" s="1"/>
  <c r="H25" i="7"/>
  <c r="M16" i="1" l="1"/>
  <c r="M19" i="1" s="1"/>
  <c r="M17" i="1"/>
  <c r="M20" i="1" s="1"/>
  <c r="I26" i="6" s="1"/>
  <c r="U33" i="6" s="1"/>
  <c r="L28" i="6"/>
  <c r="R35" i="6" s="1"/>
  <c r="J25" i="13"/>
  <c r="I26" i="13"/>
  <c r="S92" i="1"/>
  <c r="S81" i="1"/>
  <c r="R85" i="1"/>
  <c r="R89" i="1"/>
  <c r="R103" i="1" s="1"/>
  <c r="S93" i="1"/>
  <c r="Q102" i="1"/>
  <c r="Q90" i="1"/>
  <c r="M28" i="6" s="1"/>
  <c r="Q35" i="6" s="1"/>
  <c r="L21" i="7"/>
  <c r="M21" i="7" s="1"/>
  <c r="K22" i="7"/>
  <c r="H4" i="6"/>
  <c r="V9" i="6" s="1"/>
  <c r="U17" i="6" s="1"/>
  <c r="G31" i="7"/>
  <c r="L106" i="1"/>
  <c r="K28" i="7"/>
  <c r="I24" i="7"/>
  <c r="L27" i="7"/>
  <c r="K25" i="13" l="1"/>
  <c r="J26" i="13"/>
  <c r="R90" i="1"/>
  <c r="N28" i="6" s="1"/>
  <c r="P35" i="6" s="1"/>
  <c r="R102" i="1"/>
  <c r="T81" i="1"/>
  <c r="S85" i="1"/>
  <c r="S89" i="1"/>
  <c r="S103" i="1" s="1"/>
  <c r="T92" i="1"/>
  <c r="T93" i="1"/>
  <c r="N21" i="7"/>
  <c r="L22" i="7"/>
  <c r="M22" i="7" s="1"/>
  <c r="M99" i="1"/>
  <c r="M111" i="1" s="1"/>
  <c r="E18" i="14"/>
  <c r="E23" i="14" s="1"/>
  <c r="I46" i="7"/>
  <c r="I47" i="7" s="1"/>
  <c r="G7" i="12"/>
  <c r="G10" i="12" s="1"/>
  <c r="G12" i="12" s="1"/>
  <c r="L28" i="7"/>
  <c r="I25" i="7"/>
  <c r="D8" i="14"/>
  <c r="D16" i="14" s="1"/>
  <c r="H30" i="7"/>
  <c r="N110" i="1" s="1"/>
  <c r="M91" i="1"/>
  <c r="M27" i="7"/>
  <c r="O21" i="7"/>
  <c r="P21" i="7" s="1"/>
  <c r="N17" i="1" l="1"/>
  <c r="N20" i="1" s="1"/>
  <c r="J26" i="6" s="1"/>
  <c r="T33" i="6" s="1"/>
  <c r="N16" i="1"/>
  <c r="N19" i="1" s="1"/>
  <c r="L25" i="13"/>
  <c r="K26" i="13"/>
  <c r="N22" i="7"/>
  <c r="O22" i="7" s="1"/>
  <c r="P22" i="7" s="1"/>
  <c r="S102" i="1"/>
  <c r="S90" i="1"/>
  <c r="O28" i="6" s="1"/>
  <c r="O35" i="6" s="1"/>
  <c r="U92" i="1"/>
  <c r="U81" i="1"/>
  <c r="T85" i="1"/>
  <c r="T89" i="1"/>
  <c r="T103" i="1" s="1"/>
  <c r="U93" i="1"/>
  <c r="Q21" i="7"/>
  <c r="M28" i="7"/>
  <c r="N27" i="7"/>
  <c r="I4" i="6"/>
  <c r="U9" i="6" s="1"/>
  <c r="T17" i="6" s="1"/>
  <c r="H31" i="7"/>
  <c r="J24" i="7"/>
  <c r="M106" i="1"/>
  <c r="M25" i="13" l="1"/>
  <c r="N25" i="13" s="1"/>
  <c r="O25" i="13" s="1"/>
  <c r="P25" i="13" s="1"/>
  <c r="Q25" i="13" s="1"/>
  <c r="L26" i="13"/>
  <c r="B29" i="13" s="1"/>
  <c r="T102" i="1"/>
  <c r="T90" i="1"/>
  <c r="P28" i="6" s="1"/>
  <c r="N35" i="6" s="1"/>
  <c r="V81" i="1"/>
  <c r="U85" i="1"/>
  <c r="U89" i="1"/>
  <c r="U103" i="1" s="1"/>
  <c r="V92" i="1"/>
  <c r="V93" i="1"/>
  <c r="J46" i="7"/>
  <c r="J47" i="7" s="1"/>
  <c r="H7" i="12"/>
  <c r="H10" i="12" s="1"/>
  <c r="H12" i="12" s="1"/>
  <c r="I30" i="7"/>
  <c r="O110" i="1" s="1"/>
  <c r="N91" i="1"/>
  <c r="Q22" i="7"/>
  <c r="R21" i="7"/>
  <c r="E8" i="14"/>
  <c r="E16" i="14" s="1"/>
  <c r="J25" i="7"/>
  <c r="N99" i="1"/>
  <c r="N111" i="1" s="1"/>
  <c r="F18" i="14"/>
  <c r="F23" i="14" s="1"/>
  <c r="N28" i="7"/>
  <c r="O27" i="7"/>
  <c r="O16" i="1" l="1"/>
  <c r="O19" i="1" s="1"/>
  <c r="O17" i="1"/>
  <c r="O20" i="1" s="1"/>
  <c r="K26" i="6" s="1"/>
  <c r="S33" i="6" s="1"/>
  <c r="D11" i="3"/>
  <c r="D14" i="3" s="1"/>
  <c r="E6" i="11"/>
  <c r="E9" i="11" s="1"/>
  <c r="E72" i="1"/>
  <c r="E89" i="11" s="1"/>
  <c r="U102" i="1"/>
  <c r="U90" i="1"/>
  <c r="Q28" i="6" s="1"/>
  <c r="M35" i="6" s="1"/>
  <c r="W81" i="1"/>
  <c r="V85" i="1"/>
  <c r="V89" i="1"/>
  <c r="V103" i="1" s="1"/>
  <c r="W93" i="1"/>
  <c r="W92" i="1"/>
  <c r="I31" i="7"/>
  <c r="J30" i="7" s="1"/>
  <c r="P110" i="1" s="1"/>
  <c r="O28" i="7"/>
  <c r="P27" i="7"/>
  <c r="N106" i="1"/>
  <c r="J4" i="6"/>
  <c r="T9" i="6" s="1"/>
  <c r="S17" i="6" s="1"/>
  <c r="K24" i="7"/>
  <c r="K25" i="7" s="1"/>
  <c r="R22" i="7"/>
  <c r="S21" i="7"/>
  <c r="H18" i="14" l="1"/>
  <c r="H23" i="14" s="1"/>
  <c r="P17" i="1"/>
  <c r="P20" i="1" s="1"/>
  <c r="L26" i="6" s="1"/>
  <c r="R33" i="6" s="1"/>
  <c r="P16" i="1"/>
  <c r="P19" i="1" s="1"/>
  <c r="P99" i="1" s="1"/>
  <c r="P111" i="1" s="1"/>
  <c r="V102" i="1"/>
  <c r="V90" i="1"/>
  <c r="R28" i="6" s="1"/>
  <c r="L35" i="6" s="1"/>
  <c r="X81" i="1"/>
  <c r="X85" i="1" s="1"/>
  <c r="W85" i="1"/>
  <c r="W89" i="1"/>
  <c r="W103" i="1" s="1"/>
  <c r="X92" i="1"/>
  <c r="X93" i="1"/>
  <c r="J31" i="7"/>
  <c r="O99" i="1"/>
  <c r="O111" i="1" s="1"/>
  <c r="G18" i="14"/>
  <c r="G23" i="14" s="1"/>
  <c r="I7" i="12"/>
  <c r="I10" i="12" s="1"/>
  <c r="I12" i="12" s="1"/>
  <c r="K46" i="7"/>
  <c r="K47" i="7" s="1"/>
  <c r="O91" i="1"/>
  <c r="S22" i="7"/>
  <c r="T21" i="7"/>
  <c r="L24" i="7"/>
  <c r="L25" i="7" s="1"/>
  <c r="F8" i="14"/>
  <c r="F16" i="14" s="1"/>
  <c r="P28" i="7"/>
  <c r="Q27" i="7"/>
  <c r="K30" i="7"/>
  <c r="Q110" i="1" s="1"/>
  <c r="I18" i="14" l="1"/>
  <c r="I23" i="14" s="1"/>
  <c r="Q16" i="1"/>
  <c r="Q19" i="1" s="1"/>
  <c r="Q99" i="1" s="1"/>
  <c r="Q111" i="1" s="1"/>
  <c r="Q17" i="1"/>
  <c r="Q20" i="1" s="1"/>
  <c r="M26" i="6" s="1"/>
  <c r="Q33" i="6" s="1"/>
  <c r="W102" i="1"/>
  <c r="W90" i="1"/>
  <c r="S28" i="6" s="1"/>
  <c r="K35" i="6" s="1"/>
  <c r="X89" i="1"/>
  <c r="Y93" i="1"/>
  <c r="Y92" i="1"/>
  <c r="Y81" i="1"/>
  <c r="Y85" i="1" s="1"/>
  <c r="K31" i="7"/>
  <c r="L30" i="7" s="1"/>
  <c r="R110" i="1" s="1"/>
  <c r="M24" i="7"/>
  <c r="M25" i="7" s="1"/>
  <c r="Q28" i="7"/>
  <c r="R27" i="7"/>
  <c r="T22" i="7"/>
  <c r="U21" i="7"/>
  <c r="P91" i="1"/>
  <c r="L4" i="6" s="1"/>
  <c r="R9" i="6" s="1"/>
  <c r="Q17" i="6" s="1"/>
  <c r="K4" i="6"/>
  <c r="S9" i="6" s="1"/>
  <c r="R17" i="6" s="1"/>
  <c r="P106" i="1"/>
  <c r="H8" i="14" s="1"/>
  <c r="H16" i="14" s="1"/>
  <c r="L46" i="7"/>
  <c r="L47" i="7" s="1"/>
  <c r="J7" i="12"/>
  <c r="J10" i="12" s="1"/>
  <c r="J12" i="12" s="1"/>
  <c r="O106" i="1"/>
  <c r="X90" i="1" l="1"/>
  <c r="X103" i="1"/>
  <c r="J18" i="14"/>
  <c r="J23" i="14" s="1"/>
  <c r="R16" i="1"/>
  <c r="R19" i="1" s="1"/>
  <c r="R99" i="1" s="1"/>
  <c r="R111" i="1" s="1"/>
  <c r="R17" i="1"/>
  <c r="R20" i="1" s="1"/>
  <c r="N26" i="6" s="1"/>
  <c r="P33" i="6" s="1"/>
  <c r="T28" i="6"/>
  <c r="J35" i="6" s="1"/>
  <c r="X102" i="1"/>
  <c r="Y89" i="1"/>
  <c r="Z93" i="1"/>
  <c r="Z92" i="1"/>
  <c r="Z81" i="1"/>
  <c r="L31" i="7"/>
  <c r="M30" i="7" s="1"/>
  <c r="S110" i="1" s="1"/>
  <c r="Q91" i="1"/>
  <c r="U24" i="7"/>
  <c r="U46" i="7" s="1"/>
  <c r="U47" i="7" s="1"/>
  <c r="U22" i="7"/>
  <c r="V21" i="7"/>
  <c r="M46" i="7"/>
  <c r="M47" i="7" s="1"/>
  <c r="K7" i="12"/>
  <c r="K10" i="12" s="1"/>
  <c r="K12" i="12" s="1"/>
  <c r="G8" i="14"/>
  <c r="G16" i="14" s="1"/>
  <c r="Q106" i="1"/>
  <c r="I8" i="14" s="1"/>
  <c r="I16" i="14" s="1"/>
  <c r="R28" i="7"/>
  <c r="S27" i="7"/>
  <c r="N24" i="7"/>
  <c r="Y90" i="1" l="1"/>
  <c r="Y103" i="1"/>
  <c r="K18" i="14"/>
  <c r="K23" i="14" s="1"/>
  <c r="S16" i="1"/>
  <c r="S19" i="1" s="1"/>
  <c r="S99" i="1" s="1"/>
  <c r="S111" i="1" s="1"/>
  <c r="S17" i="1"/>
  <c r="S20" i="1" s="1"/>
  <c r="O26" i="6" s="1"/>
  <c r="O33" i="6" s="1"/>
  <c r="Z85" i="1"/>
  <c r="H85" i="1" s="1"/>
  <c r="H81" i="1"/>
  <c r="E95" i="11" s="1"/>
  <c r="Y102" i="1"/>
  <c r="AA93" i="1"/>
  <c r="AA81" i="1"/>
  <c r="AA85" i="1" s="1"/>
  <c r="Z89" i="1"/>
  <c r="Z103" i="1" s="1"/>
  <c r="AA92" i="1"/>
  <c r="N46" i="7"/>
  <c r="N47" i="7" s="1"/>
  <c r="L7" i="12"/>
  <c r="L10" i="12" s="1"/>
  <c r="L12" i="12" s="1"/>
  <c r="S28" i="7"/>
  <c r="T27" i="7"/>
  <c r="M31" i="7"/>
  <c r="N25" i="7"/>
  <c r="R91" i="1"/>
  <c r="N4" i="6" s="1"/>
  <c r="P9" i="6" s="1"/>
  <c r="O17" i="6" s="1"/>
  <c r="V24" i="7"/>
  <c r="V46" i="7" s="1"/>
  <c r="V47" i="7" s="1"/>
  <c r="V22" i="7"/>
  <c r="W21" i="7"/>
  <c r="R106" i="1"/>
  <c r="M4" i="6"/>
  <c r="Q9" i="6" s="1"/>
  <c r="P17" i="6" s="1"/>
  <c r="Z90" i="1" l="1"/>
  <c r="H90" i="1" s="1"/>
  <c r="H89" i="1"/>
  <c r="AA89" i="1"/>
  <c r="AB92" i="1"/>
  <c r="H92" i="1" s="1"/>
  <c r="AB81" i="1"/>
  <c r="AB89" i="1" s="1"/>
  <c r="AB93" i="1"/>
  <c r="H93" i="1" s="1"/>
  <c r="U28" i="6"/>
  <c r="I35" i="6" s="1"/>
  <c r="Z102" i="1"/>
  <c r="N30" i="7"/>
  <c r="T110" i="1" s="1"/>
  <c r="J8" i="14"/>
  <c r="J16" i="14" s="1"/>
  <c r="O24" i="7"/>
  <c r="S106" i="1"/>
  <c r="K8" i="14" s="1"/>
  <c r="K16" i="14" s="1"/>
  <c r="W24" i="7"/>
  <c r="W46" i="7" s="1"/>
  <c r="W47" i="7" s="1"/>
  <c r="W22" i="7"/>
  <c r="X21" i="7"/>
  <c r="T28" i="7"/>
  <c r="U27" i="7"/>
  <c r="S91" i="1"/>
  <c r="O4" i="6" s="1"/>
  <c r="O9" i="6" s="1"/>
  <c r="N17" i="6" s="1"/>
  <c r="AB90" i="1" l="1"/>
  <c r="X28" i="6" s="1"/>
  <c r="AB103" i="1"/>
  <c r="AA90" i="1"/>
  <c r="AA103" i="1"/>
  <c r="L18" i="14"/>
  <c r="L23" i="14" s="1"/>
  <c r="T16" i="1"/>
  <c r="T19" i="1" s="1"/>
  <c r="T99" i="1" s="1"/>
  <c r="T111" i="1" s="1"/>
  <c r="T17" i="1"/>
  <c r="T20" i="1" s="1"/>
  <c r="P26" i="6" s="1"/>
  <c r="N33" i="6" s="1"/>
  <c r="H102" i="1"/>
  <c r="E96" i="11" s="1"/>
  <c r="V28" i="6"/>
  <c r="H35" i="6" s="1"/>
  <c r="H103" i="1"/>
  <c r="E97" i="11" s="1"/>
  <c r="AB102" i="1"/>
  <c r="AB106" i="1"/>
  <c r="AA102" i="1"/>
  <c r="W28" i="6"/>
  <c r="G35" i="6" s="1"/>
  <c r="N31" i="7"/>
  <c r="O30" i="7" s="1"/>
  <c r="U110" i="1" s="1"/>
  <c r="U30" i="7"/>
  <c r="AA110" i="1" s="1"/>
  <c r="U28" i="7"/>
  <c r="V27" i="7"/>
  <c r="M7" i="12"/>
  <c r="M10" i="12" s="1"/>
  <c r="M12" i="12" s="1"/>
  <c r="O46" i="7"/>
  <c r="O47" i="7" s="1"/>
  <c r="X24" i="7"/>
  <c r="X22" i="7"/>
  <c r="O25" i="7"/>
  <c r="M18" i="14" l="1"/>
  <c r="M23" i="14" s="1"/>
  <c r="M27" i="14" s="1"/>
  <c r="U16" i="1"/>
  <c r="U19" i="1" s="1"/>
  <c r="U99" i="1" s="1"/>
  <c r="U111" i="1" s="1"/>
  <c r="U17" i="1"/>
  <c r="U20" i="1" s="1"/>
  <c r="Q26" i="6" s="1"/>
  <c r="M33" i="6" s="1"/>
  <c r="AA16" i="1"/>
  <c r="AA19" i="1" s="1"/>
  <c r="AA99" i="1" s="1"/>
  <c r="AA111" i="1" s="1"/>
  <c r="AA17" i="1"/>
  <c r="AA20" i="1" s="1"/>
  <c r="W26" i="6" s="1"/>
  <c r="G33" i="6" s="1"/>
  <c r="O31" i="7"/>
  <c r="P30" i="7" s="1"/>
  <c r="V110" i="1" s="1"/>
  <c r="T91" i="1"/>
  <c r="P4" i="6" s="1"/>
  <c r="N9" i="6" s="1"/>
  <c r="M17" i="6" s="1"/>
  <c r="P24" i="7"/>
  <c r="P25" i="7" s="1"/>
  <c r="X46" i="7"/>
  <c r="X47" i="7" s="1"/>
  <c r="T106" i="1"/>
  <c r="L8" i="14" s="1"/>
  <c r="L16" i="14" s="1"/>
  <c r="V28" i="7"/>
  <c r="V30" i="7"/>
  <c r="AB110" i="1" s="1"/>
  <c r="W27" i="7"/>
  <c r="N18" i="14" l="1"/>
  <c r="N23" i="14" s="1"/>
  <c r="N27" i="14" s="1"/>
  <c r="V16" i="1"/>
  <c r="V19" i="1" s="1"/>
  <c r="V99" i="1" s="1"/>
  <c r="V111" i="1" s="1"/>
  <c r="V17" i="1"/>
  <c r="V20" i="1" s="1"/>
  <c r="R26" i="6" s="1"/>
  <c r="L33" i="6" s="1"/>
  <c r="AA106" i="1"/>
  <c r="P31" i="7"/>
  <c r="AB91" i="1"/>
  <c r="W30" i="7"/>
  <c r="W28" i="7"/>
  <c r="X27" i="7"/>
  <c r="U106" i="1"/>
  <c r="M8" i="14" s="1"/>
  <c r="M16" i="14" s="1"/>
  <c r="M29" i="14" s="1"/>
  <c r="M34" i="14" s="1"/>
  <c r="M36" i="14" s="1"/>
  <c r="M37" i="14" s="1"/>
  <c r="M39" i="14" s="1"/>
  <c r="M41" i="14" s="1"/>
  <c r="P46" i="7"/>
  <c r="P47" i="7" s="1"/>
  <c r="N7" i="12"/>
  <c r="N10" i="12" s="1"/>
  <c r="N12" i="12" s="1"/>
  <c r="U91" i="1"/>
  <c r="Q4" i="6" s="1"/>
  <c r="M9" i="6" s="1"/>
  <c r="L17" i="6" s="1"/>
  <c r="Q24" i="7"/>
  <c r="Q25" i="7" s="1"/>
  <c r="R24" i="7" l="1"/>
  <c r="R25" i="7" s="1"/>
  <c r="X28" i="7"/>
  <c r="X30" i="7"/>
  <c r="V91" i="1"/>
  <c r="R4" i="6" s="1"/>
  <c r="L9" i="6" s="1"/>
  <c r="K17" i="6" s="1"/>
  <c r="Q46" i="7"/>
  <c r="Q47" i="7" s="1"/>
  <c r="O7" i="12"/>
  <c r="O10" i="12" s="1"/>
  <c r="O12" i="12" s="1"/>
  <c r="X4" i="6"/>
  <c r="Q30" i="7"/>
  <c r="W110" i="1" s="1"/>
  <c r="V106" i="1"/>
  <c r="N8" i="14" s="1"/>
  <c r="N16" i="14" s="1"/>
  <c r="N29" i="14" s="1"/>
  <c r="N34" i="14" s="1"/>
  <c r="N36" i="14" s="1"/>
  <c r="N37" i="14" s="1"/>
  <c r="N39" i="14" s="1"/>
  <c r="N41" i="14" s="1"/>
  <c r="W16" i="1" l="1"/>
  <c r="W19" i="1" s="1"/>
  <c r="W17" i="1"/>
  <c r="W20" i="1" s="1"/>
  <c r="S26" i="6" s="1"/>
  <c r="K33" i="6" s="1"/>
  <c r="Q31" i="7"/>
  <c r="R46" i="7"/>
  <c r="R47" i="7" s="1"/>
  <c r="P7" i="12"/>
  <c r="P10" i="12" s="1"/>
  <c r="P12" i="12" s="1"/>
  <c r="S24" i="7"/>
  <c r="S25" i="7" s="1"/>
  <c r="T24" i="7" l="1"/>
  <c r="D46" i="7" s="1"/>
  <c r="R30" i="7"/>
  <c r="X110" i="1" s="1"/>
  <c r="W99" i="1"/>
  <c r="W111" i="1" s="1"/>
  <c r="O18" i="14"/>
  <c r="O23" i="14" s="1"/>
  <c r="O27" i="14" s="1"/>
  <c r="S46" i="7"/>
  <c r="S47" i="7" s="1"/>
  <c r="Q7" i="12"/>
  <c r="Q10" i="12" s="1"/>
  <c r="Q12" i="12" s="1"/>
  <c r="W91" i="1"/>
  <c r="X16" i="1" l="1"/>
  <c r="X19" i="1" s="1"/>
  <c r="X17" i="1"/>
  <c r="X20" i="1" s="1"/>
  <c r="T26" i="6" s="1"/>
  <c r="J33" i="6" s="1"/>
  <c r="R7" i="12"/>
  <c r="R10" i="12" s="1"/>
  <c r="R12" i="12" s="1"/>
  <c r="T46" i="7"/>
  <c r="T47" i="7" s="1"/>
  <c r="D47" i="7" s="1"/>
  <c r="D48" i="7" s="1"/>
  <c r="E43" i="7" s="1"/>
  <c r="C14" i="12"/>
  <c r="C15" i="12" s="1"/>
  <c r="T25" i="7"/>
  <c r="U25" i="7" s="1"/>
  <c r="V25" i="7" s="1"/>
  <c r="W25" i="7" s="1"/>
  <c r="X25" i="7" s="1"/>
  <c r="R31" i="7"/>
  <c r="S30" i="7" s="1"/>
  <c r="Y110" i="1" s="1"/>
  <c r="W106" i="1"/>
  <c r="S4" i="6"/>
  <c r="K9" i="6" s="1"/>
  <c r="J17" i="6" s="1"/>
  <c r="Y16" i="1" l="1"/>
  <c r="Y19" i="1" s="1"/>
  <c r="Y17" i="1"/>
  <c r="Y20" i="1" s="1"/>
  <c r="E55" i="1"/>
  <c r="E76" i="11" s="1"/>
  <c r="U26" i="6"/>
  <c r="I33" i="6" s="1"/>
  <c r="Y99" i="1"/>
  <c r="Y111" i="1" s="1"/>
  <c r="X99" i="1"/>
  <c r="X111" i="1" s="1"/>
  <c r="S31" i="7"/>
  <c r="X91" i="1"/>
  <c r="O8" i="14"/>
  <c r="O16" i="14" s="1"/>
  <c r="O29" i="14" s="1"/>
  <c r="O34" i="14" s="1"/>
  <c r="O36" i="14" s="1"/>
  <c r="O37" i="14" s="1"/>
  <c r="O39" i="14" s="1"/>
  <c r="O41" i="14" s="1"/>
  <c r="I5" i="6"/>
  <c r="U11" i="6" s="1"/>
  <c r="T19" i="6" s="1"/>
  <c r="J5" i="6"/>
  <c r="T11" i="6" s="1"/>
  <c r="S19" i="6" s="1"/>
  <c r="K5" i="6"/>
  <c r="S11" i="6" s="1"/>
  <c r="R19" i="6" s="1"/>
  <c r="L5" i="6"/>
  <c r="R11" i="6" s="1"/>
  <c r="Q19" i="6" s="1"/>
  <c r="M5" i="6"/>
  <c r="Q11" i="6" s="1"/>
  <c r="P19" i="6" s="1"/>
  <c r="N5" i="6"/>
  <c r="P11" i="6" s="1"/>
  <c r="O19" i="6" s="1"/>
  <c r="O5" i="6"/>
  <c r="O11" i="6" s="1"/>
  <c r="N19" i="6" s="1"/>
  <c r="P5" i="6"/>
  <c r="N11" i="6" s="1"/>
  <c r="M19" i="6" s="1"/>
  <c r="Q5" i="6"/>
  <c r="M11" i="6" s="1"/>
  <c r="L19" i="6" s="1"/>
  <c r="R5" i="6"/>
  <c r="L11" i="6" s="1"/>
  <c r="K19" i="6" s="1"/>
  <c r="S5" i="6"/>
  <c r="W43" i="7"/>
  <c r="I113" i="1"/>
  <c r="D74" i="7"/>
  <c r="D73" i="7"/>
  <c r="G5" i="6"/>
  <c r="I93" i="1"/>
  <c r="I112" i="1"/>
  <c r="I30" i="1"/>
  <c r="X5" i="6"/>
  <c r="X6" i="6" s="1"/>
  <c r="I92" i="1"/>
  <c r="H5" i="6"/>
  <c r="V11" i="6" s="1"/>
  <c r="U19" i="6" s="1"/>
  <c r="E61" i="1" l="1"/>
  <c r="E66" i="1" s="1"/>
  <c r="E17" i="11"/>
  <c r="E18" i="11" s="1"/>
  <c r="F19" i="11" s="1"/>
  <c r="F21" i="11" s="1"/>
  <c r="D22" i="3"/>
  <c r="D23" i="3" s="1"/>
  <c r="E24" i="3" s="1"/>
  <c r="E26" i="3" s="1"/>
  <c r="T30" i="7"/>
  <c r="Z110" i="1" s="1"/>
  <c r="W11" i="6"/>
  <c r="V19" i="6" s="1"/>
  <c r="J9" i="3"/>
  <c r="K11" i="6"/>
  <c r="J19" i="6" s="1"/>
  <c r="T4" i="6"/>
  <c r="X106" i="1"/>
  <c r="Y91" i="1"/>
  <c r="Y106" i="1"/>
  <c r="H110" i="1" l="1"/>
  <c r="Z16" i="1"/>
  <c r="Z19" i="1" s="1"/>
  <c r="Z17" i="1"/>
  <c r="Z20" i="1" s="1"/>
  <c r="V26" i="6" s="1"/>
  <c r="H33" i="6" s="1"/>
  <c r="E81" i="11"/>
  <c r="G46" i="6"/>
  <c r="T31" i="7"/>
  <c r="U31" i="7" s="1"/>
  <c r="V31" i="7" s="1"/>
  <c r="W31" i="7" s="1"/>
  <c r="X31" i="7" s="1"/>
  <c r="U4" i="6"/>
  <c r="J9" i="6"/>
  <c r="I17" i="6" s="1"/>
  <c r="T5" i="6"/>
  <c r="E70" i="1"/>
  <c r="C3" i="13"/>
  <c r="E69" i="1"/>
  <c r="C5" i="13"/>
  <c r="B12" i="13" s="1"/>
  <c r="E83" i="11"/>
  <c r="J10" i="3"/>
  <c r="AA91" i="1" l="1"/>
  <c r="W4" i="6" s="1"/>
  <c r="I20" i="1"/>
  <c r="E64" i="11" s="1"/>
  <c r="Z91" i="1"/>
  <c r="Z99" i="1"/>
  <c r="Z111" i="1" s="1"/>
  <c r="I19" i="1"/>
  <c r="E63" i="11" s="1"/>
  <c r="I110" i="1"/>
  <c r="E99" i="11"/>
  <c r="B52" i="9"/>
  <c r="E86" i="11"/>
  <c r="C26" i="14"/>
  <c r="C27" i="14" s="1"/>
  <c r="C29" i="14" s="1"/>
  <c r="C34" i="14" s="1"/>
  <c r="C36" i="14" s="1"/>
  <c r="C37" i="14" s="1"/>
  <c r="C39" i="14" s="1"/>
  <c r="G26" i="14"/>
  <c r="G27" i="14" s="1"/>
  <c r="G29" i="14" s="1"/>
  <c r="G34" i="14" s="1"/>
  <c r="G36" i="14" s="1"/>
  <c r="G37" i="14" s="1"/>
  <c r="G39" i="14" s="1"/>
  <c r="G41" i="14" s="1"/>
  <c r="K26" i="14"/>
  <c r="K27" i="14" s="1"/>
  <c r="K29" i="14" s="1"/>
  <c r="K34" i="14" s="1"/>
  <c r="K36" i="14" s="1"/>
  <c r="K37" i="14" s="1"/>
  <c r="K39" i="14" s="1"/>
  <c r="K41" i="14" s="1"/>
  <c r="E27" i="9"/>
  <c r="E28" i="9" s="1"/>
  <c r="E30" i="9" s="1"/>
  <c r="K27" i="9"/>
  <c r="K28" i="9" s="1"/>
  <c r="K30" i="9" s="1"/>
  <c r="O27" i="9"/>
  <c r="O28" i="9" s="1"/>
  <c r="O30" i="9" s="1"/>
  <c r="E87" i="11"/>
  <c r="D26" i="14"/>
  <c r="D27" i="14" s="1"/>
  <c r="D29" i="14" s="1"/>
  <c r="D34" i="14" s="1"/>
  <c r="D36" i="14" s="1"/>
  <c r="D37" i="14" s="1"/>
  <c r="D39" i="14" s="1"/>
  <c r="D41" i="14" s="1"/>
  <c r="F26" i="14"/>
  <c r="F27" i="14" s="1"/>
  <c r="F29" i="14" s="1"/>
  <c r="F34" i="14" s="1"/>
  <c r="F36" i="14" s="1"/>
  <c r="F37" i="14" s="1"/>
  <c r="F39" i="14" s="1"/>
  <c r="F41" i="14" s="1"/>
  <c r="H26" i="14"/>
  <c r="H27" i="14" s="1"/>
  <c r="H29" i="14" s="1"/>
  <c r="H34" i="14" s="1"/>
  <c r="H36" i="14" s="1"/>
  <c r="H37" i="14" s="1"/>
  <c r="H39" i="14" s="1"/>
  <c r="H41" i="14" s="1"/>
  <c r="J26" i="14"/>
  <c r="J27" i="14" s="1"/>
  <c r="J29" i="14" s="1"/>
  <c r="J34" i="14" s="1"/>
  <c r="J36" i="14" s="1"/>
  <c r="J37" i="14" s="1"/>
  <c r="J39" i="14" s="1"/>
  <c r="J41" i="14" s="1"/>
  <c r="L26" i="14"/>
  <c r="L27" i="14" s="1"/>
  <c r="L29" i="14" s="1"/>
  <c r="L34" i="14" s="1"/>
  <c r="L36" i="14" s="1"/>
  <c r="L37" i="14" s="1"/>
  <c r="L39" i="14" s="1"/>
  <c r="L41" i="14" s="1"/>
  <c r="D27" i="9"/>
  <c r="D28" i="9" s="1"/>
  <c r="D30" i="9" s="1"/>
  <c r="F27" i="9"/>
  <c r="F28" i="9" s="1"/>
  <c r="F30" i="9" s="1"/>
  <c r="H27" i="9"/>
  <c r="H28" i="9" s="1"/>
  <c r="H30" i="9" s="1"/>
  <c r="J27" i="9"/>
  <c r="J28" i="9" s="1"/>
  <c r="J30" i="9" s="1"/>
  <c r="L27" i="9"/>
  <c r="L28" i="9" s="1"/>
  <c r="L30" i="9" s="1"/>
  <c r="N27" i="9"/>
  <c r="N28" i="9" s="1"/>
  <c r="N30" i="9" s="1"/>
  <c r="P27" i="9"/>
  <c r="P28" i="9" s="1"/>
  <c r="P30" i="9" s="1"/>
  <c r="E26" i="14"/>
  <c r="E27" i="14" s="1"/>
  <c r="E29" i="14" s="1"/>
  <c r="E34" i="14" s="1"/>
  <c r="E36" i="14" s="1"/>
  <c r="E37" i="14" s="1"/>
  <c r="E39" i="14" s="1"/>
  <c r="E41" i="14" s="1"/>
  <c r="I26" i="14"/>
  <c r="I27" i="14" s="1"/>
  <c r="I29" i="14" s="1"/>
  <c r="I34" i="14" s="1"/>
  <c r="I36" i="14" s="1"/>
  <c r="I37" i="14" s="1"/>
  <c r="I39" i="14" s="1"/>
  <c r="I41" i="14" s="1"/>
  <c r="C27" i="9"/>
  <c r="C28" i="9" s="1"/>
  <c r="C30" i="9" s="1"/>
  <c r="G27" i="9"/>
  <c r="G28" i="9" s="1"/>
  <c r="G30" i="9" s="1"/>
  <c r="I27" i="9"/>
  <c r="I28" i="9" s="1"/>
  <c r="I30" i="9" s="1"/>
  <c r="M27" i="9"/>
  <c r="M28" i="9" s="1"/>
  <c r="M30" i="9" s="1"/>
  <c r="Q27" i="9"/>
  <c r="Q28" i="9" s="1"/>
  <c r="Q30" i="9" s="1"/>
  <c r="J11" i="3"/>
  <c r="C12" i="13"/>
  <c r="C14" i="13"/>
  <c r="C2" i="13"/>
  <c r="B13" i="13"/>
  <c r="J11" i="6"/>
  <c r="I19" i="6" s="1"/>
  <c r="I9" i="6"/>
  <c r="H17" i="6" s="1"/>
  <c r="U5" i="6"/>
  <c r="V4" i="6" l="1"/>
  <c r="I91" i="1"/>
  <c r="E36" i="3" s="1"/>
  <c r="H91" i="1"/>
  <c r="G9" i="6"/>
  <c r="G36" i="6" s="1"/>
  <c r="W5" i="6"/>
  <c r="H111" i="1"/>
  <c r="Z106" i="1"/>
  <c r="H106" i="1" s="1"/>
  <c r="H99" i="1"/>
  <c r="I11" i="6"/>
  <c r="C15" i="13"/>
  <c r="C13" i="13"/>
  <c r="C40" i="14"/>
  <c r="D40" i="14" s="1"/>
  <c r="E40" i="14" s="1"/>
  <c r="F40" i="14" s="1"/>
  <c r="G40" i="14" s="1"/>
  <c r="H40" i="14" s="1"/>
  <c r="I40" i="14" s="1"/>
  <c r="J40" i="14" s="1"/>
  <c r="K40" i="14" s="1"/>
  <c r="L40" i="14" s="1"/>
  <c r="M40" i="14" s="1"/>
  <c r="N40" i="14" s="1"/>
  <c r="O40" i="14" s="1"/>
  <c r="C41" i="14"/>
  <c r="B41" i="14" s="1"/>
  <c r="D12" i="13"/>
  <c r="D14" i="13"/>
  <c r="J12" i="3"/>
  <c r="C32" i="9"/>
  <c r="C35" i="9" s="1"/>
  <c r="C37" i="9" s="1"/>
  <c r="C46" i="9" s="1"/>
  <c r="E32" i="9"/>
  <c r="E35" i="9" s="1"/>
  <c r="E37" i="9" s="1"/>
  <c r="E46" i="9" s="1"/>
  <c r="E52" i="9" s="1"/>
  <c r="G32" i="9"/>
  <c r="G35" i="9" s="1"/>
  <c r="G37" i="9" s="1"/>
  <c r="G46" i="9" s="1"/>
  <c r="G52" i="9" s="1"/>
  <c r="I32" i="9"/>
  <c r="I35" i="9" s="1"/>
  <c r="I37" i="9" s="1"/>
  <c r="I46" i="9" s="1"/>
  <c r="I52" i="9" s="1"/>
  <c r="K32" i="9"/>
  <c r="K35" i="9" s="1"/>
  <c r="K37" i="9" s="1"/>
  <c r="K46" i="9" s="1"/>
  <c r="K52" i="9" s="1"/>
  <c r="M32" i="9"/>
  <c r="M35" i="9" s="1"/>
  <c r="M37" i="9" s="1"/>
  <c r="M46" i="9" s="1"/>
  <c r="M52" i="9" s="1"/>
  <c r="O32" i="9"/>
  <c r="O35" i="9" s="1"/>
  <c r="O37" i="9" s="1"/>
  <c r="O46" i="9" s="1"/>
  <c r="O52" i="9" s="1"/>
  <c r="Q32" i="9"/>
  <c r="Q35" i="9" s="1"/>
  <c r="Q37" i="9" s="1"/>
  <c r="Q46" i="9" s="1"/>
  <c r="Q52" i="9" s="1"/>
  <c r="D32" i="9"/>
  <c r="D35" i="9" s="1"/>
  <c r="D37" i="9" s="1"/>
  <c r="D46" i="9" s="1"/>
  <c r="D52" i="9" s="1"/>
  <c r="H32" i="9"/>
  <c r="H35" i="9" s="1"/>
  <c r="H37" i="9" s="1"/>
  <c r="H46" i="9" s="1"/>
  <c r="H52" i="9" s="1"/>
  <c r="J32" i="9"/>
  <c r="J35" i="9" s="1"/>
  <c r="J37" i="9" s="1"/>
  <c r="J46" i="9" s="1"/>
  <c r="J52" i="9" s="1"/>
  <c r="L32" i="9"/>
  <c r="L35" i="9" s="1"/>
  <c r="L37" i="9" s="1"/>
  <c r="L46" i="9" s="1"/>
  <c r="L52" i="9" s="1"/>
  <c r="N32" i="9"/>
  <c r="N35" i="9" s="1"/>
  <c r="N37" i="9" s="1"/>
  <c r="N46" i="9" s="1"/>
  <c r="N52" i="9" s="1"/>
  <c r="P32" i="9"/>
  <c r="P35" i="9" s="1"/>
  <c r="P37" i="9" s="1"/>
  <c r="P46" i="9" s="1"/>
  <c r="P52" i="9" s="1"/>
  <c r="F32" i="9"/>
  <c r="F35" i="9" s="1"/>
  <c r="F37" i="9" s="1"/>
  <c r="F46" i="9" s="1"/>
  <c r="F52" i="9" s="1"/>
  <c r="N38" i="9" l="1"/>
  <c r="N40" i="9" s="1"/>
  <c r="N42" i="9" s="1"/>
  <c r="F38" i="9"/>
  <c r="F40" i="9" s="1"/>
  <c r="F42" i="9" s="1"/>
  <c r="O38" i="9"/>
  <c r="O40" i="9" s="1"/>
  <c r="O42" i="9" s="1"/>
  <c r="J38" i="9"/>
  <c r="J40" i="9" s="1"/>
  <c r="J42" i="9" s="1"/>
  <c r="E38" i="9"/>
  <c r="E40" i="9" s="1"/>
  <c r="E42" i="9" s="1"/>
  <c r="E100" i="11"/>
  <c r="I111" i="1"/>
  <c r="G10" i="6"/>
  <c r="F26" i="11"/>
  <c r="E98" i="11"/>
  <c r="I106" i="1"/>
  <c r="W6" i="6"/>
  <c r="G11" i="6"/>
  <c r="V5" i="6"/>
  <c r="H9" i="6"/>
  <c r="Q38" i="9"/>
  <c r="Q40" i="9" s="1"/>
  <c r="Q42" i="9" s="1"/>
  <c r="C38" i="9"/>
  <c r="C40" i="9" s="1"/>
  <c r="I38" i="9"/>
  <c r="I40" i="9" s="1"/>
  <c r="I42" i="9" s="1"/>
  <c r="J13" i="3"/>
  <c r="K38" i="9"/>
  <c r="K40" i="9" s="1"/>
  <c r="K42" i="9" s="1"/>
  <c r="H38" i="9"/>
  <c r="H40" i="9" s="1"/>
  <c r="H42" i="9" s="1"/>
  <c r="P38" i="9"/>
  <c r="P40" i="9" s="1"/>
  <c r="P42" i="9" s="1"/>
  <c r="M38" i="9"/>
  <c r="M40" i="9" s="1"/>
  <c r="M42" i="9" s="1"/>
  <c r="D13" i="13"/>
  <c r="D15" i="13"/>
  <c r="C52" i="9"/>
  <c r="B53" i="9" s="1"/>
  <c r="B47" i="9"/>
  <c r="E14" i="13"/>
  <c r="E12" i="13"/>
  <c r="D38" i="9"/>
  <c r="D40" i="9" s="1"/>
  <c r="D42" i="9" s="1"/>
  <c r="L38" i="9"/>
  <c r="L40" i="9" s="1"/>
  <c r="L42" i="9" s="1"/>
  <c r="G38" i="9"/>
  <c r="G40" i="9" s="1"/>
  <c r="G42" i="9" s="1"/>
  <c r="H19" i="6"/>
  <c r="G17" i="6" l="1"/>
  <c r="M29" i="6"/>
  <c r="G12" i="6"/>
  <c r="E30" i="3"/>
  <c r="F23" i="11"/>
  <c r="H10" i="6"/>
  <c r="E32" i="3"/>
  <c r="F24" i="11"/>
  <c r="H11" i="6"/>
  <c r="G19" i="6" s="1"/>
  <c r="Q20" i="6" s="1"/>
  <c r="V6" i="6"/>
  <c r="U6" i="6" s="1"/>
  <c r="T6" i="6" s="1"/>
  <c r="S6" i="6" s="1"/>
  <c r="R6" i="6" s="1"/>
  <c r="Q6" i="6" s="1"/>
  <c r="P6" i="6" s="1"/>
  <c r="O6" i="6" s="1"/>
  <c r="N6" i="6" s="1"/>
  <c r="M6" i="6" s="1"/>
  <c r="L6" i="6" s="1"/>
  <c r="K6" i="6" s="1"/>
  <c r="J6" i="6" s="1"/>
  <c r="I6" i="6" s="1"/>
  <c r="H6" i="6" s="1"/>
  <c r="G6" i="6" s="1"/>
  <c r="F14" i="13"/>
  <c r="F12" i="13"/>
  <c r="J14" i="3"/>
  <c r="E13" i="13"/>
  <c r="E15" i="13"/>
  <c r="B41" i="9"/>
  <c r="C42" i="9"/>
  <c r="B42" i="9" s="1"/>
  <c r="C41" i="9"/>
  <c r="D41" i="9" s="1"/>
  <c r="E41" i="9" s="1"/>
  <c r="F41" i="9" s="1"/>
  <c r="G41" i="9" s="1"/>
  <c r="H41" i="9" s="1"/>
  <c r="I41" i="9" s="1"/>
  <c r="J41" i="9" s="1"/>
  <c r="K41" i="9" s="1"/>
  <c r="L41" i="9" s="1"/>
  <c r="M41" i="9" s="1"/>
  <c r="N41" i="9" s="1"/>
  <c r="O41" i="9" s="1"/>
  <c r="P41" i="9" s="1"/>
  <c r="Q41" i="9" s="1"/>
  <c r="M30" i="6"/>
  <c r="P20" i="6" l="1"/>
  <c r="S20" i="6"/>
  <c r="M20" i="6"/>
  <c r="T20" i="6"/>
  <c r="K20" i="6"/>
  <c r="V20" i="6"/>
  <c r="W20" i="6" s="1"/>
  <c r="R20" i="6"/>
  <c r="J20" i="6"/>
  <c r="L20" i="6"/>
  <c r="O20" i="6"/>
  <c r="I20" i="6"/>
  <c r="N20" i="6"/>
  <c r="G18" i="6"/>
  <c r="I10" i="6"/>
  <c r="H20" i="6"/>
  <c r="G20" i="6"/>
  <c r="H16" i="6"/>
  <c r="F38" i="11"/>
  <c r="E53" i="3"/>
  <c r="U20" i="6"/>
  <c r="F13" i="13"/>
  <c r="F15" i="13"/>
  <c r="J15" i="3"/>
  <c r="G12" i="13"/>
  <c r="G14" i="13"/>
  <c r="M16" i="6"/>
  <c r="K22" i="6" l="1"/>
  <c r="H22" i="6" s="1"/>
  <c r="H18" i="6"/>
  <c r="J10" i="6"/>
  <c r="H14" i="13"/>
  <c r="H12" i="13"/>
  <c r="J16" i="3"/>
  <c r="G15" i="13"/>
  <c r="G13" i="13"/>
  <c r="M22" i="6"/>
  <c r="O22" i="6" l="1"/>
  <c r="I18" i="6"/>
  <c r="K10" i="6"/>
  <c r="H15" i="13"/>
  <c r="H13" i="13"/>
  <c r="J17" i="3"/>
  <c r="I14" i="13"/>
  <c r="I12" i="13"/>
  <c r="L10" i="6" l="1"/>
  <c r="J18" i="6"/>
  <c r="J18" i="3"/>
  <c r="J14" i="13"/>
  <c r="J12" i="13"/>
  <c r="I15" i="13"/>
  <c r="I13" i="13"/>
  <c r="K18" i="6" l="1"/>
  <c r="M10" i="6"/>
  <c r="J15" i="13"/>
  <c r="J13" i="13"/>
  <c r="K14" i="13"/>
  <c r="K12" i="13"/>
  <c r="J19" i="3"/>
  <c r="N10" i="6" l="1"/>
  <c r="L18" i="6"/>
  <c r="J20" i="3"/>
  <c r="L14" i="13"/>
  <c r="L12" i="13"/>
  <c r="K15" i="13"/>
  <c r="K13" i="13"/>
  <c r="M18" i="6" l="1"/>
  <c r="O10" i="6"/>
  <c r="J21" i="3"/>
  <c r="L13" i="13"/>
  <c r="L15" i="13"/>
  <c r="M12" i="13"/>
  <c r="M14" i="13"/>
  <c r="N18" i="6" l="1"/>
  <c r="P10" i="6"/>
  <c r="J22" i="3"/>
  <c r="J23" i="3" s="1"/>
  <c r="N12" i="13"/>
  <c r="N14" i="13"/>
  <c r="M13" i="13"/>
  <c r="M15" i="13"/>
  <c r="J24" i="3" l="1"/>
  <c r="O18" i="6"/>
  <c r="Q10" i="6"/>
  <c r="N15" i="13"/>
  <c r="N13" i="13"/>
  <c r="O14" i="13"/>
  <c r="O12" i="13"/>
  <c r="P18" i="6" l="1"/>
  <c r="R10" i="6"/>
  <c r="P14" i="13"/>
  <c r="P12" i="13"/>
  <c r="O15" i="13"/>
  <c r="O13" i="13"/>
  <c r="Q18" i="6" l="1"/>
  <c r="S10" i="6"/>
  <c r="P13" i="13"/>
  <c r="P15" i="13"/>
  <c r="Q12" i="13"/>
  <c r="Q14" i="13"/>
  <c r="B18" i="13" s="1"/>
  <c r="T10" i="6" l="1"/>
  <c r="R18" i="6"/>
  <c r="Q15" i="13"/>
  <c r="B19" i="13" s="1"/>
  <c r="B20" i="13" s="1"/>
  <c r="Q13" i="13"/>
  <c r="S18" i="6" l="1"/>
  <c r="U10" i="6"/>
  <c r="F22" i="11"/>
  <c r="E28" i="3"/>
  <c r="E34" i="3" s="1"/>
  <c r="T18" i="6" l="1"/>
  <c r="V10" i="6"/>
  <c r="F29" i="11"/>
  <c r="F32" i="11" s="1"/>
  <c r="F25" i="11"/>
  <c r="F28" i="11" s="1"/>
  <c r="F31" i="11" s="1"/>
  <c r="E39" i="3"/>
  <c r="E42" i="3" s="1"/>
  <c r="W10" i="6" l="1"/>
  <c r="U18" i="6"/>
  <c r="K9" i="3"/>
  <c r="M9" i="3" s="1"/>
  <c r="E38" i="3"/>
  <c r="E41" i="3" s="1"/>
  <c r="M23" i="6"/>
  <c r="F43" i="11" l="1"/>
  <c r="E59" i="3"/>
  <c r="V18" i="6"/>
  <c r="K10" i="3"/>
  <c r="L9" i="3"/>
  <c r="L10" i="3" s="1"/>
  <c r="L11" i="3" s="1"/>
  <c r="L12" i="3" s="1"/>
  <c r="L13" i="3" s="1"/>
  <c r="L14" i="3" s="1"/>
  <c r="L15" i="3" s="1"/>
  <c r="L16" i="3" s="1"/>
  <c r="L17" i="3" s="1"/>
  <c r="L18" i="3" s="1"/>
  <c r="L19" i="3" s="1"/>
  <c r="L20" i="3" s="1"/>
  <c r="L21" i="3" s="1"/>
  <c r="L22" i="3" s="1"/>
  <c r="L23" i="3" s="1"/>
  <c r="L24" i="3" s="1"/>
  <c r="G48" i="6"/>
  <c r="G47" i="6"/>
  <c r="K11" i="3" l="1"/>
  <c r="M10" i="3"/>
  <c r="E51" i="3"/>
  <c r="F37" i="11"/>
  <c r="K12" i="3" l="1"/>
  <c r="M11" i="3"/>
  <c r="H12" i="6"/>
  <c r="I12" i="6"/>
  <c r="K12" i="6"/>
  <c r="L12" i="6"/>
  <c r="Q12" i="6"/>
  <c r="V12" i="6"/>
  <c r="R12" i="6"/>
  <c r="N12" i="6"/>
  <c r="J12" i="6"/>
  <c r="S12" i="6"/>
  <c r="M12" i="6"/>
  <c r="W12" i="6"/>
  <c r="T12" i="6"/>
  <c r="P12" i="6"/>
  <c r="U12" i="6"/>
  <c r="O12" i="6"/>
  <c r="K13" i="3" l="1"/>
  <c r="M12" i="3"/>
  <c r="K14" i="6"/>
  <c r="H14" i="6" s="1"/>
  <c r="M14" i="6"/>
  <c r="K14" i="3" l="1"/>
  <c r="M13" i="3"/>
  <c r="O14" i="6"/>
  <c r="M15" i="6"/>
  <c r="W37" i="6" l="1"/>
  <c r="U37" i="6"/>
  <c r="S37" i="6"/>
  <c r="Q37" i="6"/>
  <c r="O37" i="6"/>
  <c r="M37" i="6"/>
  <c r="K37" i="6"/>
  <c r="I37" i="6"/>
  <c r="G37" i="6"/>
  <c r="G38" i="6" s="1"/>
  <c r="G39" i="6" s="1"/>
  <c r="V36" i="6"/>
  <c r="T36" i="6"/>
  <c r="R36" i="6"/>
  <c r="P36" i="6"/>
  <c r="N36" i="6"/>
  <c r="L36" i="6"/>
  <c r="J36" i="6"/>
  <c r="H36" i="6"/>
  <c r="V37" i="6"/>
  <c r="T37" i="6"/>
  <c r="R37" i="6"/>
  <c r="P37" i="6"/>
  <c r="N37" i="6"/>
  <c r="L37" i="6"/>
  <c r="J37" i="6"/>
  <c r="H37" i="6"/>
  <c r="W36" i="6"/>
  <c r="U36" i="6"/>
  <c r="S36" i="6"/>
  <c r="Q36" i="6"/>
  <c r="O36" i="6"/>
  <c r="M36" i="6"/>
  <c r="K36" i="6"/>
  <c r="I36" i="6"/>
  <c r="K15" i="3"/>
  <c r="M14" i="3"/>
  <c r="F40" i="11"/>
  <c r="F44" i="11" s="1"/>
  <c r="E55" i="3"/>
  <c r="E62" i="3" s="1"/>
  <c r="I38" i="6" l="1"/>
  <c r="I39" i="6" s="1"/>
  <c r="M38" i="6"/>
  <c r="M39" i="6" s="1"/>
  <c r="Q38" i="6"/>
  <c r="Q39" i="6" s="1"/>
  <c r="U38" i="6"/>
  <c r="U39" i="6" s="1"/>
  <c r="H38" i="6"/>
  <c r="H39" i="6" s="1"/>
  <c r="L38" i="6"/>
  <c r="L39" i="6" s="1"/>
  <c r="T38" i="6"/>
  <c r="T39" i="6" s="1"/>
  <c r="K38" i="6"/>
  <c r="K39" i="6" s="1"/>
  <c r="O38" i="6"/>
  <c r="O39" i="6" s="1"/>
  <c r="S38" i="6"/>
  <c r="S39" i="6" s="1"/>
  <c r="W38" i="6"/>
  <c r="W39" i="6" s="1"/>
  <c r="J38" i="6"/>
  <c r="J39" i="6" s="1"/>
  <c r="N38" i="6"/>
  <c r="N39" i="6" s="1"/>
  <c r="R38" i="6"/>
  <c r="R39" i="6" s="1"/>
  <c r="V38" i="6"/>
  <c r="V39" i="6" s="1"/>
  <c r="P38" i="6"/>
  <c r="P39" i="6" s="1"/>
  <c r="K16" i="3"/>
  <c r="M15" i="3"/>
  <c r="E51" i="11"/>
  <c r="F49" i="11"/>
  <c r="E49" i="11"/>
  <c r="F50" i="11" l="1"/>
  <c r="F51" i="11"/>
  <c r="E50" i="11"/>
  <c r="C50" i="11" s="1"/>
  <c r="C51" i="11"/>
  <c r="C49" i="11"/>
  <c r="K17" i="3"/>
  <c r="M16" i="3"/>
  <c r="E53" i="11"/>
  <c r="C53" i="11" s="1"/>
  <c r="F53" i="11"/>
  <c r="G42" i="6"/>
  <c r="E52" i="11"/>
  <c r="F52" i="11" l="1"/>
  <c r="C52" i="11" s="1"/>
  <c r="K18" i="3"/>
  <c r="M17" i="3"/>
  <c r="G43" i="6"/>
  <c r="F56" i="11" s="1"/>
  <c r="F41" i="11"/>
  <c r="E56" i="3"/>
  <c r="F55" i="11"/>
  <c r="K19" i="3" l="1"/>
  <c r="M18" i="3"/>
  <c r="K20" i="3" l="1"/>
  <c r="M19" i="3"/>
  <c r="K21" i="3" l="1"/>
  <c r="M20" i="3"/>
  <c r="K22" i="3" l="1"/>
  <c r="M21" i="3"/>
  <c r="K23" i="3" l="1"/>
  <c r="M22" i="3"/>
  <c r="K24" i="3" l="1"/>
  <c r="M24" i="3" s="1"/>
  <c r="M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nwi</author>
  </authors>
  <commentList>
    <comment ref="Q60" authorId="0" shapeId="0" xr:uid="{00000000-0006-0000-0800-000001000000}">
      <text>
        <r>
          <rPr>
            <b/>
            <sz val="8"/>
            <color indexed="81"/>
            <rFont val="Tahoma"/>
            <family val="2"/>
          </rPr>
          <t>nwi:</t>
        </r>
        <r>
          <rPr>
            <sz val="8"/>
            <color indexed="81"/>
            <rFont val="Tahoma"/>
            <family val="2"/>
          </rPr>
          <t xml:space="preserve">
minimaal 0,5 (standaard wordt van 12 mnd uitgegaan)</t>
        </r>
      </text>
    </comment>
    <comment ref="U60" authorId="0" shapeId="0" xr:uid="{00000000-0006-0000-0800-000002000000}">
      <text>
        <r>
          <rPr>
            <b/>
            <sz val="8"/>
            <color indexed="81"/>
            <rFont val="Tahoma"/>
            <family val="2"/>
          </rPr>
          <t>nwi:</t>
        </r>
        <r>
          <rPr>
            <sz val="8"/>
            <color indexed="81"/>
            <rFont val="Tahoma"/>
            <family val="2"/>
          </rPr>
          <t xml:space="preserve">
pos: ncw moet lager worden
</t>
        </r>
      </text>
    </comment>
    <comment ref="C69" authorId="0" shapeId="0" xr:uid="{00000000-0006-0000-0800-000003000000}">
      <text>
        <r>
          <rPr>
            <b/>
            <sz val="8"/>
            <color indexed="81"/>
            <rFont val="Tahoma"/>
            <family val="2"/>
          </rPr>
          <t>nwi:</t>
        </r>
        <r>
          <rPr>
            <sz val="8"/>
            <color indexed="81"/>
            <rFont val="Tahoma"/>
            <family val="2"/>
          </rPr>
          <t xml:space="preserve">
uitgaande van berekende uitkomst met bouwtijd correctie
</t>
        </r>
      </text>
    </comment>
  </commentList>
</comments>
</file>

<file path=xl/sharedStrings.xml><?xml version="1.0" encoding="utf-8"?>
<sst xmlns="http://schemas.openxmlformats.org/spreadsheetml/2006/main" count="797" uniqueCount="536">
  <si>
    <t>Vul hier de definitieve correctiebedragen in. Is alleen relevant voor jaren in het verleden waarover het correctiebedrag definitief is vastgesteld. De rest van de velden wordt automatisch berekend a.d.h. van het laatste definitief vastgestelde correctiebedrag met een inflatiepercentage van 2% per jaar.</t>
  </si>
  <si>
    <t>Het correctiebedrag waartegen de MSK-toets wordt doorgerekend is gelijk aan 46.</t>
  </si>
  <si>
    <t xml:space="preserve">Gerealiseerd opgesteld vermogen </t>
  </si>
  <si>
    <t xml:space="preserve">Beschikt opgesteld vermogen </t>
  </si>
  <si>
    <t>Vermeld hier het gerealiseerd opgesteld vermogen (MWe)</t>
  </si>
  <si>
    <t>Vermeld hier het beschikt opgesteld vermogen (MWe)</t>
  </si>
  <si>
    <t>Subsidiabele productie in MWh in SDE periode</t>
  </si>
  <si>
    <t>Berekening op SDE in te houden bedrag wegens overcompensatie</t>
  </si>
  <si>
    <t>NCW SDE vergoeding</t>
  </si>
  <si>
    <t>SDE vergoeding per jaar</t>
  </si>
  <si>
    <t>SDE per jaar</t>
  </si>
  <si>
    <t>SDE cummulatief (vanaf jaar 16)</t>
  </si>
  <si>
    <t>NCW SDE</t>
  </si>
  <si>
    <t>NCW SDE cummulatief tm jaar tm waarin de overcompensatie bereikt is</t>
  </si>
  <si>
    <t>Overcompensatie in nominale waarden SDE</t>
  </si>
  <si>
    <t>Grafische weergave Cumulatiegegevens (NCW)</t>
  </si>
  <si>
    <t>Wind projecten</t>
  </si>
  <si>
    <t>Opbrengsten SDE</t>
  </si>
  <si>
    <t>aflossing+ rente</t>
  </si>
  <si>
    <t>cash flow inkomen (over)</t>
  </si>
  <si>
    <t>ir na rente en aflossing</t>
  </si>
  <si>
    <t>gem zou moeten bij 10% ev en 90% vv</t>
  </si>
  <si>
    <t>Dit is een overzicht volgens uitgangspunten van ECN KEMA in technm econ parameters</t>
  </si>
  <si>
    <t>EV</t>
  </si>
  <si>
    <t>onbalanskosten €/kwh</t>
  </si>
  <si>
    <t>Begrote SDE inkomsten nominaal (voor correctie)</t>
  </si>
  <si>
    <t>Begrote SDE inkomsten nominaal (na correctie)</t>
  </si>
  <si>
    <t>Laatste jaar SDE ontvangst is begroot in exploitatiejaar:</t>
  </si>
  <si>
    <t>Datum indiening aanvraag SDE</t>
  </si>
  <si>
    <t>Vermeld hier de datum indiening aanvraag SDE.</t>
  </si>
  <si>
    <t xml:space="preserve">Projectgegevens SDE </t>
  </si>
  <si>
    <t xml:space="preserve">Overige exploitatiesubsidies </t>
  </si>
  <si>
    <t>alle categorien</t>
  </si>
  <si>
    <t>Benuttingsjaren</t>
  </si>
  <si>
    <t>Overige exploitatiesubsidies (euro's)</t>
  </si>
  <si>
    <t>D: Berekening VAMIL voordeel</t>
  </si>
  <si>
    <t>F: MSK toets, Rekenhulp investeringsbedrag bij lease</t>
  </si>
  <si>
    <t>na voltooiing van de investering voorzover bekend, anders het meest recente percentage. Zie onderstaande tabel voor de tarieven.</t>
  </si>
  <si>
    <t xml:space="preserve">Dit rekenblad dient als hulpmiddel om inzicht te krijgen in eventuele overcompensatie als gevolg van cumulatie van steun.  </t>
  </si>
  <si>
    <t>SDE-aanvragers inzicht te geven in de berekening van eventuele overcompensatie als gevolg cumulatie van steun.</t>
  </si>
  <si>
    <t>Terug naar invoerblad</t>
  </si>
  <si>
    <t>Selecteer hier de categorie waarvoor u subsidie heeft aangevraagd d.v.v diehoekje achter de cel.</t>
  </si>
  <si>
    <t xml:space="preserve">Hier vult u het verwachte aantal draaiuren per jaar van uw installatie in </t>
  </si>
  <si>
    <t>De productie in MWh in de SDE periode is een automatisch berekend veld. Dit veld is met de volgende formule berekend: opgesteld vermogen (punt 5) * draaiuren (punt 7).</t>
  </si>
  <si>
    <t>De subsidiabele productie in MWh in de SDE periode is een automatisch berekend veld. Dit veld is met de volgende formule berekend: opgesteld vermogen (punt 5) * subsidiabele draaiuren  (punt 7A).</t>
  </si>
  <si>
    <t>Vul hier de startdatum SDE-subsidie in.</t>
  </si>
  <si>
    <t xml:space="preserve">In het geval van lease dient u uit te gaan van de contante waarde van uw verplichte leasetermijnen exclusief rentelasten. Een rekenhulp hiervoor vindt u in het werkblad "Invoerblad bij lease". </t>
  </si>
  <si>
    <t xml:space="preserve">De bouwtijd is relevant voor de discontering van de opbrengsten en kosten na de investering voor zover ze onderwerp zijn van de cumulatietoets. De bouwtijd is de periode tussen de eerste betalingen t.a.v. investering in de productie-installatie en datum van ingebruikname. In de discontering van dit rekenmodel wordt rekening gehouden met 1 jaar bouwtijd. Is de bouwtijd langer dan wordt daar in de discontering van de opbrengsten en kosten rekening mee gehouden. Als de bouwtijd langer is bij grootschaligere projecten, bijvoorbeeld 2 jaar wordt ervan uitgegaan dat de kosten van de investering lineair gemaakt worden over die periode. De discontering van de exploitatiegegevens zoals SDE inkomsten etc.wordt dan aangepast, omdat er meer tijd zit tussen de investering en exploitatie. Gemiddeld zit er bij een bouwtijd van 2 jaar 1,5 jaar tussen de investering en de exploitatie. Het investeringsbedrag wordt gemiddeld in het midden van de bouwperiode betaald (in dit geval 2 jaar). In de bouwperiode ligt er dus 1 jaar tussen investering en exploitatie. </t>
  </si>
  <si>
    <t>Onder overige investeringsubsidies vallen alle vormen van investeringssteun van de Rijksoverheid, EU of een ander Bestuursorgaan.</t>
  </si>
  <si>
    <t>Onder provinciale en gemeentelijke subsidies vallen alle vormen van investeringssteun van de Provincie en/of Gemeente</t>
  </si>
  <si>
    <t>Totaal subsidies is een automatisch berekend veld. Dit is de som van alle ontvangen investeringssteun.</t>
  </si>
  <si>
    <t>Hier vult u de toegekende EIA meldingsbedragen in. Als de bedragen nog niet zijn toegekend vult u de aangevraagde EIA melidngsbedragen in. Let wel er zijn bij sommige categorien (wind op land) en zonnepanelen EIA-maxima ingesteld.</t>
  </si>
  <si>
    <t>Uitgegaan wordt van benutting van de EIA in het eerste jaar na voltooiing van de investering, bij het relevante aftekpercentage (punt 22) het relevante belastingpercentage (punt 21) en de disconteringsvoet (punt 43). Het onder punt 24 berekende aftrekbedrag in jaar 1 kan door het invullen van getallen over de verschillende jaren worden overschreven. Echter afwijkende claim dan in het eerste jaar (forfaitair) dient na afloop met een accountantsverklaring te worden aangetoond. Aanbevolen wordt om dit alleen te doen als het echt noodzakelijk is. Afwijkende claim van de EIA dan in het eerste jaar is alleen in zeer bijzondere gevallen mogelijk.</t>
  </si>
  <si>
    <t>Hier vult u de toegekende VAMIL of TWA meldingsbedragen in. Als de bedragen nog niet zijn toegekend vult u de aangevraagde VAMIL of TWA meldingsbedragen in. VAMIL staat voor De Regeling Willekeurige Afschrijving Milieu-investeringen. TWA staat voor de tijdelijke regeling willekeurige afschrijving.</t>
  </si>
  <si>
    <t>Uitgegaan wordt van benutting van de VAMIL \ TWA in het eerste jaar na voltooiing van de investering, bij het relevante belastingpercentage (punt 21) en de disconteringsvoet (punt 43). De berekende vervroegde afschrijving onder punt 26 (onder jaar 1) kan door invulling van een andere verdeling van de afschrijvingen over de verschillende jaren worden overschreven. Echter afwijkende vervroegde afschrijving dan in het eerste jaar (forfaitair) dient na afloop met een accountantsverklaring te worden aangetoond. Aanbevolen wordt om dit pas wat verderop in het traject te doen als (een deel van) de werkelijke fiscale afschrijvingen bekend zijn.</t>
  </si>
  <si>
    <t>Uitgegaan wordt van benutting van de MIA in het eerste jaar na voltooiing van de investering, bij het relevante aftrekpercentage (punt 29) het relevante belastingpercentage (punt 21) en de disconteringsvoet (punt 43). Het onder punt 28 berekende voordeel in jaar 1 kan door het invullen van getallen over de verschillende jaren worden overschreven. Echter afwijkende benutting dan in het eerste jaar (forfaitair) dient na afloop met een accountantsverklaring te worden aangetoond. Aanbevolen wordt om dit alleen te doen als het echt noodzakelijk is door het grote verschil.</t>
  </si>
  <si>
    <t>Totaal fiscale voordelen is een automatisch berekend veld. Dit is de som van alle ontvangen fiscale voordelen.</t>
  </si>
  <si>
    <t>Als te financieren wordt beschouwd de investering (punt 13) -/- de subsidies (punt 20) -/- de voordelen die uit de fiscale instrumenten worden verkregen (punt 32).</t>
  </si>
  <si>
    <t>Dit is het percentage aan eigen vermogen, respectievelijk vreemd vermogen, waarmee het onder punt 34 berekende bedrag gefinancierd wordt. De ontvangen steun is in dit verband dus geen EV. Indien niet anders aangetoond wordt, wordt forfaitair uitgegaan van een gewogen gemiddelde van 8 procent over het geïnvesteerde  vermogen. Bij 15% (vast gegeven) op eigen vermogen en 6% op vreemd vermogen (vast gegeven) betreft het percentage eigen vermogen dan 22,2%. Deze waarden kunnen overschreven worden. Afwijkende % EV dienen te worden onderbouwd met een financieringscontract voor het project of indien uit het eigen vermogen van de onderneming wordt gefinancierd tegen de verhouding EV die binnen de onderneming bestaat blijkend uit het laatst uitgebrachte jaarverslag van de onderneming waar het project ondergebracht is. (vennootschappelijk of geconsolideerd indien de onderneming in een geconsolideerd jaarverslag wordt gerapporteerd.)</t>
  </si>
  <si>
    <t xml:space="preserve">Hier vult u het bedrag in dat is gefinancierd is met Groen Financiering (Regeling groenprojecten 2005) </t>
  </si>
  <si>
    <t>Het rentevoordeel uit de Regeling groenprojecten is forfaitair op 1% gesteld.</t>
  </si>
  <si>
    <t>Het rentepercentage voor het vreemd vermogen is forfaitair gesteld op 6%. U kunt daarvan afwijken als u met een financieringscontract kunt aantonen dat u een hoger percentage moet betalen</t>
  </si>
  <si>
    <t xml:space="preserve">De afschrijvingstermijn is 15 jaar (dit is gelijk aan de looptijd van de SDE-subsidie). </t>
  </si>
  <si>
    <t xml:space="preserve">Dit betreft de bedragen die zijn opgenomen of voortvloeien uit de SDE regeling. </t>
  </si>
  <si>
    <t>Het tarief waartegen de MSK-toets wordt doorgerekend is het verschil tussen het basistarief (punt 44) en het correctiebedrag waartegen de MSK-toets wordt doorgerekend (punt 52a). Dit veld wordt automatisch berekend.</t>
  </si>
  <si>
    <t>De SDE opbrengsten per kalenderjaar worden als volgt berekend: Productie in de SDE-periode (punt 8) * SDE tarief waartegen de MSK-toets wordt doorgerekend (punt 52b).Dit veld wordt automatisch berekend.</t>
  </si>
  <si>
    <t>Totale elektriciteitsproductie. Dit is dezelfde productie als bij punt 8 berekend.</t>
  </si>
  <si>
    <t>Hier worden de energie-opbrengsten naast de SDE berekend. Dit gebeurt door de totale productie MWh in de SDE-periode (punt 8) te vermenigvuldigen met het tarief marktwaarde stroom (punt 56)</t>
  </si>
  <si>
    <t>Op dit blad worden de uitkomsten van de MSK-toets gepresenteerd. Alle waarden uit dit blad zijn automatisch berekende velden gebaseerd op de waarden zoals ingevuld op de invoerbladen.</t>
  </si>
  <si>
    <t>In de berekeningen wordt gebruikgemaakt van de Netto Contante Waarde (NCW)</t>
  </si>
  <si>
    <t>De correctiegrondslag (in NCW op investeringsmoment) kan niet meer zijn dan de subsidies onder punt B2.</t>
  </si>
  <si>
    <t>Er is sprake van overcompensatie als de waarde bij Z1 of Z2 groter is dan nul</t>
  </si>
  <si>
    <t>Dit is het bruto-investeringsbedrag. Deze wordt overgenomen uit punt 13 van het invoerblad</t>
  </si>
  <si>
    <t>Investeringssteun uit EIA en groen financiering. Deze investeringssteun wordt meegenomen in de berekening, maar niet in de correctiegrondslag.</t>
  </si>
  <si>
    <t>Overige investeringssteun</t>
  </si>
  <si>
    <t>Totale investeringssteun. Dit is de som van B1 en B2</t>
  </si>
  <si>
    <t>Netto-investering = Bruto investering (A) - totale investeringssteun (B)</t>
  </si>
  <si>
    <t>Zie voor de berekening hiervan het blad "Rendement geinv. vermogen". Er wordt een rendement berekend over het bedrag dat geïnvesteerd is over de jaren uitgaande van lineaire afschrijving over 15 jaar. Het geïnvesteerde vermogen is het bedrag na afschrijvingen. Het geïnvesteerde vermogen in het project neemt dus gelijkmatig af over 15 jaar waarbij de verhouding eigen en vreemd vermogen gelijk blijft. De vergoeding voor eigen vermogen bedraagt 15% en voor vreemd vermogen is dit 6%. Deze waarden staan vast.</t>
  </si>
  <si>
    <t>Hier wordt de NCW van de marktwaarde elektriciteitsopbrengsten naast SDE getoond.</t>
  </si>
  <si>
    <t>Hier wordt de NCW van de exploitatiekosten getoond.</t>
  </si>
  <si>
    <t>G</t>
  </si>
  <si>
    <t>Hier wordt de toegestane exploitatiesteunruimte getoond. De toegestane exploitatiesteunruimte is: Netto-investering ( C) + rendement geïnvesteerd vermogen (D) - NCW marktwaarde elektriciteit ( E) + NCW exploitatiekosten (F)</t>
  </si>
  <si>
    <t>Hier wordt de netto contante waarde van de SDE-subsidie getoond.</t>
  </si>
  <si>
    <t>S1</t>
  </si>
  <si>
    <t>Saldo toets A = Toegestane exploitatiesteunruimte (G) - Netto contante waarde exploitatiesubsidie (H)</t>
  </si>
  <si>
    <t>S2</t>
  </si>
  <si>
    <t>Saldo toets B = Netto investering ( C) + Rendement geïnvesteerd vermogen (D) - NCW exploitatiesubsidie (H)</t>
  </si>
  <si>
    <t>Bedrag aan overstimulering toets A. Er is sprake van overstimulering als het saldo bij S1 kleiner is dan nul.</t>
  </si>
  <si>
    <t>Z2</t>
  </si>
  <si>
    <t>Bedrag aan overstimulering toets B. Er is sprake van overstimulering als het saldo bij S2 kleiner is dan nul.</t>
  </si>
  <si>
    <t>De (NCW van de) overcompensatie (maximum van Z1 en Z2) zal maximaal de gegeven steun bedragen onder B2. De onder B1 genoemde regelingen zijn categoraal en in de EU-goedkeuring van de SDE opgenomen. Daar wordt niet op gecorrigeerd.</t>
  </si>
  <si>
    <t>De correctie in MWh wordt in mindering gebracht op de maximale subsidiabele productie.</t>
  </si>
  <si>
    <t>Dit zijn de begrote nominale inkomsten na de MSK correctie (overstimulering). Is begrote nominale inkomsten voor MSK ( R) - nominale waarde van de correctie ( O)</t>
  </si>
  <si>
    <t>Hier vult u het aantal draaiuren per jaar van uw installatie in dat subsidiabel is</t>
  </si>
  <si>
    <t>Vul hier het relevante basisbedrag voor uw project in</t>
  </si>
  <si>
    <t>Vul hier het relevante basiselektriciteiteitsprijs voor uw project in</t>
  </si>
  <si>
    <t>Het rentevoordeel uit de Regeling Groenprojecten is berekend obv 10 jaar aflossing (in tegenstelling tot afschrijvings / aflossingstermijn ter berekening van het rendement op vermogen, zie hierboven</t>
  </si>
  <si>
    <t xml:space="preserve">Voordeel Regeling Groenprojecten </t>
  </si>
  <si>
    <t>Schuld VV (gefinancierd met Regeling Groenprojecten)</t>
  </si>
  <si>
    <t>Voordeel regeling groenprojecten</t>
  </si>
  <si>
    <t>SDE+</t>
  </si>
  <si>
    <t>Max SDE+</t>
  </si>
  <si>
    <t xml:space="preserve">Bij sommige voorzieningen waarop een SDE subsidieverlening is gegeven of is aangevraagd worden de fiscale voordelen verwerkt in de afzonderlijke </t>
  </si>
  <si>
    <t>Dit is het disconteringspercentage dat geldt op de datum van SDE aanvraag. Dit is het percentage dat door de EU wordt vastgesteld.</t>
  </si>
  <si>
    <t>Let op: er kunnen geen rechten worden ontleend aan dit rekenblad en de toelichtingen! Het dient als hulpmiddel om</t>
  </si>
  <si>
    <t>Van</t>
  </si>
  <si>
    <t>Tot</t>
  </si>
  <si>
    <t>%</t>
  </si>
  <si>
    <t xml:space="preserve">Disconteringspercentages </t>
  </si>
  <si>
    <t>Voordeel regeling groenprojecten (forfaitair 1% rente)</t>
  </si>
  <si>
    <t>A: MSK cumulatietoets exploitatiesteun</t>
  </si>
  <si>
    <t>B: Invoerblad MSK cumulatietoets exploitatiesteun</t>
  </si>
  <si>
    <t xml:space="preserve">Opbrengsten per kalenderjaar </t>
  </si>
  <si>
    <t>Bij complexe projecten is dit rekenmodel mogelijk niet toepasbaar.</t>
  </si>
  <si>
    <t>Investeringssteun (verleend en beoogd)</t>
  </si>
  <si>
    <t>NCW van overige kosten</t>
  </si>
  <si>
    <t>in MWe</t>
  </si>
  <si>
    <t xml:space="preserve"> </t>
  </si>
  <si>
    <t>Rekenhulp voor het berekenen van het investeringsbedrag bij financial lease of sale en lease back</t>
  </si>
  <si>
    <t>Vul punt 1 tot en met 6 in.</t>
  </si>
  <si>
    <t>Punt</t>
  </si>
  <si>
    <t>Omschrijving</t>
  </si>
  <si>
    <t xml:space="preserve">Invulvelden </t>
  </si>
  <si>
    <t>Verdisconteringspercentage op jaarbasis:</t>
  </si>
  <si>
    <t>Verdisconteringspercentage op maandbasis</t>
  </si>
  <si>
    <t xml:space="preserve">leasetermijn per maand: </t>
  </si>
  <si>
    <t>leaseperiode (in maanden):</t>
  </si>
  <si>
    <t>koopoptie bedrag:</t>
  </si>
  <si>
    <t>koopoptie betalingsmaand:</t>
  </si>
  <si>
    <t>betaling begin (vul in: 1) of einde maand (vul in: 0):</t>
  </si>
  <si>
    <t>NCW leasetermijnen:</t>
  </si>
  <si>
    <t>NCW koopoptie:</t>
  </si>
  <si>
    <t>Totale NCW (investeringsbedrag):</t>
  </si>
  <si>
    <t>Toelichting:</t>
  </si>
  <si>
    <t>Hier vult u de maandelijkse leasetermijn in.</t>
  </si>
  <si>
    <t>start sde ontv tov begin kalenderjaar, deeljaar</t>
  </si>
  <si>
    <t>discontcorr</t>
  </si>
  <si>
    <t>in maanden</t>
  </si>
  <si>
    <t>per maand</t>
  </si>
  <si>
    <t>in dagen</t>
  </si>
  <si>
    <t>per dag</t>
  </si>
  <si>
    <t>Als er een koopoptie in uw leasecontract staat opgenomen, neemt u dat bedrag over. Als er geen koopoptie is, vult u niets in.</t>
  </si>
  <si>
    <t>Als u de leasetermijnen na afloop van de maand betaalt, vult u 0 in, betaalt u de leasetermijn vooraf, vult u 1 in.</t>
  </si>
  <si>
    <t>mnd bouwtijd</t>
  </si>
  <si>
    <t>Dit is het investeringsbedrag. Dit bedrag kunt u invullen in het invoerblad.</t>
  </si>
  <si>
    <t>Uitkomsten</t>
  </si>
  <si>
    <t xml:space="preserve">belastingaangiftes van de vennoten, waarvan sommige IB en andere VPB belastingplichtig zijn. In dat geval zal een gewogen belastingpercentage </t>
  </si>
  <si>
    <t xml:space="preserve">gebruikt worden op basis van de meldingsbedragen van de verschillende vennoten. </t>
  </si>
  <si>
    <t>Info</t>
  </si>
  <si>
    <t xml:space="preserve">Hier dient het hoogste percentage ingevuld te worden dat van toepassing is onder de VPB of IB. Gebruik het percentage uit het eerste jaar </t>
  </si>
  <si>
    <t>SDE Tarief te verwachten (bij correctiebedrag)</t>
  </si>
  <si>
    <t>Jaar</t>
  </si>
  <si>
    <t>A</t>
  </si>
  <si>
    <t>B</t>
  </si>
  <si>
    <t>F</t>
  </si>
  <si>
    <t>Afschrijving in jaren</t>
  </si>
  <si>
    <t>Vreemd vermogen</t>
  </si>
  <si>
    <t>Afschrijvingen        EUR/j</t>
  </si>
  <si>
    <t>Kosten vr. verm.    EUR/j</t>
  </si>
  <si>
    <t>Totaal kosten         EUR/j</t>
  </si>
  <si>
    <t>Res. voor belast.   EUR/j</t>
  </si>
  <si>
    <t>Eigen vermogen</t>
  </si>
  <si>
    <t xml:space="preserve">Vreemd vermogen </t>
  </si>
  <si>
    <t>Totaal opbrengsten</t>
  </si>
  <si>
    <t>Subtotaal exploitatiekosten</t>
  </si>
  <si>
    <t>Exploitatieoverzicht</t>
  </si>
  <si>
    <t>Operationele kosten</t>
  </si>
  <si>
    <t>Opbrengst grijze stroom</t>
  </si>
  <si>
    <t>NCW</t>
  </si>
  <si>
    <t>Totaal subsidies</t>
  </si>
  <si>
    <t>B1</t>
  </si>
  <si>
    <t>B2</t>
  </si>
  <si>
    <t>Year</t>
  </si>
  <si>
    <t>D</t>
  </si>
  <si>
    <t>Begrote VAMIL afschrijvingen per jaar</t>
  </si>
  <si>
    <t>Begrote EIA  aftrek  over jaren verdeeld</t>
  </si>
  <si>
    <t>Voordeel EIA</t>
  </si>
  <si>
    <t>Begrote MIA  aftrek  over jaren verdeeld</t>
  </si>
  <si>
    <t>Voordeel MIA</t>
  </si>
  <si>
    <t>Aftrekpercentage MIA</t>
  </si>
  <si>
    <t>Rendement geinvesteerd vermogen</t>
  </si>
  <si>
    <t>MIA voordeel</t>
  </si>
  <si>
    <t>VAMIL voordeel</t>
  </si>
  <si>
    <t>EIA voordeel</t>
  </si>
  <si>
    <t>subtotaal</t>
  </si>
  <si>
    <t>Bruto investering</t>
  </si>
  <si>
    <t>Totaal  B1 + B2</t>
  </si>
  <si>
    <t>Netto investering</t>
  </si>
  <si>
    <t>C= A - B</t>
  </si>
  <si>
    <t>Jaren</t>
  </si>
  <si>
    <t>Begrote afschrijving</t>
  </si>
  <si>
    <t>VAMIL voordeel (uitgaande van forfaitaire afschrijving over 10 jaar)</t>
  </si>
  <si>
    <t>Vervroegde afschrijving</t>
  </si>
  <si>
    <t xml:space="preserve">Belastingvoordeel </t>
  </si>
  <si>
    <t>MIA aftrek bedrag</t>
  </si>
  <si>
    <t>Beoogde subsidie instrumenten</t>
  </si>
  <si>
    <t>Beoogde fiscale instrumenten</t>
  </si>
  <si>
    <t>Opbrengsten MEP en REB EUR/j</t>
  </si>
  <si>
    <t>Overige opbrengsten</t>
  </si>
  <si>
    <t>M</t>
  </si>
  <si>
    <t>N</t>
  </si>
  <si>
    <t>hulpvariabele:</t>
  </si>
  <si>
    <t>aantal hele jaren:</t>
  </si>
  <si>
    <t>jaren</t>
  </si>
  <si>
    <t>Berekening jaren</t>
  </si>
  <si>
    <t>NCW rendement geïnvesteerd vermogen</t>
  </si>
  <si>
    <t>Rente vreemd vermogen (forfaitair)</t>
  </si>
  <si>
    <t xml:space="preserve">Vul de geel gemarkeerde velden van deel A in en eventueel deel B afhankelijk van uw project. </t>
  </si>
  <si>
    <t>Lees ook de toelichting.</t>
  </si>
  <si>
    <t>EIA aftrek (het meldingsbedrag na aftrek subsidies)</t>
  </si>
  <si>
    <t>voordeel per jaar</t>
  </si>
  <si>
    <t>Normale lineaire afschrijving</t>
  </si>
  <si>
    <t>Netto investering (NCW)</t>
  </si>
  <si>
    <t>Kosten EV</t>
  </si>
  <si>
    <t>rente VV</t>
  </si>
  <si>
    <t>Eigen vermogen (EV)</t>
  </si>
  <si>
    <t>Vreemd vermogen (VV)</t>
  </si>
  <si>
    <t>VV schuld</t>
  </si>
  <si>
    <t>EV in project</t>
  </si>
  <si>
    <t>Rente VV</t>
  </si>
  <si>
    <t>Totaal</t>
  </si>
  <si>
    <t>NCW over jaar 1 tm 10</t>
  </si>
  <si>
    <t>Terugbetalingsperiode  EV en VV in jaren</t>
  </si>
  <si>
    <t>Kosten EV per jaar</t>
  </si>
  <si>
    <t>rente VV per jaar</t>
  </si>
  <si>
    <t>rente voordeel (forfaitair) per jaar</t>
  </si>
  <si>
    <t>Basis MSK-toets</t>
  </si>
  <si>
    <t>O</t>
  </si>
  <si>
    <t>R</t>
  </si>
  <si>
    <t>Werkblad "Invoerblad "</t>
  </si>
  <si>
    <t xml:space="preserve">Percentage tov meldingsbedrag (na aftrek subsidies) </t>
  </si>
  <si>
    <t>Toegestane exploitatiesubsidie (=exploitatiesteunruimte)</t>
  </si>
  <si>
    <t>Vermeld hier het SDE projectnummer.</t>
  </si>
  <si>
    <t>SDE projectnummer</t>
  </si>
  <si>
    <t>Hulpberekeningen</t>
  </si>
  <si>
    <t>Investerings gegevens</t>
  </si>
  <si>
    <t>Financieel economisch</t>
  </si>
  <si>
    <t>Deel B</t>
  </si>
  <si>
    <t xml:space="preserve">NCW </t>
  </si>
  <si>
    <t>Algemeen</t>
  </si>
  <si>
    <t>Belasting</t>
  </si>
  <si>
    <t>Res. Na belastingen</t>
  </si>
  <si>
    <t>Cash flow na belasting</t>
  </si>
  <si>
    <t>aftrekpost eia</t>
  </si>
  <si>
    <t>aftrekpost mia</t>
  </si>
  <si>
    <t>Res. voor belast. Na fiscale aftrekposten  EUR/j</t>
  </si>
  <si>
    <t>jaar</t>
  </si>
  <si>
    <t>E+K1</t>
  </si>
  <si>
    <t>E+K1+B2</t>
  </si>
  <si>
    <t>L1 (=F-E-K1)</t>
  </si>
  <si>
    <t>bovengrens correctie</t>
  </si>
  <si>
    <t>NCW van exploitatie subsidies (verleende en beoogde exploitatiesteun)</t>
  </si>
  <si>
    <t>SDE correctie andere bij minist.reg vast te stellen corr (besluit art. 14.1c)</t>
  </si>
  <si>
    <t>SDE aanvraag categorie</t>
  </si>
  <si>
    <t>http://ec.europa.eu/comm/competition/state_aid/legislation/reference_rates.html</t>
  </si>
  <si>
    <t xml:space="preserve">SDE correctie (M) in nominale waarde </t>
  </si>
  <si>
    <t>SDE tarief waartegen de MSK toets wordt doorgerekend</t>
  </si>
  <si>
    <t>tarief waartegen doorgerekend wordt</t>
  </si>
  <si>
    <t xml:space="preserve">Datum ingebruikname </t>
  </si>
  <si>
    <t>Eerste datum SDE</t>
  </si>
  <si>
    <t>Draaiuren (cq vollasturen )</t>
  </si>
  <si>
    <t>Bouwtijd (in maanden)</t>
  </si>
  <si>
    <t>Verdisconteringsvoet</t>
  </si>
  <si>
    <t>Afschrijvingsbasis</t>
  </si>
  <si>
    <t>Variabele operationele kosten (euro / jaar)</t>
  </si>
  <si>
    <t>Vul de jaren in waarin SDE voordelen worden verkregen (kan maximaal 16 kalenderjaren betreffen), jaar 1 is het eerste jaar dat SDE wordt verkregen</t>
  </si>
  <si>
    <t>Vaste operationele kosten (euro / jaar)</t>
  </si>
  <si>
    <t xml:space="preserve">Investering  (euro's)            </t>
  </si>
  <si>
    <t>52a</t>
  </si>
  <si>
    <t>52b</t>
  </si>
  <si>
    <t>Dit rekenblad bestaat uit meerdere werkbladen. In het werkblad  "Overzicht MSK toets" is te zien of er sprake is van ongeoorloofde</t>
  </si>
  <si>
    <t>cumulatie van subsidies. Om voor uw project te komen tot uitkomsten dient u eerst in het werkblad "Invoerblad" de benodigde gegevens in te</t>
  </si>
  <si>
    <t>15 t/m 19</t>
  </si>
  <si>
    <t>24, 25</t>
  </si>
  <si>
    <t>30, 31</t>
  </si>
  <si>
    <t>35, 36</t>
  </si>
  <si>
    <t>44 t/m 50</t>
  </si>
  <si>
    <t>Werkblad "Overzicht MSK toets"</t>
  </si>
  <si>
    <t>Overige investeringssubsidies (euro's)</t>
  </si>
  <si>
    <t>EIA meldingsbedrag (euro's)</t>
  </si>
  <si>
    <t>MIA meldingsbedrag (euro's)</t>
  </si>
  <si>
    <t>Te financieren</t>
  </si>
  <si>
    <t>Bedrag lening via Regeling groenprojecten (euro's)</t>
  </si>
  <si>
    <t>SDE correctiebedrag waartegen de MSK toets wordt doorgerekend (euro's)</t>
  </si>
  <si>
    <t>correctiefactoren dicontering</t>
  </si>
  <si>
    <t>bouwtijd &gt; 12 maanden</t>
  </si>
  <si>
    <t>Het verschil tussen (midden van) investeringsuitgaven en ontvangsten wordt groter</t>
  </si>
  <si>
    <t>VAMIL/ TWA meldingsbedrag (euro's)</t>
  </si>
  <si>
    <t>Voordeel VAMIL/ TWA</t>
  </si>
  <si>
    <t>contante waarde wordt lager</t>
  </si>
  <si>
    <t>verschil tussen start van sde en begin kalenderjaar</t>
  </si>
  <si>
    <t>hoe check je die ingebruikname datum ?</t>
  </si>
  <si>
    <t>Provinciale/ Gemeentelijke subsidies</t>
  </si>
  <si>
    <t xml:space="preserve">Overige opbrengsten per kalenderjaar </t>
  </si>
  <si>
    <t>Opbrengsten marktwaarde elektriciteit (naast SDE)</t>
  </si>
  <si>
    <t>Totale productie van elektriciteit (ook niet subsidiabele productie)</t>
  </si>
  <si>
    <t>Overige kosten per kalenderjaar</t>
  </si>
  <si>
    <t>Tarief marktwaarde stroom waartegen wordt doorgerekend</t>
  </si>
  <si>
    <t>Maximale SDE subsidieperiode (jaren)</t>
  </si>
  <si>
    <t>voeren die voor uw project relevant zijn. De gegevens die u dient in te voeren zijn aangegeven met behulp van de de geel gearceerde cellen in onderdeel A.</t>
  </si>
  <si>
    <t xml:space="preserve">Onderstaand worden voor het werkblad "Invoerblad" en het werkblad "Overzicht MSK toets" een aantal punten toegelicht. </t>
  </si>
  <si>
    <t>Deel laatste kalenderjaar dat sde genoten wordt</t>
  </si>
  <si>
    <t>Deel laatste kalenderjaar (sde periode +1) dat sde periode omvat</t>
  </si>
  <si>
    <t>In het geval dat de sde over bijv . 16 kalenderjaren verdeeld is.</t>
  </si>
  <si>
    <t>maximale sde periode (jaren)</t>
  </si>
  <si>
    <t>Verlies sde periode</t>
  </si>
  <si>
    <t>Effectieve sde periode</t>
  </si>
  <si>
    <t>Effectieve aantal kalenderjaren</t>
  </si>
  <si>
    <t>Kalenderjaar dat sde opbrengsten starten</t>
  </si>
  <si>
    <t>1e datum kalenderjaar waarin sde opbrengst start</t>
  </si>
  <si>
    <t>De nominale waarde van de correctie omgerekend naar MWh waarvoor SDE wordt verkregen, gebaseerd op SDE tarief in het laatste SDE jaar.</t>
  </si>
  <si>
    <t xml:space="preserve">Er wordt van uitgegaan dat de subsidies in het jaar na de investeringsperiode worden ontvangen. </t>
  </si>
  <si>
    <t>Zie hieronder ook deze tabel weergegeven voor Nederland:</t>
  </si>
  <si>
    <t>SDE Basisbedrag</t>
  </si>
  <si>
    <t>SDE basis elektriciteitsprijs/gasprijs</t>
  </si>
  <si>
    <t>SDE correctiebedrag (besluit art .14.1a)</t>
  </si>
  <si>
    <t>SDE correctie waarde van oorsprong (besluit art. 14.1b)</t>
  </si>
  <si>
    <t>Belastingpercentage IB of VPB</t>
  </si>
  <si>
    <t>De oude functie "=MACHT(1+Invoerblad!$E$72;E43) is niet helemaal loepzuiver; geeft een afwijking van ongeveer 0,006 %</t>
  </si>
  <si>
    <t>``</t>
  </si>
  <si>
    <t>scen 8a maar dan bij 11,504 jaren</t>
  </si>
  <si>
    <t>handmatig uitgerekend</t>
  </si>
  <si>
    <t>scen 8b volgens model; klopt dus</t>
  </si>
  <si>
    <t>scen 8, zie hieronder 8a en 8b</t>
  </si>
  <si>
    <t>TESTS</t>
  </si>
  <si>
    <t xml:space="preserve">Dat is conform rekenregels </t>
  </si>
  <si>
    <t>Met deze correctie corrigeer je de ncw berekening van excel omdat excel deze al jaarbedragen ziet. Je moet deze niet als vooruit brengen in periode zien</t>
  </si>
  <si>
    <t>Berekening disconteringscorrectie</t>
  </si>
  <si>
    <t>C</t>
  </si>
  <si>
    <t>scen 13</t>
  </si>
  <si>
    <t xml:space="preserve">SDE ontvangstjaar: </t>
  </si>
  <si>
    <t>Deel jaar sde ontvangst</t>
  </si>
  <si>
    <t>SDE Tarief  maximaal (uitgaande van basis elektriciteitsprijs/gasprijs)</t>
  </si>
  <si>
    <t>Belastingpercentage</t>
  </si>
  <si>
    <t>Dit betreft de ingebruikname datum van uw installatie waarop uw SDE aanvraag betrekking heeft.</t>
  </si>
  <si>
    <t>Overige investeringssubsidies</t>
  </si>
  <si>
    <t>MIA aftrekpercentage. Dit percentage bedraagt afhankelijk van uw beschikking 15%, 30% of 40%.</t>
  </si>
  <si>
    <t>O1</t>
  </si>
  <si>
    <t>S2 = C + D - H</t>
  </si>
  <si>
    <t>Tarief marktwaarde stroom  (Euro/MWh) (naast SDE)</t>
  </si>
  <si>
    <t>tarief laatste SDE jaar</t>
  </si>
  <si>
    <t>In nominale waardes is deze correctie groter omdat deze correctie pas aan het einde van de SDE periode plaatsvindt door SDE subsidie in te houden.</t>
  </si>
  <si>
    <t>S</t>
  </si>
  <si>
    <t>Dit zijn de begrote nominale inkomsten voor de MSK correctie (gebaseerd op begrote productie).</t>
  </si>
  <si>
    <t xml:space="preserve">SDE opbrengsten </t>
  </si>
  <si>
    <t>Onder overige exploitatiesubsidies vallen alle vormen van exploitatiesteun van de Rijksoverheid, Provincie, Gemeente, EU of een ander Bestuursorgaan.</t>
  </si>
  <si>
    <t>Ter info: Tarieven SDE voor de door u gekozen productiecategorie</t>
  </si>
  <si>
    <t>S = R - O</t>
  </si>
  <si>
    <t>Dit overzicht dient ter informatie voor biomassaprojecten die alle gegevens hebben ingevoerd in het invoerblad</t>
  </si>
  <si>
    <t>BIOMASSA projecten</t>
  </si>
  <si>
    <t>E</t>
  </si>
  <si>
    <t>G = C + D - E + F</t>
  </si>
  <si>
    <t>H</t>
  </si>
  <si>
    <t>Z1</t>
  </si>
  <si>
    <t>S1 = G - H</t>
  </si>
  <si>
    <t xml:space="preserve">Z2 </t>
  </si>
  <si>
    <t>Tarieven vergoedingen</t>
  </si>
  <si>
    <t>G: Exploitatieoverzicht biomassa</t>
  </si>
  <si>
    <t>DEEL A</t>
  </si>
  <si>
    <t>Toelichting</t>
  </si>
  <si>
    <t>DEEL A: Algemeen</t>
  </si>
  <si>
    <t>sde ingangsdatum</t>
  </si>
  <si>
    <t xml:space="preserve">sde periode start in kalenderjaar </t>
  </si>
  <si>
    <t>ingebruikname datum</t>
  </si>
  <si>
    <t>Datum dat sde opbrengsten starten</t>
  </si>
  <si>
    <t>Deel 1e kalenderjaar dat sde genoten wordt</t>
  </si>
  <si>
    <t>1e datum kalenderjaar waarin sde periode start</t>
  </si>
  <si>
    <t>In dat jaar start de 15 of 12 jaar. Dat is het 1e kalenderjaar dat je laat zien</t>
  </si>
  <si>
    <t>Vanaf dat moment kan sde genoten worden. Als de indieningsdatum later is dan deze datum benut je de sde periode niet optimaal.</t>
  </si>
  <si>
    <t>de laatste datum van de indiening of sde startdatum</t>
  </si>
  <si>
    <t>Deel 1e kalenderjaar dat sde periode omvat</t>
  </si>
  <si>
    <t xml:space="preserve">Het bij de aanvraagdatum behorende disconteringspercentage kunt u vinden in de tabel op de website </t>
  </si>
  <si>
    <t>Hier vult u de maand in waarin u van de eventuele koopoptie gebruik kan maken . Als u bijvoorbeeld na 12 jaar tot de optie koop</t>
  </si>
  <si>
    <t>kunt overgaan, vult u maand 145 in.</t>
  </si>
  <si>
    <t>NCW Opbrengsten marktwaarde elektriciteit (naast SDE)</t>
  </si>
  <si>
    <t>Het disconteringspercentage dat u hier moet invullen is afhankelijk van de datum van de SDE aanvraag.</t>
  </si>
  <si>
    <t>De afschrijvingsbasis betreft de investering (punt 13)  -/- de subsidies (punt 20).</t>
  </si>
  <si>
    <t>overzicht msk toets</t>
  </si>
  <si>
    <t>Aftrekpercentage voor EIA</t>
  </si>
  <si>
    <t>Totaal voordelen fiscale faciliteiten</t>
  </si>
  <si>
    <t>VPB</t>
  </si>
  <si>
    <t>IB</t>
  </si>
  <si>
    <t>VPB en IB percentages</t>
  </si>
  <si>
    <t>scen 1</t>
  </si>
  <si>
    <t>scenarios</t>
  </si>
  <si>
    <t>Toelichting scenario</t>
  </si>
  <si>
    <t>scen 2</t>
  </si>
  <si>
    <t>scen 3</t>
  </si>
  <si>
    <t>scen 4</t>
  </si>
  <si>
    <t>scen 5</t>
  </si>
  <si>
    <t>scen 6</t>
  </si>
  <si>
    <t>scen 7</t>
  </si>
  <si>
    <t>scen 9</t>
  </si>
  <si>
    <t>scen 10</t>
  </si>
  <si>
    <t>scen 11</t>
  </si>
  <si>
    <t>scen 12</t>
  </si>
  <si>
    <t>ncw</t>
  </si>
  <si>
    <t>berekende</t>
  </si>
  <si>
    <t>Juist ?</t>
  </si>
  <si>
    <t>bouwtijd</t>
  </si>
  <si>
    <t>start sde</t>
  </si>
  <si>
    <t>ing name</t>
  </si>
  <si>
    <t>"1/2 bt</t>
  </si>
  <si>
    <t>berekende tijd tussen midden bouwtijd en midden 1e produktie jaar</t>
  </si>
  <si>
    <t>tijd tussen IN en SS</t>
  </si>
  <si>
    <t>midden 1e prod jr</t>
  </si>
  <si>
    <t>totaal</t>
  </si>
  <si>
    <t>meer disc</t>
  </si>
  <si>
    <t>correctie</t>
  </si>
  <si>
    <t>factor</t>
  </si>
  <si>
    <t>verschil</t>
  </si>
  <si>
    <t>verwachte uitkomst</t>
  </si>
  <si>
    <t>als sde start na ingebruikname is:</t>
  </si>
  <si>
    <t>Hierbij wordt er niet gemorreld aan de forfaitaire 1 jaar bouwtijd. Dat wil zeggen dit verschil tussen SS en IN gaat niet ten koste van de bouwtijd in het geval die kleiner is dan 1 jaar.</t>
  </si>
  <si>
    <t>Dat is duidelijker en bovendien staat in de rekenregels dat forfaitair wordt uitgegaan van 1 jaar. Het lijkt dus niet redelijk om daar deze tijd tusen SS en IN op te compenseren.</t>
  </si>
  <si>
    <t>Dit is de waarde van de correctie in nominale waarden op het moment dat de SDE inkomsten worden ontvangen.</t>
  </si>
  <si>
    <t>Draaiuren (cq vollasturen, die voor subsidie in aanmerking komen )</t>
  </si>
  <si>
    <t>7A</t>
  </si>
  <si>
    <t>8A</t>
  </si>
  <si>
    <t>Productie in MWh in "SDE periode"</t>
  </si>
  <si>
    <t>5a</t>
  </si>
  <si>
    <t>5A</t>
  </si>
  <si>
    <t>Categorie</t>
  </si>
  <si>
    <t>Tarief per jaar</t>
  </si>
  <si>
    <t>Restsom overcompensatie per jaar</t>
  </si>
  <si>
    <t>Overcompensatie per jaar maximaal</t>
  </si>
  <si>
    <t xml:space="preserve">Overcompensatie per jaar    </t>
  </si>
  <si>
    <t>Overcompensatie in productie per jaar</t>
  </si>
  <si>
    <t>Totale korting op productie</t>
  </si>
  <si>
    <t>Gemiddeld tarief overcompensatie</t>
  </si>
  <si>
    <t>Berekening gemiddelde tarief SDE bij korting op productie</t>
  </si>
  <si>
    <t>Tarief</t>
  </si>
  <si>
    <t>Bedrag(EUR)</t>
  </si>
  <si>
    <t>Productie</t>
  </si>
  <si>
    <t>Overcompensatie per jaar in bedrag/productie</t>
  </si>
  <si>
    <t>Uitgangspunten</t>
  </si>
  <si>
    <t>Waarde</t>
  </si>
  <si>
    <t>Eenheid</t>
  </si>
  <si>
    <t>Beschikt opgesteld vermogen</t>
  </si>
  <si>
    <t>Euro</t>
  </si>
  <si>
    <t>Correctiegrondslag (NCW) (maximaal B2 of nul als Z1 en Z2 &lt;=10.000 )</t>
  </si>
  <si>
    <t>EIA aftrek (44 of 41,5 % van het meldingsbedrag na aftrek subsidies)</t>
  </si>
  <si>
    <t>SDE correctiebedrag (besluit art .14.1a) (Gemiddeld looptijd)</t>
  </si>
  <si>
    <t>Tarief marktwaarde stroom  (Euro/MWh) (naast SDE) (Gemiddeld looptijd)</t>
  </si>
  <si>
    <t>Tarief marktwaarde stroom waartegen wordt doorgerekend (Gemiddeld looptijd)</t>
  </si>
  <si>
    <t>Opbrengsten marktwaarde elektriciteit (naast SDE) (Gemiddeld looptijd)</t>
  </si>
  <si>
    <t>Vaste operationele kosten (euro / jaar) (Gemiddeld looptijd)</t>
  </si>
  <si>
    <t>Variabele operationele kosten (euro / jaar) (Gemiddeld looptijd)</t>
  </si>
  <si>
    <t>Jaarlijkse productie in MWh of Nm3 in "SDE periode"</t>
  </si>
  <si>
    <t>Jaarlijkse subsidiabele productie in MWh of Nm3 in SDE periode</t>
  </si>
  <si>
    <t>MWe</t>
  </si>
  <si>
    <t>MWh</t>
  </si>
  <si>
    <t>SDE correctie (O) in MWh (berekend obv gemiddeld SDE tarief overcompensatie)</t>
  </si>
  <si>
    <t>laatste exploitatiejaar waarin SDE wordt ontvangen</t>
  </si>
  <si>
    <t>8b</t>
  </si>
  <si>
    <t>Forward banking</t>
  </si>
  <si>
    <t>8c</t>
  </si>
  <si>
    <t>Backward banking</t>
  </si>
  <si>
    <t>53a</t>
  </si>
  <si>
    <t>53b</t>
  </si>
  <si>
    <t>Opbrengsten backward banking</t>
  </si>
  <si>
    <t>Opbrengsten forward banking</t>
  </si>
  <si>
    <t>Jaar 1</t>
  </si>
  <si>
    <t>Jaar 2</t>
  </si>
  <si>
    <t>Jaar 3</t>
  </si>
  <si>
    <t>Jaar 4</t>
  </si>
  <si>
    <t>Jaar 5</t>
  </si>
  <si>
    <t>Jaar 6</t>
  </si>
  <si>
    <t>Jaar 7</t>
  </si>
  <si>
    <t>Jaar 8</t>
  </si>
  <si>
    <t>Jaar 9</t>
  </si>
  <si>
    <t>Jaar 10</t>
  </si>
  <si>
    <t>Jaar 11</t>
  </si>
  <si>
    <t>Jaar 12</t>
  </si>
  <si>
    <t>Jaar 13</t>
  </si>
  <si>
    <t>Jaar 14</t>
  </si>
  <si>
    <t>Jaar 15</t>
  </si>
  <si>
    <t>Jaar 16</t>
  </si>
  <si>
    <t>Jaar 17</t>
  </si>
  <si>
    <t>Jaar 18</t>
  </si>
  <si>
    <t>Inflatiecorrectie (%)</t>
  </si>
  <si>
    <t>Kostensoort</t>
  </si>
  <si>
    <t>gem. jaarprod.</t>
  </si>
  <si>
    <t>gem. sub. Jaarprod.</t>
  </si>
  <si>
    <t xml:space="preserve">saldo banking </t>
  </si>
  <si>
    <t>De grondslag voor correctie is Z1 of Z2 maar zal niet meer bedragen dan subtotaal B2</t>
  </si>
  <si>
    <t>Saldo exploitatie toets</t>
  </si>
  <si>
    <t>Saldo investeringstoets</t>
  </si>
  <si>
    <t>Conclusie overcompensatie exploitatie toets</t>
  </si>
  <si>
    <t>Conclusie overcompensatie investerings toets</t>
  </si>
  <si>
    <t>SDE11</t>
  </si>
  <si>
    <t>SDE12</t>
  </si>
  <si>
    <t>SDE13</t>
  </si>
  <si>
    <t>SDE14</t>
  </si>
  <si>
    <t>SDE15</t>
  </si>
  <si>
    <t>SDE16</t>
  </si>
  <si>
    <t>Variabel</t>
  </si>
  <si>
    <t>Vast</t>
  </si>
  <si>
    <t>Formule vast</t>
  </si>
  <si>
    <t>Formule variabel</t>
  </si>
  <si>
    <t>Forward banking productie per jaar</t>
  </si>
  <si>
    <t>forward banking productie</t>
  </si>
  <si>
    <t>Subsidiabele productie in SDE periode</t>
  </si>
  <si>
    <t>subsidiabele productie per jaar</t>
  </si>
  <si>
    <t>…. subsidies (euro's)</t>
  </si>
  <si>
    <t>…. subsidie (euro's)</t>
  </si>
  <si>
    <t>SDE17</t>
  </si>
  <si>
    <t>SDE18</t>
  </si>
  <si>
    <t>Ontvangen subsidies voor de productie-installatie (bijv. TKI, DEI, MEI of andere subsidies van RVO)</t>
  </si>
  <si>
    <t xml:space="preserve">Ontvangen subsidies voor de productie-installatie </t>
  </si>
  <si>
    <t>Wind op land &lt;6MW</t>
  </si>
  <si>
    <t>Wind op land &gt;6MW</t>
  </si>
  <si>
    <t>Wind op meer</t>
  </si>
  <si>
    <t>Vul  opmerkingen / afwijkingen in als er is afgeweken van de gegevens van de aanvrager of als er is afgeweken  van bepaalde richtlijnen of als er bijzonderheden zijn.</t>
  </si>
  <si>
    <t>Hier kan je ook motiveren waarom er gekozen is voor bepaalde invoergegevens</t>
  </si>
  <si>
    <t>Is accountantsverklaring aanwezig?</t>
  </si>
  <si>
    <t>Ja/Nvt</t>
  </si>
  <si>
    <t>Investeringsgegevens</t>
  </si>
  <si>
    <t>Zijn de opgegeven investeringskosten reeël?</t>
  </si>
  <si>
    <t>ECN Norm</t>
  </si>
  <si>
    <t>Gerealiseerd vermogen</t>
  </si>
  <si>
    <t>Investering ECN Norm</t>
  </si>
  <si>
    <t>Opgegeven investering</t>
  </si>
  <si>
    <t>Conclusie:</t>
  </si>
  <si>
    <t>Fiscale instrumenten</t>
  </si>
  <si>
    <t>Beschikkingsnummer invullen en controleren of de gegevens overeen komen met BAS</t>
  </si>
  <si>
    <t>Eigen vermogen ingevuld</t>
  </si>
  <si>
    <t>Is onderbouwing eigen vermogen bijgevoegd?</t>
  </si>
  <si>
    <t>verdisconteringsvoet opzoeken via de link en invullen</t>
  </si>
  <si>
    <t>Exploitatie</t>
  </si>
  <si>
    <t>MSK rekenmodel voor wind (zonder windfactor)</t>
  </si>
  <si>
    <t>Vul hier de werkelijke investeringskosten  voor uw productie-installatie voor duurzame energie in. Het betreft dus alleen het deel dat voor de opwekking van duurzame energie bestemd is. Het gaat om de investering die betrekking heeft op de SDE aanvraag. In artikel 36 van de Communautaire Kaderregeling inzake Staatssteun en ten behoeve van het Milieu staat geformuleerd welke kosten als investeringskosten worden aangemerkt. Indien de subsidie-ontvanger een subsidieverlening van meer dan € 125.000 heeft ontvangen, dient bovengenoemd overzicht tevens vergezeld te gaan van een goedkeurende accountantsverklaring. De accountantsverklaring wordt opgesteld conform de modelaccountantsverklaring en het bijbehorende controleprotocol. De modelaccountantsverklaring en het controleprotocol kunt u vinden op de website www.rvo.nl/sde.</t>
  </si>
  <si>
    <t>EIA aftrekpercentage bedraagt in 2014 en 2015 41,5% (forfaitair).In 2016 is dit percentage 58%. Voor 2017 is de aftrek 55% en voor 2018 54,5%</t>
  </si>
  <si>
    <t xml:space="preserve">Zie  onderstaande link (link kopiëren en in Google plakken) </t>
  </si>
  <si>
    <t>http://ec.europa.eu/competition/state_aid/legislation/reference_rates.html</t>
  </si>
  <si>
    <t>Het tarief marktwaarde stroom waartegen de MSK-toets wordt doorgerekend. Bij Wind is dat gecorrigeerd met de windfactor 1,25 (vanaf 2016 is de windfactor niet meer van toepassing). Bij ZON PV wordt het correctiebedrag gebruikt.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</si>
</sst>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4" formatCode="_ &quot;€&quot;\ * #,##0.00_ ;_ &quot;€&quot;\ * \-#,##0.00_ ;_ &quot;€&quot;\ * &quot;-&quot;??_ ;_ @_ "/>
    <numFmt numFmtId="43" formatCode="_ * #,##0.00_ ;_ * \-#,##0.00_ ;_ * &quot;-&quot;??_ ;_ @_ "/>
    <numFmt numFmtId="164" formatCode="&quot;€&quot;\ #,##0.00_-;[Red]&quot;€&quot;\ #,##0.00\-"/>
    <numFmt numFmtId="165" formatCode="_-* #,##0.00_-;_-* #,##0.00\-;_-* &quot;-&quot;??_-;_-@_-"/>
    <numFmt numFmtId="166" formatCode="_-* #,##0_-;_-* #,##0\-;_-* &quot;-&quot;??_-;_-@_-"/>
    <numFmt numFmtId="167" formatCode="0.0%"/>
    <numFmt numFmtId="168" formatCode="_-* #,##0.0_-;_-* #,##0.0\-;_-* &quot;-&quot;??_-;_-@_-"/>
    <numFmt numFmtId="169" formatCode="_-* #,##0.000_-;_-* #,##0.000\-;_-* &quot;-&quot;??_-;_-@_-"/>
    <numFmt numFmtId="170" formatCode="0.0000000"/>
    <numFmt numFmtId="171" formatCode="_-* #,##0.00000_-;_-* #,##0.00000\-;_-* &quot;-&quot;??_-;_-@_-"/>
    <numFmt numFmtId="172" formatCode="_-* #,##0.000000_-;_-* #,##0.000000\-;_-* &quot;-&quot;??_-;_-@_-"/>
    <numFmt numFmtId="173" formatCode="_-* #,##0.0000000_-;_-* #,##0.0000000\-;_-* &quot;-&quot;??_-;_-@_-"/>
    <numFmt numFmtId="174" formatCode="#,##0_ ;\-#,##0\ "/>
    <numFmt numFmtId="175" formatCode="d/mm/yy;@"/>
    <numFmt numFmtId="176" formatCode="dd/mm/yy;@"/>
    <numFmt numFmtId="177" formatCode="_-* #,##0.000000000_-;_-* #,##0.000000000\-;_-* &quot;-&quot;??_-;_-@_-"/>
    <numFmt numFmtId="178" formatCode="&quot;€&quot;\ #,##0.00_-"/>
    <numFmt numFmtId="179" formatCode="&quot;€&quot;\ #,##0_-"/>
    <numFmt numFmtId="180" formatCode="0.###"/>
    <numFmt numFmtId="181" formatCode="0.000"/>
    <numFmt numFmtId="182" formatCode="_-* #,##0.000000_-;_-* #,##0.000000\-;_-* &quot;-&quot;??????_-;_-@_-"/>
    <numFmt numFmtId="183" formatCode="_-* #,##0.000_-;_-* #,##0.000\-;_-* &quot;-&quot;???_-;_-@_-"/>
    <numFmt numFmtId="184" formatCode="_-* #,##0.0000_-;_-* #,##0.0000\-;_-* &quot;-&quot;??_-;_-@_-"/>
    <numFmt numFmtId="185" formatCode="&quot;€&quot;\ #,##0.00000_-;[Red]&quot;€&quot;\ #,##0.00000\-"/>
    <numFmt numFmtId="186" formatCode="_-* #,##0.0000_-;_-* #,##0.0000\-;_-* &quot;-&quot;????_-;_-@_-"/>
    <numFmt numFmtId="187" formatCode="0.0000"/>
    <numFmt numFmtId="188" formatCode="0.000000"/>
    <numFmt numFmtId="189" formatCode="0.000%"/>
    <numFmt numFmtId="190" formatCode="0.0000%"/>
    <numFmt numFmtId="191" formatCode="&quot;€&quot;\ #,##0.000000_-;[Red]&quot;€&quot;\ #,##0.000000\-"/>
    <numFmt numFmtId="192" formatCode="_-* #,##0.00000000_-;_-* #,##0.00000000\-;_-* &quot;-&quot;??_-;_-@_-"/>
    <numFmt numFmtId="193" formatCode="_-&quot;€&quot;\ * #,##0.00_-;_-&quot;€&quot;\ * #,##0.00\-;_-&quot;€&quot;\ * &quot;-&quot;??_-;_-@_-"/>
    <numFmt numFmtId="194" formatCode="&quot;€&quot;\ #,##0.00"/>
    <numFmt numFmtId="195" formatCode="_ [$€-413]\ * #,##0.00_ ;_ [$€-413]\ * \-#,##0.00_ ;_ [$€-413]\ * &quot;-&quot;??_ ;_ @_ "/>
  </numFmts>
  <fonts count="70" x14ac:knownFonts="1">
    <font>
      <sz val="10"/>
      <name val="Times New Roman"/>
    </font>
    <font>
      <sz val="10"/>
      <name val="Times New Roman"/>
      <family val="1"/>
    </font>
    <font>
      <b/>
      <sz val="14"/>
      <name val="Times New Roman"/>
      <family val="1"/>
    </font>
    <font>
      <sz val="10"/>
      <name val="Times New Roman"/>
      <family val="1"/>
    </font>
    <font>
      <b/>
      <sz val="10"/>
      <name val="Times New Roman"/>
      <family val="1"/>
    </font>
    <font>
      <b/>
      <sz val="12"/>
      <name val="Times New Roman"/>
      <family val="1"/>
    </font>
    <font>
      <b/>
      <sz val="11"/>
      <name val="Times New Roman"/>
      <family val="1"/>
    </font>
    <font>
      <sz val="11"/>
      <name val="Times New Roman"/>
      <family val="1"/>
    </font>
    <font>
      <sz val="11"/>
      <color indexed="10"/>
      <name val="Times New Roman"/>
      <family val="1"/>
    </font>
    <font>
      <sz val="11"/>
      <name val="Times New Roman"/>
      <family val="1"/>
    </font>
    <font>
      <u/>
      <sz val="6"/>
      <color indexed="12"/>
      <name val="Times New Roman"/>
      <family val="1"/>
    </font>
    <font>
      <b/>
      <sz val="11"/>
      <color indexed="10"/>
      <name val="Times New Roman"/>
      <family val="1"/>
    </font>
    <font>
      <sz val="10"/>
      <color indexed="10"/>
      <name val="Times New Roman"/>
      <family val="1"/>
    </font>
    <font>
      <sz val="10"/>
      <name val="Arial"/>
      <family val="2"/>
    </font>
    <font>
      <b/>
      <sz val="10"/>
      <color indexed="10"/>
      <name val="Times New Roman"/>
      <family val="1"/>
    </font>
    <font>
      <sz val="11"/>
      <color indexed="57"/>
      <name val="Times New Roman"/>
      <family val="1"/>
    </font>
    <font>
      <sz val="9"/>
      <name val="Arial"/>
      <family val="2"/>
    </font>
    <font>
      <b/>
      <sz val="9"/>
      <name val="Arial"/>
      <family val="2"/>
    </font>
    <font>
      <sz val="10"/>
      <color indexed="10"/>
      <name val="Arial"/>
      <family val="2"/>
    </font>
    <font>
      <sz val="10"/>
      <name val="Times New Roman"/>
      <family val="1"/>
    </font>
    <font>
      <sz val="10"/>
      <name val="Arial"/>
      <family val="2"/>
    </font>
    <font>
      <i/>
      <sz val="10"/>
      <name val="Arial"/>
      <family val="2"/>
    </font>
    <font>
      <b/>
      <i/>
      <sz val="10"/>
      <name val="Arial"/>
      <family val="2"/>
    </font>
    <font>
      <b/>
      <sz val="10"/>
      <name val="Arial"/>
      <family val="2"/>
    </font>
    <font>
      <b/>
      <sz val="9"/>
      <name val="Arial"/>
      <family val="2"/>
    </font>
    <font>
      <sz val="9"/>
      <name val="Arial"/>
      <family val="2"/>
    </font>
    <font>
      <sz val="10"/>
      <color indexed="12"/>
      <name val="Times New Roman"/>
      <family val="1"/>
    </font>
    <font>
      <sz val="10"/>
      <color indexed="9"/>
      <name val="Times New Roman"/>
      <family val="1"/>
    </font>
    <font>
      <sz val="10"/>
      <color indexed="48"/>
      <name val="Times New Roman"/>
      <family val="1"/>
    </font>
    <font>
      <b/>
      <sz val="10"/>
      <name val="Arial"/>
      <family val="2"/>
    </font>
    <font>
      <sz val="11"/>
      <color indexed="14"/>
      <name val="Times New Roman"/>
      <family val="1"/>
    </font>
    <font>
      <b/>
      <sz val="12"/>
      <name val="Arial"/>
      <family val="2"/>
    </font>
    <font>
      <sz val="10"/>
      <color indexed="10"/>
      <name val="Arial"/>
      <family val="2"/>
    </font>
    <font>
      <b/>
      <sz val="10"/>
      <color indexed="10"/>
      <name val="Arial"/>
      <family val="2"/>
    </font>
    <font>
      <sz val="8"/>
      <name val="Times New Roman"/>
      <family val="1"/>
    </font>
    <font>
      <b/>
      <u/>
      <sz val="10"/>
      <name val="Times New Roman"/>
      <family val="1"/>
    </font>
    <font>
      <b/>
      <sz val="16"/>
      <name val="Times New Roman"/>
      <family val="1"/>
    </font>
    <font>
      <b/>
      <u/>
      <sz val="16"/>
      <name val="Times New Roman"/>
      <family val="1"/>
    </font>
    <font>
      <sz val="14"/>
      <name val="Times New Roman"/>
      <family val="1"/>
    </font>
    <font>
      <sz val="16"/>
      <name val="Times New Roman"/>
      <family val="1"/>
    </font>
    <font>
      <sz val="12"/>
      <name val="Times New Roman"/>
      <family val="1"/>
    </font>
    <font>
      <b/>
      <sz val="12"/>
      <color indexed="10"/>
      <name val="Arial"/>
      <family val="2"/>
    </font>
    <font>
      <u/>
      <sz val="6"/>
      <color indexed="12"/>
      <name val="Arial"/>
      <family val="2"/>
    </font>
    <font>
      <sz val="10"/>
      <name val="Times New Roman"/>
      <family val="1"/>
    </font>
    <font>
      <sz val="10"/>
      <color indexed="14"/>
      <name val="Times New Roman"/>
      <family val="1"/>
    </font>
    <font>
      <sz val="10"/>
      <color indexed="48"/>
      <name val="Arial"/>
      <family val="2"/>
    </font>
    <font>
      <b/>
      <u/>
      <sz val="14"/>
      <name val="Times New Roman"/>
      <family val="1"/>
    </font>
    <font>
      <u/>
      <sz val="11"/>
      <color indexed="12"/>
      <name val="Times New Roman"/>
      <family val="1"/>
    </font>
    <font>
      <sz val="11"/>
      <color indexed="10"/>
      <name val="Times New Roman"/>
      <family val="1"/>
    </font>
    <font>
      <b/>
      <sz val="11"/>
      <name val="Times New Roman"/>
      <family val="1"/>
    </font>
    <font>
      <sz val="11"/>
      <color indexed="57"/>
      <name val="Times New Roman"/>
      <family val="1"/>
    </font>
    <font>
      <u/>
      <sz val="11"/>
      <color indexed="12"/>
      <name val="Times New Roman"/>
      <family val="1"/>
    </font>
    <font>
      <u/>
      <sz val="10"/>
      <color indexed="12"/>
      <name val="Times New Roman"/>
      <family val="1"/>
    </font>
    <font>
      <sz val="10"/>
      <name val="Times New Roman"/>
      <family val="1"/>
    </font>
    <font>
      <b/>
      <sz val="10"/>
      <color indexed="10"/>
      <name val="Arial"/>
      <family val="2"/>
    </font>
    <font>
      <b/>
      <sz val="12"/>
      <color indexed="10"/>
      <name val="Times New Roman"/>
      <family val="1"/>
    </font>
    <font>
      <u/>
      <sz val="10"/>
      <color indexed="12"/>
      <name val="Arial"/>
      <family val="2"/>
    </font>
    <font>
      <sz val="12"/>
      <color indexed="10"/>
      <name val="Times New Roman"/>
      <family val="1"/>
    </font>
    <font>
      <sz val="10"/>
      <color indexed="10"/>
      <name val="Times New Roman"/>
      <family val="1"/>
    </font>
    <font>
      <b/>
      <u/>
      <sz val="10"/>
      <color indexed="10"/>
      <name val="Times New Roman"/>
      <family val="1"/>
    </font>
    <font>
      <u/>
      <sz val="10"/>
      <color indexed="48"/>
      <name val="Times New Roman"/>
      <family val="1"/>
    </font>
    <font>
      <sz val="8"/>
      <color indexed="81"/>
      <name val="Tahoma"/>
      <family val="2"/>
    </font>
    <font>
      <b/>
      <sz val="8"/>
      <color indexed="81"/>
      <name val="Tahoma"/>
      <family val="2"/>
    </font>
    <font>
      <b/>
      <u/>
      <sz val="12"/>
      <color indexed="10"/>
      <name val="Times New Roman"/>
      <family val="1"/>
    </font>
    <font>
      <sz val="9"/>
      <name val="Times New Roman"/>
      <family val="1"/>
    </font>
    <font>
      <b/>
      <u/>
      <sz val="9"/>
      <name val="Times New Roman"/>
      <family val="1"/>
    </font>
    <font>
      <b/>
      <sz val="9"/>
      <name val="Times New Roman"/>
      <family val="1"/>
    </font>
    <font>
      <b/>
      <sz val="9"/>
      <color indexed="10"/>
      <name val="Times New Roman"/>
      <family val="1"/>
    </font>
    <font>
      <b/>
      <sz val="20"/>
      <name val="Times New Roman"/>
      <family val="1"/>
    </font>
    <font>
      <sz val="10"/>
      <name val="Times New Roman"/>
    </font>
  </fonts>
  <fills count="14">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1"/>
        <bgColor indexed="64"/>
      </patternFill>
    </fill>
    <fill>
      <patternFill patternType="solid">
        <fgColor indexed="41"/>
        <bgColor indexed="64"/>
      </patternFill>
    </fill>
    <fill>
      <patternFill patternType="solid">
        <fgColor indexed="44"/>
        <bgColor indexed="64"/>
      </patternFill>
    </fill>
    <fill>
      <patternFill patternType="solid">
        <fgColor indexed="10"/>
        <bgColor indexed="64"/>
      </patternFill>
    </fill>
    <fill>
      <patternFill patternType="solid">
        <fgColor theme="9" tint="0.39997558519241921"/>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medium">
        <color indexed="64"/>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thin">
        <color indexed="9"/>
      </bottom>
      <diagonal/>
    </border>
    <border>
      <left style="medium">
        <color indexed="64"/>
      </left>
      <right style="thin">
        <color indexed="9"/>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right style="thin">
        <color indexed="9"/>
      </right>
      <top style="thin">
        <color indexed="9"/>
      </top>
      <bottom style="thin">
        <color indexed="9"/>
      </bottom>
      <diagonal/>
    </border>
    <border>
      <left style="thin">
        <color indexed="9"/>
      </left>
      <right style="medium">
        <color indexed="64"/>
      </right>
      <top style="medium">
        <color indexed="64"/>
      </top>
      <bottom style="thin">
        <color indexed="9"/>
      </bottom>
      <diagonal/>
    </border>
    <border>
      <left style="thin">
        <color indexed="9"/>
      </left>
      <right style="medium">
        <color indexed="64"/>
      </right>
      <top style="thin">
        <color indexed="9"/>
      </top>
      <bottom style="thin">
        <color indexed="9"/>
      </bottom>
      <diagonal/>
    </border>
    <border>
      <left style="thin">
        <color indexed="9"/>
      </left>
      <right style="medium">
        <color indexed="64"/>
      </right>
      <top style="thin">
        <color indexed="9"/>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10" fillId="0" borderId="0" applyNumberFormat="0" applyFill="0" applyBorder="0" applyAlignment="0" applyProtection="0">
      <alignment vertical="top"/>
      <protection locked="0"/>
    </xf>
    <xf numFmtId="165" fontId="1" fillId="0" borderId="0" applyFont="0" applyFill="0" applyBorder="0" applyAlignment="0" applyProtection="0"/>
    <xf numFmtId="9" fontId="1" fillId="0" borderId="0" applyFont="0" applyFill="0" applyBorder="0" applyAlignment="0" applyProtection="0"/>
    <xf numFmtId="0" fontId="1" fillId="0" borderId="0"/>
    <xf numFmtId="193" fontId="1" fillId="0" borderId="0" applyFont="0" applyFill="0" applyBorder="0" applyAlignment="0" applyProtection="0"/>
    <xf numFmtId="44" fontId="69" fillId="0" borderId="0" applyFont="0" applyFill="0" applyBorder="0" applyAlignment="0" applyProtection="0"/>
  </cellStyleXfs>
  <cellXfs count="626">
    <xf numFmtId="0" fontId="0" fillId="0" borderId="0" xfId="0"/>
    <xf numFmtId="0" fontId="3" fillId="0" borderId="0" xfId="0" applyFont="1"/>
    <xf numFmtId="0" fontId="4" fillId="0" borderId="0" xfId="0" applyFont="1"/>
    <xf numFmtId="0" fontId="6" fillId="0" borderId="0" xfId="0" applyFont="1"/>
    <xf numFmtId="0" fontId="7" fillId="0" borderId="0" xfId="0" applyFont="1" applyBorder="1"/>
    <xf numFmtId="0" fontId="7" fillId="0" borderId="0" xfId="0" applyFont="1" applyBorder="1" applyAlignment="1">
      <alignment horizontal="right"/>
    </xf>
    <xf numFmtId="0" fontId="0" fillId="0" borderId="0" xfId="0" applyBorder="1"/>
    <xf numFmtId="166" fontId="0" fillId="0" borderId="0" xfId="2" applyNumberFormat="1" applyFont="1"/>
    <xf numFmtId="166" fontId="0" fillId="0" borderId="0" xfId="0" applyNumberFormat="1"/>
    <xf numFmtId="0" fontId="7" fillId="0" borderId="1" xfId="0" applyFont="1" applyBorder="1"/>
    <xf numFmtId="166" fontId="8" fillId="0" borderId="1" xfId="2" applyNumberFormat="1" applyFont="1" applyBorder="1"/>
    <xf numFmtId="0" fontId="7" fillId="0" borderId="2" xfId="0" applyFont="1" applyBorder="1"/>
    <xf numFmtId="0" fontId="0" fillId="0" borderId="1" xfId="0" applyBorder="1" applyAlignment="1">
      <alignment horizontal="right"/>
    </xf>
    <xf numFmtId="166" fontId="7" fillId="0" borderId="1" xfId="2" applyNumberFormat="1" applyFont="1" applyBorder="1"/>
    <xf numFmtId="0" fontId="7" fillId="0" borderId="1" xfId="0" applyFont="1" applyFill="1" applyBorder="1"/>
    <xf numFmtId="165" fontId="7" fillId="0" borderId="1" xfId="2" applyNumberFormat="1" applyFont="1" applyBorder="1"/>
    <xf numFmtId="0" fontId="6" fillId="0" borderId="1" xfId="0" applyFont="1" applyBorder="1"/>
    <xf numFmtId="166" fontId="7" fillId="0" borderId="1" xfId="2" applyNumberFormat="1" applyFont="1" applyBorder="1" applyAlignment="1">
      <alignment horizontal="right"/>
    </xf>
    <xf numFmtId="0" fontId="1" fillId="0" borderId="0" xfId="0" applyFont="1"/>
    <xf numFmtId="0" fontId="11" fillId="0" borderId="1" xfId="0" applyFont="1" applyBorder="1"/>
    <xf numFmtId="0" fontId="0" fillId="0" borderId="1" xfId="0" applyBorder="1"/>
    <xf numFmtId="166" fontId="0" fillId="0" borderId="0" xfId="2" applyNumberFormat="1" applyFont="1" applyBorder="1"/>
    <xf numFmtId="166" fontId="11" fillId="0" borderId="1" xfId="2" applyNumberFormat="1" applyFont="1" applyBorder="1"/>
    <xf numFmtId="166" fontId="6" fillId="0" borderId="1" xfId="2" applyNumberFormat="1" applyFont="1" applyBorder="1"/>
    <xf numFmtId="0" fontId="0" fillId="2" borderId="0" xfId="0" applyFill="1"/>
    <xf numFmtId="0" fontId="7" fillId="2" borderId="0" xfId="0" applyFont="1" applyFill="1"/>
    <xf numFmtId="9" fontId="8" fillId="0" borderId="0" xfId="3" applyFont="1" applyFill="1" applyBorder="1"/>
    <xf numFmtId="166" fontId="8" fillId="0" borderId="1" xfId="2" applyNumberFormat="1" applyFont="1" applyFill="1" applyBorder="1"/>
    <xf numFmtId="166" fontId="7" fillId="0" borderId="1" xfId="2" applyNumberFormat="1" applyFont="1" applyFill="1" applyBorder="1"/>
    <xf numFmtId="0" fontId="0" fillId="0" borderId="3" xfId="0" applyBorder="1"/>
    <xf numFmtId="166" fontId="7" fillId="0" borderId="4" xfId="2" applyNumberFormat="1" applyFont="1" applyBorder="1"/>
    <xf numFmtId="0" fontId="7" fillId="0" borderId="5" xfId="0" applyFont="1" applyBorder="1"/>
    <xf numFmtId="0" fontId="6" fillId="0" borderId="6" xfId="0" applyFont="1" applyBorder="1"/>
    <xf numFmtId="0" fontId="0" fillId="0" borderId="7" xfId="0" applyBorder="1"/>
    <xf numFmtId="9" fontId="7" fillId="0" borderId="0" xfId="3" applyFont="1" applyFill="1" applyBorder="1"/>
    <xf numFmtId="9" fontId="0" fillId="0" borderId="0" xfId="0" applyNumberFormat="1"/>
    <xf numFmtId="10" fontId="7" fillId="0" borderId="0" xfId="3" applyNumberFormat="1" applyFont="1" applyFill="1" applyBorder="1" applyAlignment="1">
      <alignment horizontal="left"/>
    </xf>
    <xf numFmtId="0" fontId="0" fillId="0" borderId="0" xfId="0" applyFill="1" applyBorder="1"/>
    <xf numFmtId="0" fontId="0" fillId="0" borderId="0" xfId="0" applyFill="1"/>
    <xf numFmtId="166" fontId="6" fillId="0" borderId="1" xfId="2" applyNumberFormat="1" applyFont="1" applyBorder="1" applyAlignment="1">
      <alignment horizontal="left"/>
    </xf>
    <xf numFmtId="0" fontId="6" fillId="0" borderId="1" xfId="0" applyFont="1" applyFill="1" applyBorder="1"/>
    <xf numFmtId="166" fontId="6" fillId="0" borderId="1" xfId="2" applyNumberFormat="1" applyFont="1" applyFill="1" applyBorder="1"/>
    <xf numFmtId="166" fontId="6" fillId="0" borderId="1" xfId="2" applyNumberFormat="1" applyFont="1" applyBorder="1" applyAlignment="1">
      <alignment horizontal="right"/>
    </xf>
    <xf numFmtId="166" fontId="7" fillId="0" borderId="1" xfId="2" applyNumberFormat="1" applyFont="1" applyFill="1" applyBorder="1" applyAlignment="1">
      <alignment horizontal="right"/>
    </xf>
    <xf numFmtId="0" fontId="0" fillId="0" borderId="8" xfId="0" applyFill="1" applyBorder="1"/>
    <xf numFmtId="0" fontId="0" fillId="0" borderId="9" xfId="0" applyFill="1" applyBorder="1"/>
    <xf numFmtId="0" fontId="14" fillId="0" borderId="0" xfId="0" applyFont="1"/>
    <xf numFmtId="9" fontId="15" fillId="0" borderId="0" xfId="3" applyFont="1" applyFill="1" applyBorder="1"/>
    <xf numFmtId="166" fontId="0" fillId="0" borderId="6" xfId="2" quotePrefix="1" applyNumberFormat="1" applyFont="1" applyBorder="1"/>
    <xf numFmtId="0" fontId="0" fillId="3" borderId="0" xfId="0" applyFill="1"/>
    <xf numFmtId="0" fontId="0" fillId="0" borderId="10" xfId="0" applyBorder="1"/>
    <xf numFmtId="0" fontId="0" fillId="0" borderId="11" xfId="0" applyFill="1" applyBorder="1"/>
    <xf numFmtId="0" fontId="0" fillId="0" borderId="12" xfId="0" applyFill="1" applyBorder="1"/>
    <xf numFmtId="0" fontId="0" fillId="0" borderId="6" xfId="0" applyFill="1" applyBorder="1"/>
    <xf numFmtId="0" fontId="16" fillId="0" borderId="13" xfId="0" applyFont="1" applyFill="1" applyBorder="1"/>
    <xf numFmtId="9" fontId="16" fillId="0" borderId="7" xfId="0" applyNumberFormat="1" applyFont="1" applyFill="1" applyBorder="1" applyAlignment="1">
      <alignment horizontal="center"/>
    </xf>
    <xf numFmtId="166" fontId="16" fillId="0" borderId="14" xfId="2" applyNumberFormat="1" applyFont="1" applyFill="1" applyBorder="1"/>
    <xf numFmtId="0" fontId="16" fillId="0" borderId="7" xfId="0" applyFont="1" applyFill="1" applyBorder="1"/>
    <xf numFmtId="0" fontId="16" fillId="0" borderId="15" xfId="0" applyFont="1" applyFill="1" applyBorder="1"/>
    <xf numFmtId="0" fontId="16" fillId="0" borderId="8" xfId="0" applyFont="1" applyFill="1" applyBorder="1"/>
    <xf numFmtId="166" fontId="16" fillId="0" borderId="0" xfId="2" applyNumberFormat="1" applyFont="1" applyFill="1" applyBorder="1"/>
    <xf numFmtId="0" fontId="16" fillId="0" borderId="0" xfId="0" applyFont="1" applyFill="1" applyBorder="1"/>
    <xf numFmtId="0" fontId="16" fillId="0" borderId="9" xfId="0" applyFont="1" applyFill="1" applyBorder="1"/>
    <xf numFmtId="0" fontId="16" fillId="0" borderId="8" xfId="0" applyFont="1" applyFill="1" applyBorder="1" applyAlignment="1">
      <alignment wrapText="1"/>
    </xf>
    <xf numFmtId="9" fontId="16" fillId="0" borderId="0" xfId="0" applyNumberFormat="1" applyFont="1" applyFill="1" applyBorder="1" applyAlignment="1">
      <alignment horizontal="center"/>
    </xf>
    <xf numFmtId="0" fontId="16" fillId="0" borderId="0" xfId="0" applyFont="1" applyFill="1" applyBorder="1" applyAlignment="1">
      <alignment horizontal="left"/>
    </xf>
    <xf numFmtId="0" fontId="16" fillId="0" borderId="0" xfId="0" applyFont="1" applyFill="1" applyBorder="1" applyAlignment="1">
      <alignment horizontal="center"/>
    </xf>
    <xf numFmtId="0" fontId="17" fillId="0" borderId="0" xfId="0"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166" fontId="16" fillId="0" borderId="0" xfId="0" applyNumberFormat="1" applyFont="1" applyFill="1" applyBorder="1"/>
    <xf numFmtId="17" fontId="17" fillId="0" borderId="0" xfId="0" quotePrefix="1" applyNumberFormat="1" applyFont="1" applyFill="1" applyBorder="1" applyAlignment="1">
      <alignment horizontal="center"/>
    </xf>
    <xf numFmtId="0" fontId="17" fillId="0" borderId="0" xfId="0" quotePrefix="1" applyFont="1" applyFill="1" applyBorder="1" applyAlignment="1">
      <alignment horizontal="center"/>
    </xf>
    <xf numFmtId="0" fontId="16" fillId="0" borderId="16" xfId="0" applyFont="1" applyFill="1" applyBorder="1"/>
    <xf numFmtId="166" fontId="17" fillId="0" borderId="17" xfId="0" applyNumberFormat="1" applyFont="1" applyFill="1" applyBorder="1"/>
    <xf numFmtId="166" fontId="16" fillId="0" borderId="3" xfId="0" applyNumberFormat="1" applyFont="1" applyFill="1" applyBorder="1"/>
    <xf numFmtId="0" fontId="16" fillId="0" borderId="3" xfId="0" applyFont="1" applyFill="1" applyBorder="1"/>
    <xf numFmtId="0" fontId="18" fillId="0" borderId="0" xfId="0" applyFont="1" applyFill="1" applyBorder="1"/>
    <xf numFmtId="9" fontId="16" fillId="0" borderId="0" xfId="3" applyFont="1" applyFill="1" applyBorder="1"/>
    <xf numFmtId="1" fontId="16" fillId="0" borderId="0" xfId="0" applyNumberFormat="1" applyFont="1" applyFill="1" applyBorder="1"/>
    <xf numFmtId="10" fontId="16" fillId="0" borderId="0" xfId="0" applyNumberFormat="1" applyFont="1" applyFill="1" applyBorder="1"/>
    <xf numFmtId="9" fontId="0" fillId="0" borderId="0" xfId="3" applyFont="1"/>
    <xf numFmtId="0" fontId="19" fillId="0" borderId="0" xfId="0" applyFont="1" applyFill="1" applyBorder="1"/>
    <xf numFmtId="166" fontId="0" fillId="0" borderId="3" xfId="2" applyNumberFormat="1" applyFont="1" applyBorder="1"/>
    <xf numFmtId="167" fontId="0" fillId="0" borderId="0" xfId="3" applyNumberFormat="1" applyFont="1"/>
    <xf numFmtId="9" fontId="6" fillId="0" borderId="0" xfId="3" applyFont="1" applyFill="1" applyBorder="1"/>
    <xf numFmtId="3" fontId="0" fillId="0" borderId="0" xfId="0" applyNumberFormat="1" applyBorder="1"/>
    <xf numFmtId="0" fontId="20" fillId="0" borderId="0" xfId="0" applyFont="1"/>
    <xf numFmtId="0" fontId="21" fillId="0" borderId="0" xfId="0" applyFont="1" applyAlignment="1">
      <alignment horizontal="right"/>
    </xf>
    <xf numFmtId="0" fontId="22" fillId="0" borderId="0" xfId="0" applyFont="1"/>
    <xf numFmtId="0" fontId="22" fillId="0" borderId="0" xfId="0" applyFont="1" applyAlignment="1">
      <alignment horizontal="right"/>
    </xf>
    <xf numFmtId="0" fontId="21" fillId="0" borderId="0" xfId="0" applyFont="1"/>
    <xf numFmtId="0" fontId="11" fillId="0" borderId="0" xfId="0" applyFont="1"/>
    <xf numFmtId="0" fontId="13" fillId="0" borderId="0" xfId="0" applyFont="1" applyFill="1" applyBorder="1"/>
    <xf numFmtId="166" fontId="13" fillId="0" borderId="0" xfId="2" applyNumberFormat="1" applyFont="1" applyFill="1" applyBorder="1"/>
    <xf numFmtId="17" fontId="24" fillId="0" borderId="0" xfId="0" quotePrefix="1" applyNumberFormat="1" applyFont="1" applyFill="1" applyBorder="1" applyAlignment="1">
      <alignment horizontal="center"/>
    </xf>
    <xf numFmtId="166" fontId="25" fillId="0" borderId="0" xfId="2" applyNumberFormat="1" applyFont="1" applyFill="1" applyBorder="1"/>
    <xf numFmtId="9" fontId="13" fillId="0" borderId="0" xfId="3" applyFont="1" applyFill="1" applyBorder="1"/>
    <xf numFmtId="166" fontId="1" fillId="0" borderId="0" xfId="0" applyNumberFormat="1" applyFont="1"/>
    <xf numFmtId="166" fontId="1" fillId="0" borderId="0" xfId="2" applyNumberFormat="1" applyFont="1"/>
    <xf numFmtId="0" fontId="2" fillId="0" borderId="0" xfId="0" applyFont="1"/>
    <xf numFmtId="0" fontId="4" fillId="0" borderId="13" xfId="0" applyFont="1" applyBorder="1"/>
    <xf numFmtId="166" fontId="0" fillId="0" borderId="15" xfId="2" applyNumberFormat="1" applyFont="1" applyBorder="1"/>
    <xf numFmtId="0" fontId="0" fillId="0" borderId="8" xfId="0" applyBorder="1"/>
    <xf numFmtId="166" fontId="0" fillId="0" borderId="9" xfId="2" applyNumberFormat="1" applyFont="1" applyBorder="1"/>
    <xf numFmtId="0" fontId="0" fillId="0" borderId="0" xfId="0" applyBorder="1" applyAlignment="1">
      <alignment horizontal="right"/>
    </xf>
    <xf numFmtId="0" fontId="3" fillId="0" borderId="0" xfId="0" applyFont="1" applyBorder="1" applyAlignment="1">
      <alignment horizontal="right"/>
    </xf>
    <xf numFmtId="166" fontId="4" fillId="0" borderId="0" xfId="2" applyNumberFormat="1" applyFont="1" applyBorder="1"/>
    <xf numFmtId="0" fontId="3" fillId="0" borderId="0" xfId="0" applyFont="1" applyBorder="1"/>
    <xf numFmtId="0" fontId="0" fillId="0" borderId="16" xfId="0" applyBorder="1"/>
    <xf numFmtId="166" fontId="4" fillId="0" borderId="10" xfId="2" applyNumberFormat="1" applyFont="1" applyBorder="1"/>
    <xf numFmtId="0" fontId="4" fillId="0" borderId="8" xfId="0" applyFont="1" applyBorder="1"/>
    <xf numFmtId="166" fontId="4" fillId="0" borderId="9" xfId="2" applyNumberFormat="1" applyFont="1" applyBorder="1"/>
    <xf numFmtId="166" fontId="0" fillId="0" borderId="10" xfId="2" applyNumberFormat="1" applyFont="1" applyBorder="1"/>
    <xf numFmtId="166" fontId="0" fillId="0" borderId="7" xfId="2" applyNumberFormat="1" applyFont="1" applyBorder="1"/>
    <xf numFmtId="166" fontId="0" fillId="0" borderId="0" xfId="2" quotePrefix="1" applyNumberFormat="1" applyFont="1" applyBorder="1"/>
    <xf numFmtId="0" fontId="16" fillId="0" borderId="8" xfId="0" quotePrefix="1" applyFont="1" applyFill="1" applyBorder="1"/>
    <xf numFmtId="0" fontId="17" fillId="0" borderId="8" xfId="0" applyFont="1" applyFill="1" applyBorder="1"/>
    <xf numFmtId="0" fontId="23" fillId="0" borderId="0" xfId="0" applyFont="1" applyFill="1" applyBorder="1"/>
    <xf numFmtId="166" fontId="23" fillId="0" borderId="18" xfId="2" applyNumberFormat="1" applyFont="1" applyFill="1" applyBorder="1"/>
    <xf numFmtId="166" fontId="3" fillId="0" borderId="9" xfId="2" applyNumberFormat="1" applyFont="1" applyBorder="1"/>
    <xf numFmtId="0" fontId="2" fillId="0" borderId="0" xfId="0" applyFont="1" applyBorder="1"/>
    <xf numFmtId="0" fontId="5" fillId="0" borderId="0" xfId="0" applyFont="1" applyBorder="1"/>
    <xf numFmtId="0" fontId="7" fillId="0" borderId="19" xfId="0" applyFont="1" applyBorder="1"/>
    <xf numFmtId="0" fontId="26" fillId="0" borderId="0" xfId="0" applyFont="1"/>
    <xf numFmtId="0" fontId="4" fillId="0" borderId="0" xfId="0" applyFont="1" applyBorder="1"/>
    <xf numFmtId="3" fontId="0" fillId="0" borderId="0" xfId="0" quotePrefix="1" applyNumberFormat="1" applyBorder="1"/>
    <xf numFmtId="166" fontId="0" fillId="0" borderId="0" xfId="0" quotePrefix="1" applyNumberFormat="1" applyAlignment="1">
      <alignment horizontal="left"/>
    </xf>
    <xf numFmtId="166" fontId="4" fillId="0" borderId="0" xfId="0" quotePrefix="1" applyNumberFormat="1" applyFont="1"/>
    <xf numFmtId="2" fontId="23" fillId="0" borderId="0" xfId="0" quotePrefix="1" applyNumberFormat="1" applyFont="1"/>
    <xf numFmtId="166" fontId="27" fillId="0" borderId="0" xfId="0" applyNumberFormat="1" applyFont="1"/>
    <xf numFmtId="0" fontId="1" fillId="0" borderId="0" xfId="0" applyFont="1" applyBorder="1"/>
    <xf numFmtId="166" fontId="20" fillId="0" borderId="0" xfId="0" applyNumberFormat="1" applyFont="1" applyAlignment="1">
      <alignment horizontal="right"/>
    </xf>
    <xf numFmtId="0" fontId="28" fillId="0" borderId="0" xfId="0" applyFont="1"/>
    <xf numFmtId="0" fontId="12" fillId="0" borderId="0" xfId="0" applyFont="1"/>
    <xf numFmtId="10" fontId="8" fillId="0" borderId="0" xfId="3" applyNumberFormat="1" applyFont="1" applyFill="1" applyBorder="1"/>
    <xf numFmtId="10" fontId="15" fillId="0" borderId="0" xfId="3" applyNumberFormat="1" applyFont="1" applyFill="1" applyBorder="1"/>
    <xf numFmtId="166" fontId="8" fillId="0" borderId="0" xfId="2" applyNumberFormat="1" applyFont="1" applyFill="1" applyBorder="1"/>
    <xf numFmtId="165" fontId="1" fillId="0" borderId="0" xfId="2" quotePrefix="1" applyFont="1" applyBorder="1"/>
    <xf numFmtId="0" fontId="5" fillId="0" borderId="0" xfId="0" applyFont="1"/>
    <xf numFmtId="10" fontId="8" fillId="0" borderId="0" xfId="3" applyNumberFormat="1" applyFont="1" applyFill="1" applyBorder="1" applyAlignment="1">
      <alignment horizontal="left"/>
    </xf>
    <xf numFmtId="9" fontId="16" fillId="0" borderId="0" xfId="0" applyNumberFormat="1" applyFont="1" applyFill="1" applyBorder="1"/>
    <xf numFmtId="166" fontId="6" fillId="4" borderId="6" xfId="2" applyNumberFormat="1" applyFont="1" applyFill="1" applyBorder="1" applyProtection="1">
      <protection locked="0"/>
    </xf>
    <xf numFmtId="0" fontId="7" fillId="0" borderId="5" xfId="0" applyFont="1" applyFill="1" applyBorder="1"/>
    <xf numFmtId="167" fontId="6" fillId="4" borderId="6" xfId="3" applyNumberFormat="1" applyFont="1" applyFill="1" applyBorder="1" applyProtection="1">
      <protection locked="0"/>
    </xf>
    <xf numFmtId="0" fontId="6" fillId="0" borderId="0" xfId="0" applyFont="1" applyFill="1" applyBorder="1"/>
    <xf numFmtId="166" fontId="6" fillId="0" borderId="0" xfId="0" applyNumberFormat="1" applyFont="1" applyBorder="1"/>
    <xf numFmtId="168" fontId="0" fillId="0" borderId="0" xfId="0" applyNumberFormat="1"/>
    <xf numFmtId="0" fontId="4" fillId="0" borderId="0" xfId="0" applyFont="1" applyAlignment="1">
      <alignment horizontal="left"/>
    </xf>
    <xf numFmtId="166" fontId="0" fillId="5" borderId="6" xfId="2" quotePrefix="1" applyNumberFormat="1" applyFont="1" applyFill="1" applyBorder="1"/>
    <xf numFmtId="0" fontId="6" fillId="0" borderId="0" xfId="0" applyFont="1" applyFill="1"/>
    <xf numFmtId="0" fontId="23" fillId="0" borderId="0" xfId="0" applyFont="1"/>
    <xf numFmtId="166" fontId="6" fillId="0" borderId="0" xfId="3" applyNumberFormat="1" applyFont="1" applyFill="1" applyBorder="1"/>
    <xf numFmtId="10" fontId="7" fillId="0" borderId="0" xfId="2" applyNumberFormat="1" applyFont="1" applyBorder="1"/>
    <xf numFmtId="0" fontId="29" fillId="0" borderId="0" xfId="0" applyFont="1"/>
    <xf numFmtId="10" fontId="1" fillId="0" borderId="0" xfId="3" applyNumberFormat="1" applyFont="1" applyBorder="1"/>
    <xf numFmtId="0" fontId="0" fillId="0" borderId="0" xfId="0" quotePrefix="1"/>
    <xf numFmtId="0" fontId="4" fillId="0" borderId="0" xfId="0" quotePrefix="1" applyFont="1"/>
    <xf numFmtId="166" fontId="7" fillId="0" borderId="0" xfId="2" applyNumberFormat="1" applyFont="1" applyFill="1" applyBorder="1"/>
    <xf numFmtId="0" fontId="6" fillId="0" borderId="0" xfId="0" applyFont="1" applyBorder="1"/>
    <xf numFmtId="166" fontId="8" fillId="0" borderId="0" xfId="2" applyNumberFormat="1" applyFont="1" applyBorder="1"/>
    <xf numFmtId="166" fontId="6" fillId="0" borderId="0" xfId="2" applyNumberFormat="1" applyFont="1" applyBorder="1"/>
    <xf numFmtId="166" fontId="23" fillId="0" borderId="0" xfId="2" quotePrefix="1" applyNumberFormat="1" applyFont="1" applyFill="1" applyAlignment="1">
      <alignment horizontal="right"/>
    </xf>
    <xf numFmtId="166" fontId="0" fillId="0" borderId="0" xfId="2" applyNumberFormat="1" applyFont="1" applyFill="1" applyAlignment="1">
      <alignment horizontal="right"/>
    </xf>
    <xf numFmtId="172" fontId="1" fillId="5" borderId="0" xfId="2" quotePrefix="1" applyNumberFormat="1" applyFont="1" applyFill="1" applyBorder="1"/>
    <xf numFmtId="10" fontId="7" fillId="0" borderId="0" xfId="2" applyNumberFormat="1" applyFont="1" applyFill="1" applyBorder="1"/>
    <xf numFmtId="0" fontId="31" fillId="0" borderId="0" xfId="0" applyFont="1"/>
    <xf numFmtId="0" fontId="12" fillId="0" borderId="0" xfId="0" quotePrefix="1" applyFont="1"/>
    <xf numFmtId="166" fontId="11" fillId="0" borderId="0" xfId="0" applyNumberFormat="1" applyFont="1" applyBorder="1"/>
    <xf numFmtId="165" fontId="0" fillId="0" borderId="0" xfId="2" applyFont="1"/>
    <xf numFmtId="168" fontId="12" fillId="0" borderId="0" xfId="0" applyNumberFormat="1" applyFont="1"/>
    <xf numFmtId="165" fontId="8" fillId="0" borderId="0" xfId="2" applyFont="1" applyFill="1" applyBorder="1"/>
    <xf numFmtId="14" fontId="0" fillId="0" borderId="0" xfId="0" applyNumberFormat="1"/>
    <xf numFmtId="165" fontId="0" fillId="0" borderId="0" xfId="2" quotePrefix="1" applyFont="1"/>
    <xf numFmtId="164" fontId="6" fillId="0" borderId="0" xfId="0" applyNumberFormat="1" applyFont="1" applyFill="1"/>
    <xf numFmtId="0" fontId="14" fillId="0" borderId="0" xfId="0" applyFont="1" applyFill="1" applyBorder="1"/>
    <xf numFmtId="0" fontId="33" fillId="0" borderId="0" xfId="0" applyFont="1" applyFill="1" applyBorder="1"/>
    <xf numFmtId="0" fontId="12" fillId="0" borderId="0" xfId="0" applyFont="1" applyFill="1" applyBorder="1"/>
    <xf numFmtId="0" fontId="32" fillId="0" borderId="0" xfId="0" applyFont="1" applyFill="1" applyBorder="1"/>
    <xf numFmtId="166" fontId="14" fillId="0" borderId="0" xfId="2" applyNumberFormat="1" applyFont="1" applyFill="1" applyBorder="1" applyProtection="1">
      <protection locked="0"/>
    </xf>
    <xf numFmtId="0" fontId="4" fillId="0" borderId="0" xfId="0" applyFont="1" applyFill="1" applyBorder="1"/>
    <xf numFmtId="165" fontId="0" fillId="0" borderId="0" xfId="0" applyNumberFormat="1"/>
    <xf numFmtId="0" fontId="23" fillId="0" borderId="8" xfId="0" applyFont="1" applyBorder="1"/>
    <xf numFmtId="0" fontId="23" fillId="0" borderId="0" xfId="0" applyFont="1" applyBorder="1"/>
    <xf numFmtId="0" fontId="23" fillId="0" borderId="9" xfId="0" applyFont="1" applyBorder="1" applyAlignment="1">
      <alignment horizontal="right"/>
    </xf>
    <xf numFmtId="0" fontId="4" fillId="0" borderId="0" xfId="0" applyFont="1" applyAlignment="1">
      <alignment horizontal="center"/>
    </xf>
    <xf numFmtId="10" fontId="0" fillId="6" borderId="1" xfId="3" applyNumberFormat="1" applyFont="1" applyFill="1" applyBorder="1"/>
    <xf numFmtId="10" fontId="0" fillId="0" borderId="0" xfId="3" applyNumberFormat="1" applyFont="1"/>
    <xf numFmtId="171" fontId="0" fillId="0" borderId="0" xfId="2" applyNumberFormat="1" applyFont="1"/>
    <xf numFmtId="10" fontId="0" fillId="0" borderId="0" xfId="0" applyNumberFormat="1"/>
    <xf numFmtId="166" fontId="0" fillId="6" borderId="1" xfId="2" applyNumberFormat="1" applyFont="1" applyFill="1" applyBorder="1"/>
    <xf numFmtId="0" fontId="0" fillId="6" borderId="1" xfId="2" applyNumberFormat="1" applyFont="1" applyFill="1" applyBorder="1"/>
    <xf numFmtId="165" fontId="4" fillId="0" borderId="6" xfId="2" applyFont="1" applyFill="1" applyBorder="1"/>
    <xf numFmtId="177" fontId="0" fillId="0" borderId="0" xfId="2" applyNumberFormat="1" applyFont="1"/>
    <xf numFmtId="173" fontId="0" fillId="0" borderId="0" xfId="2" applyNumberFormat="1" applyFont="1"/>
    <xf numFmtId="0" fontId="7" fillId="0" borderId="0" xfId="0" applyFont="1"/>
    <xf numFmtId="0" fontId="1" fillId="0" borderId="6" xfId="0" applyFont="1" applyBorder="1" applyProtection="1">
      <protection locked="0"/>
    </xf>
    <xf numFmtId="10" fontId="0" fillId="0" borderId="1" xfId="3" applyNumberFormat="1" applyFont="1" applyFill="1" applyBorder="1"/>
    <xf numFmtId="0" fontId="35" fillId="0" borderId="0" xfId="0" applyFont="1" applyFill="1" applyBorder="1"/>
    <xf numFmtId="0" fontId="35" fillId="0" borderId="0" xfId="0" applyFont="1" applyBorder="1"/>
    <xf numFmtId="0" fontId="36" fillId="0" borderId="0" xfId="0" applyFont="1"/>
    <xf numFmtId="0" fontId="37" fillId="0" borderId="0" xfId="0" applyFont="1"/>
    <xf numFmtId="10" fontId="0" fillId="0" borderId="0" xfId="3" applyNumberFormat="1" applyFont="1" applyFill="1" applyBorder="1"/>
    <xf numFmtId="166" fontId="6" fillId="0" borderId="0" xfId="2" applyNumberFormat="1" applyFont="1" applyFill="1" applyBorder="1" applyProtection="1">
      <protection locked="0"/>
    </xf>
    <xf numFmtId="0" fontId="36" fillId="0" borderId="1" xfId="0" applyFont="1" applyBorder="1"/>
    <xf numFmtId="0" fontId="39" fillId="0" borderId="0" xfId="0" applyFont="1"/>
    <xf numFmtId="0" fontId="40" fillId="0" borderId="0" xfId="0" applyFont="1"/>
    <xf numFmtId="9" fontId="7" fillId="0" borderId="6" xfId="3" applyFont="1" applyFill="1" applyBorder="1"/>
    <xf numFmtId="166" fontId="0" fillId="0" borderId="0" xfId="2" quotePrefix="1" applyNumberFormat="1" applyFont="1"/>
    <xf numFmtId="0" fontId="4" fillId="0" borderId="6" xfId="0" applyFont="1" applyBorder="1" applyAlignment="1" applyProtection="1">
      <alignment horizontal="center"/>
      <protection locked="0"/>
    </xf>
    <xf numFmtId="166" fontId="1" fillId="0" borderId="0" xfId="2" applyNumberFormat="1" applyBorder="1"/>
    <xf numFmtId="166" fontId="7" fillId="0" borderId="1" xfId="2" quotePrefix="1" applyNumberFormat="1" applyFont="1" applyFill="1" applyBorder="1"/>
    <xf numFmtId="166" fontId="5" fillId="0" borderId="0" xfId="0" applyNumberFormat="1" applyFont="1" applyBorder="1"/>
    <xf numFmtId="167" fontId="0" fillId="0" borderId="0" xfId="0" applyNumberFormat="1"/>
    <xf numFmtId="169" fontId="7" fillId="0" borderId="1" xfId="2" applyNumberFormat="1" applyFont="1" applyBorder="1"/>
    <xf numFmtId="166" fontId="6" fillId="0" borderId="0" xfId="0" applyNumberFormat="1" applyFont="1" applyFill="1" applyBorder="1"/>
    <xf numFmtId="0" fontId="1" fillId="0" borderId="6" xfId="0" applyFont="1" applyFill="1" applyBorder="1" applyProtection="1">
      <protection locked="0"/>
    </xf>
    <xf numFmtId="172" fontId="1" fillId="0" borderId="0" xfId="2" quotePrefix="1" applyNumberFormat="1" applyFont="1" applyFill="1" applyBorder="1"/>
    <xf numFmtId="166" fontId="0" fillId="0" borderId="0" xfId="2" quotePrefix="1" applyNumberFormat="1" applyFont="1" applyFill="1" applyBorder="1"/>
    <xf numFmtId="0" fontId="38" fillId="0" borderId="0" xfId="0" applyFont="1"/>
    <xf numFmtId="0" fontId="7" fillId="0" borderId="0" xfId="0" applyFont="1" applyFill="1" applyBorder="1"/>
    <xf numFmtId="166" fontId="0" fillId="0" borderId="0" xfId="0" applyNumberFormat="1" applyBorder="1"/>
    <xf numFmtId="166" fontId="1" fillId="0" borderId="0" xfId="2" quotePrefix="1" applyNumberFormat="1" applyFont="1" applyFill="1" applyBorder="1"/>
    <xf numFmtId="176" fontId="1" fillId="0" borderId="0" xfId="2" quotePrefix="1" applyNumberFormat="1" applyFont="1" applyFill="1" applyBorder="1"/>
    <xf numFmtId="0" fontId="31" fillId="0" borderId="0" xfId="0" applyFont="1" applyBorder="1"/>
    <xf numFmtId="0" fontId="1" fillId="0" borderId="12" xfId="0" applyFont="1" applyBorder="1" applyProtection="1">
      <protection locked="0"/>
    </xf>
    <xf numFmtId="9" fontId="4" fillId="0" borderId="0" xfId="0" applyNumberFormat="1" applyFont="1"/>
    <xf numFmtId="0" fontId="23" fillId="0" borderId="0" xfId="0" applyFont="1" applyAlignment="1"/>
    <xf numFmtId="174" fontId="0" fillId="0" borderId="0" xfId="2" applyNumberFormat="1" applyFont="1" applyFill="1" applyBorder="1" applyProtection="1">
      <protection locked="0"/>
    </xf>
    <xf numFmtId="0" fontId="3" fillId="0" borderId="0" xfId="0" applyFont="1" applyFill="1" applyBorder="1"/>
    <xf numFmtId="0" fontId="20" fillId="0" borderId="0" xfId="0" applyFont="1" applyFill="1" applyBorder="1"/>
    <xf numFmtId="166" fontId="40" fillId="0" borderId="0" xfId="2" applyNumberFormat="1" applyFont="1" applyBorder="1" applyAlignment="1">
      <alignment horizontal="left"/>
    </xf>
    <xf numFmtId="0" fontId="40" fillId="0" borderId="0" xfId="0" applyFont="1" applyBorder="1"/>
    <xf numFmtId="166" fontId="3" fillId="0" borderId="0" xfId="2" applyNumberFormat="1" applyFont="1" applyBorder="1"/>
    <xf numFmtId="166" fontId="5" fillId="0" borderId="0" xfId="2" applyNumberFormat="1" applyFont="1" applyBorder="1" applyAlignment="1">
      <alignment horizontal="left"/>
    </xf>
    <xf numFmtId="0" fontId="40" fillId="0" borderId="0" xfId="0" applyFont="1" applyFill="1" applyBorder="1"/>
    <xf numFmtId="168" fontId="0" fillId="0" borderId="0" xfId="2" applyNumberFormat="1" applyFont="1" applyBorder="1"/>
    <xf numFmtId="0" fontId="20" fillId="0" borderId="0" xfId="0" applyFont="1" applyAlignment="1">
      <alignment horizontal="left"/>
    </xf>
    <xf numFmtId="0" fontId="23" fillId="0" borderId="0" xfId="0" applyFont="1" applyAlignment="1">
      <alignment horizontal="left"/>
    </xf>
    <xf numFmtId="0" fontId="32" fillId="0" borderId="0" xfId="0" applyFont="1"/>
    <xf numFmtId="0" fontId="20" fillId="0" borderId="0" xfId="0" applyFont="1" applyBorder="1"/>
    <xf numFmtId="0" fontId="20" fillId="0" borderId="3" xfId="0" applyFont="1" applyBorder="1"/>
    <xf numFmtId="0" fontId="20" fillId="0" borderId="15" xfId="0" applyFont="1" applyBorder="1"/>
    <xf numFmtId="0" fontId="20" fillId="0" borderId="7" xfId="0" applyFont="1" applyBorder="1"/>
    <xf numFmtId="0" fontId="20" fillId="0" borderId="13" xfId="0" applyFont="1" applyBorder="1"/>
    <xf numFmtId="0" fontId="42" fillId="0" borderId="0" xfId="1" applyFont="1" applyAlignment="1" applyProtection="1"/>
    <xf numFmtId="0" fontId="20" fillId="0" borderId="0" xfId="0" applyFont="1" applyBorder="1" applyAlignment="1">
      <alignment horizontal="right"/>
    </xf>
    <xf numFmtId="0" fontId="20" fillId="0" borderId="10" xfId="0" applyFont="1" applyBorder="1" applyAlignment="1">
      <alignment horizontal="right"/>
    </xf>
    <xf numFmtId="0" fontId="20" fillId="0" borderId="16" xfId="0" applyFont="1" applyBorder="1"/>
    <xf numFmtId="0" fontId="20" fillId="0" borderId="9" xfId="0" applyFont="1" applyBorder="1" applyAlignment="1">
      <alignment horizontal="right"/>
    </xf>
    <xf numFmtId="0" fontId="20" fillId="0" borderId="0" xfId="0" applyFont="1" applyFill="1" applyBorder="1" applyAlignment="1">
      <alignment horizontal="left"/>
    </xf>
    <xf numFmtId="0" fontId="20" fillId="6" borderId="20" xfId="0" applyFont="1" applyFill="1" applyBorder="1" applyAlignment="1">
      <alignment horizontal="left"/>
    </xf>
    <xf numFmtId="0" fontId="20" fillId="6" borderId="21" xfId="0" applyFont="1" applyFill="1" applyBorder="1" applyAlignment="1">
      <alignment horizontal="left"/>
    </xf>
    <xf numFmtId="0" fontId="20" fillId="0" borderId="0" xfId="0" applyFont="1" applyFill="1"/>
    <xf numFmtId="0" fontId="20" fillId="6" borderId="6" xfId="0" applyFont="1" applyFill="1" applyBorder="1"/>
    <xf numFmtId="0" fontId="20" fillId="6" borderId="13" xfId="0" applyFont="1" applyFill="1" applyBorder="1" applyAlignment="1">
      <alignment horizontal="left"/>
    </xf>
    <xf numFmtId="0" fontId="3" fillId="0" borderId="0" xfId="0" applyFont="1" applyFill="1" applyBorder="1" applyAlignment="1">
      <alignment horizontal="right"/>
    </xf>
    <xf numFmtId="0" fontId="1" fillId="0" borderId="0" xfId="0" applyFont="1" applyAlignment="1"/>
    <xf numFmtId="0" fontId="4" fillId="0" borderId="0" xfId="0" applyFont="1" applyAlignment="1"/>
    <xf numFmtId="0" fontId="19" fillId="0" borderId="0" xfId="0" applyFont="1" applyAlignment="1"/>
    <xf numFmtId="0" fontId="19" fillId="0" borderId="0" xfId="0" applyFont="1" applyBorder="1" applyAlignment="1"/>
    <xf numFmtId="0" fontId="43" fillId="0" borderId="0" xfId="0" applyFont="1" applyAlignment="1"/>
    <xf numFmtId="0" fontId="3" fillId="0" borderId="0" xfId="0" applyFont="1" applyFill="1" applyBorder="1" applyAlignment="1"/>
    <xf numFmtId="0" fontId="19" fillId="0" borderId="0" xfId="0" applyFont="1" applyFill="1" applyAlignment="1"/>
    <xf numFmtId="0" fontId="12" fillId="0" borderId="0" xfId="0" applyFont="1" applyAlignment="1"/>
    <xf numFmtId="166" fontId="3" fillId="0" borderId="0" xfId="2" applyNumberFormat="1" applyFont="1" applyFill="1" applyBorder="1" applyAlignment="1"/>
    <xf numFmtId="166" fontId="44" fillId="0" borderId="0" xfId="2" applyNumberFormat="1" applyFont="1" applyFill="1" applyBorder="1" applyAlignment="1"/>
    <xf numFmtId="166" fontId="4" fillId="0" borderId="0" xfId="2" applyNumberFormat="1" applyFont="1" applyFill="1" applyBorder="1" applyAlignment="1"/>
    <xf numFmtId="0" fontId="6" fillId="0" borderId="22" xfId="0" applyFont="1" applyBorder="1"/>
    <xf numFmtId="0" fontId="6" fillId="0" borderId="4" xfId="0" applyFont="1" applyFill="1" applyBorder="1"/>
    <xf numFmtId="0" fontId="4" fillId="0" borderId="12" xfId="0" applyFont="1" applyBorder="1" applyAlignment="1" applyProtection="1">
      <alignment horizontal="center"/>
      <protection locked="0"/>
    </xf>
    <xf numFmtId="9" fontId="15" fillId="0" borderId="6" xfId="3" applyFont="1" applyFill="1" applyBorder="1"/>
    <xf numFmtId="166" fontId="6" fillId="0" borderId="6" xfId="0" applyNumberFormat="1" applyFont="1" applyFill="1" applyBorder="1"/>
    <xf numFmtId="0" fontId="43" fillId="0" borderId="23" xfId="0" applyFont="1" applyBorder="1" applyAlignment="1"/>
    <xf numFmtId="0" fontId="3" fillId="0" borderId="23" xfId="0" applyFont="1" applyFill="1" applyBorder="1" applyAlignment="1"/>
    <xf numFmtId="0" fontId="41" fillId="0" borderId="0" xfId="0" applyFont="1" applyBorder="1"/>
    <xf numFmtId="0" fontId="30" fillId="0" borderId="0" xfId="0" applyFont="1" applyFill="1" applyBorder="1"/>
    <xf numFmtId="166" fontId="0" fillId="7" borderId="0" xfId="2" quotePrefix="1" applyNumberFormat="1" applyFont="1" applyFill="1" applyBorder="1"/>
    <xf numFmtId="0" fontId="1" fillId="0" borderId="0" xfId="0" applyFont="1" applyBorder="1" applyProtection="1">
      <protection locked="0"/>
    </xf>
    <xf numFmtId="14" fontId="4" fillId="0" borderId="0" xfId="0" applyNumberFormat="1" applyFont="1" applyFill="1" applyBorder="1" applyProtection="1">
      <protection locked="0"/>
    </xf>
    <xf numFmtId="179" fontId="4" fillId="4" borderId="6" xfId="2" applyNumberFormat="1" applyFont="1" applyFill="1" applyBorder="1" applyProtection="1">
      <protection locked="0"/>
    </xf>
    <xf numFmtId="178" fontId="0" fillId="4" borderId="6" xfId="2" applyNumberFormat="1" applyFont="1" applyFill="1" applyBorder="1"/>
    <xf numFmtId="179" fontId="6" fillId="4" borderId="6" xfId="2" applyNumberFormat="1" applyFont="1" applyFill="1" applyBorder="1" applyProtection="1">
      <protection locked="0"/>
    </xf>
    <xf numFmtId="179" fontId="6" fillId="4" borderId="6" xfId="0" applyNumberFormat="1" applyFont="1" applyFill="1" applyBorder="1" applyProtection="1">
      <protection locked="0"/>
    </xf>
    <xf numFmtId="179" fontId="6" fillId="4" borderId="21" xfId="0" applyNumberFormat="1" applyFont="1" applyFill="1" applyBorder="1" applyProtection="1">
      <protection locked="0"/>
    </xf>
    <xf numFmtId="9" fontId="6" fillId="4" borderId="21" xfId="3" applyNumberFormat="1" applyFont="1" applyFill="1" applyBorder="1" applyProtection="1">
      <protection locked="0"/>
    </xf>
    <xf numFmtId="179" fontId="7" fillId="0" borderId="6" xfId="0" applyNumberFormat="1" applyFont="1" applyFill="1" applyBorder="1"/>
    <xf numFmtId="179" fontId="7" fillId="0" borderId="6" xfId="2" quotePrefix="1" applyNumberFormat="1" applyFont="1" applyBorder="1"/>
    <xf numFmtId="179" fontId="7" fillId="0" borderId="6" xfId="2" applyNumberFormat="1" applyFont="1" applyFill="1" applyBorder="1"/>
    <xf numFmtId="179" fontId="9" fillId="0" borderId="6" xfId="2" applyNumberFormat="1" applyFont="1" applyBorder="1"/>
    <xf numFmtId="179" fontId="7" fillId="0" borderId="20" xfId="3" applyNumberFormat="1" applyFont="1" applyFill="1" applyBorder="1"/>
    <xf numFmtId="179" fontId="7" fillId="0" borderId="6" xfId="3" applyNumberFormat="1" applyFont="1" applyFill="1" applyBorder="1"/>
    <xf numFmtId="179" fontId="7" fillId="0" borderId="6" xfId="2" applyNumberFormat="1" applyFont="1" applyBorder="1"/>
    <xf numFmtId="10" fontId="7" fillId="0" borderId="6" xfId="2" applyNumberFormat="1" applyFont="1" applyBorder="1"/>
    <xf numFmtId="179" fontId="7" fillId="0" borderId="21" xfId="0" applyNumberFormat="1" applyFont="1" applyBorder="1"/>
    <xf numFmtId="179" fontId="7" fillId="0" borderId="6" xfId="0" applyNumberFormat="1" applyFont="1" applyBorder="1"/>
    <xf numFmtId="179" fontId="7" fillId="0" borderId="24" xfId="0" applyNumberFormat="1" applyFont="1" applyBorder="1"/>
    <xf numFmtId="179" fontId="0" fillId="0" borderId="6" xfId="2" applyNumberFormat="1" applyFont="1" applyFill="1" applyBorder="1"/>
    <xf numFmtId="0" fontId="19" fillId="0" borderId="0" xfId="0" applyFont="1"/>
    <xf numFmtId="9" fontId="23" fillId="8" borderId="20" xfId="0" applyNumberFormat="1" applyFont="1" applyFill="1" applyBorder="1"/>
    <xf numFmtId="10" fontId="23" fillId="8" borderId="21" xfId="0" applyNumberFormat="1" applyFont="1" applyFill="1" applyBorder="1"/>
    <xf numFmtId="0" fontId="45" fillId="0" borderId="0" xfId="0" applyFont="1" applyAlignment="1">
      <alignment horizontal="left"/>
    </xf>
    <xf numFmtId="0" fontId="46" fillId="0" borderId="0" xfId="0" applyFont="1"/>
    <xf numFmtId="0" fontId="10" fillId="0" borderId="0" xfId="1" applyAlignment="1" applyProtection="1"/>
    <xf numFmtId="0" fontId="7" fillId="0" borderId="25" xfId="0" applyFont="1" applyBorder="1"/>
    <xf numFmtId="0" fontId="7" fillId="0" borderId="4" xfId="0" applyFont="1" applyBorder="1"/>
    <xf numFmtId="165" fontId="4" fillId="0" borderId="0" xfId="2" applyFont="1"/>
    <xf numFmtId="165" fontId="0" fillId="0" borderId="0" xfId="0" applyNumberFormat="1" applyBorder="1"/>
    <xf numFmtId="165" fontId="0" fillId="0" borderId="0" xfId="2" applyFont="1" applyBorder="1"/>
    <xf numFmtId="180" fontId="0" fillId="7" borderId="13" xfId="2" quotePrefix="1" applyNumberFormat="1" applyFont="1" applyFill="1" applyBorder="1"/>
    <xf numFmtId="180" fontId="0" fillId="7" borderId="18" xfId="2" quotePrefix="1" applyNumberFormat="1" applyFont="1" applyFill="1" applyBorder="1"/>
    <xf numFmtId="9" fontId="48" fillId="0" borderId="0" xfId="3" applyFont="1" applyFill="1" applyBorder="1"/>
    <xf numFmtId="0" fontId="52" fillId="0" borderId="0" xfId="1" applyFont="1" applyAlignment="1" applyProtection="1"/>
    <xf numFmtId="0" fontId="53" fillId="0" borderId="0" xfId="0" applyFont="1"/>
    <xf numFmtId="9" fontId="19" fillId="0" borderId="0" xfId="0" applyNumberFormat="1" applyFont="1"/>
    <xf numFmtId="0" fontId="38" fillId="0" borderId="0" xfId="0" applyFont="1" applyBorder="1"/>
    <xf numFmtId="0" fontId="6" fillId="4" borderId="6" xfId="0" applyFont="1" applyFill="1" applyBorder="1" applyProtection="1">
      <protection locked="0"/>
    </xf>
    <xf numFmtId="166" fontId="13" fillId="0" borderId="25" xfId="2" applyNumberFormat="1" applyFont="1" applyFill="1" applyBorder="1"/>
    <xf numFmtId="166" fontId="13" fillId="0" borderId="22" xfId="2" applyNumberFormat="1" applyFont="1" applyFill="1" applyBorder="1"/>
    <xf numFmtId="166" fontId="13" fillId="0" borderId="4" xfId="2" applyNumberFormat="1" applyFont="1" applyFill="1" applyBorder="1"/>
    <xf numFmtId="0" fontId="54" fillId="0" borderId="0" xfId="0" applyFont="1" applyFill="1" applyBorder="1"/>
    <xf numFmtId="0" fontId="0" fillId="0" borderId="4" xfId="0" applyBorder="1"/>
    <xf numFmtId="0" fontId="6" fillId="0" borderId="0" xfId="0" applyFont="1" applyFill="1" applyBorder="1" applyProtection="1">
      <protection locked="0"/>
    </xf>
    <xf numFmtId="0" fontId="7" fillId="0" borderId="26" xfId="0" applyFont="1" applyBorder="1"/>
    <xf numFmtId="0" fontId="0" fillId="0" borderId="25" xfId="0" applyBorder="1"/>
    <xf numFmtId="0" fontId="56" fillId="0" borderId="0" xfId="1" applyFont="1" applyAlignment="1" applyProtection="1"/>
    <xf numFmtId="0" fontId="57" fillId="0" borderId="0" xfId="0" applyFont="1" applyBorder="1"/>
    <xf numFmtId="0" fontId="58" fillId="0" borderId="0" xfId="0" applyFont="1" applyBorder="1"/>
    <xf numFmtId="166" fontId="58" fillId="0" borderId="0" xfId="2" applyNumberFormat="1" applyFont="1" applyBorder="1"/>
    <xf numFmtId="0" fontId="59" fillId="0" borderId="0" xfId="0" applyFont="1" applyBorder="1"/>
    <xf numFmtId="0" fontId="14" fillId="0" borderId="0" xfId="0" applyFont="1" applyBorder="1"/>
    <xf numFmtId="166" fontId="55" fillId="0" borderId="0" xfId="2" applyNumberFormat="1" applyFont="1" applyBorder="1" applyAlignment="1">
      <alignment horizontal="left"/>
    </xf>
    <xf numFmtId="168" fontId="58" fillId="0" borderId="0" xfId="2" applyNumberFormat="1" applyFont="1" applyBorder="1"/>
    <xf numFmtId="0" fontId="6" fillId="0" borderId="25" xfId="0" applyFont="1" applyBorder="1"/>
    <xf numFmtId="0" fontId="55" fillId="0" borderId="0" xfId="0" applyFont="1" applyBorder="1"/>
    <xf numFmtId="0" fontId="57" fillId="0" borderId="0" xfId="0" applyFont="1" applyFill="1" applyBorder="1"/>
    <xf numFmtId="0" fontId="60" fillId="0" borderId="8" xfId="1" applyFont="1" applyBorder="1" applyAlignment="1" applyProtection="1"/>
    <xf numFmtId="179" fontId="4" fillId="4" borderId="6" xfId="2" applyNumberFormat="1" applyFont="1" applyFill="1" applyBorder="1" applyProtection="1"/>
    <xf numFmtId="0" fontId="29" fillId="0" borderId="0" xfId="0" applyFont="1" applyFill="1" applyBorder="1"/>
    <xf numFmtId="178" fontId="0" fillId="0" borderId="6" xfId="2" quotePrefix="1" applyNumberFormat="1" applyFont="1" applyFill="1" applyBorder="1"/>
    <xf numFmtId="0" fontId="0" fillId="0" borderId="0" xfId="0" applyBorder="1" applyAlignment="1"/>
    <xf numFmtId="0" fontId="0" fillId="0" borderId="0" xfId="0" applyBorder="1" applyAlignment="1">
      <alignment horizontal="left"/>
    </xf>
    <xf numFmtId="0" fontId="0" fillId="0" borderId="0" xfId="0" applyBorder="1" applyAlignment="1">
      <alignment horizontal="center"/>
    </xf>
    <xf numFmtId="10" fontId="7" fillId="7" borderId="6" xfId="3" quotePrefix="1" applyNumberFormat="1" applyFont="1" applyFill="1" applyBorder="1"/>
    <xf numFmtId="10" fontId="6" fillId="4" borderId="6" xfId="3" quotePrefix="1" applyNumberFormat="1" applyFont="1" applyFill="1" applyBorder="1" applyProtection="1">
      <protection locked="0"/>
    </xf>
    <xf numFmtId="0" fontId="0" fillId="0" borderId="0" xfId="0" applyProtection="1">
      <protection locked="0"/>
    </xf>
    <xf numFmtId="0" fontId="11" fillId="0" borderId="0" xfId="0" applyFont="1" applyProtection="1">
      <protection locked="0"/>
    </xf>
    <xf numFmtId="0" fontId="51" fillId="0" borderId="0" xfId="1" applyFont="1" applyBorder="1" applyAlignment="1" applyProtection="1">
      <alignment horizontal="left"/>
      <protection locked="0"/>
    </xf>
    <xf numFmtId="0" fontId="47" fillId="0" borderId="0" xfId="1" applyFont="1" applyBorder="1" applyAlignment="1" applyProtection="1">
      <alignment horizontal="left"/>
      <protection locked="0"/>
    </xf>
    <xf numFmtId="165" fontId="48" fillId="0" borderId="0" xfId="2" applyFont="1" applyFill="1" applyBorder="1" applyProtection="1">
      <protection locked="0"/>
    </xf>
    <xf numFmtId="9" fontId="48" fillId="0" borderId="0" xfId="3" applyFont="1" applyFill="1" applyBorder="1" applyProtection="1">
      <protection locked="0"/>
    </xf>
    <xf numFmtId="0" fontId="9" fillId="0" borderId="0" xfId="0" applyFont="1" applyBorder="1" applyAlignment="1" applyProtection="1">
      <alignment horizontal="right"/>
      <protection locked="0"/>
    </xf>
    <xf numFmtId="0" fontId="9" fillId="0" borderId="0" xfId="0" applyFont="1" applyProtection="1">
      <protection locked="0"/>
    </xf>
    <xf numFmtId="0" fontId="9" fillId="0" borderId="0" xfId="0" applyFont="1" applyBorder="1" applyProtection="1">
      <protection locked="0"/>
    </xf>
    <xf numFmtId="165" fontId="9" fillId="0" borderId="0" xfId="2" quotePrefix="1" applyFont="1" applyBorder="1" applyProtection="1">
      <protection locked="0"/>
    </xf>
    <xf numFmtId="0" fontId="49" fillId="0" borderId="0" xfId="0" applyFont="1" applyProtection="1">
      <protection locked="0"/>
    </xf>
    <xf numFmtId="9" fontId="50" fillId="0" borderId="0" xfId="3" applyFont="1" applyFill="1" applyBorder="1" applyProtection="1">
      <protection locked="0"/>
    </xf>
    <xf numFmtId="166" fontId="48" fillId="0" borderId="0" xfId="2" applyNumberFormat="1" applyFont="1" applyFill="1" applyBorder="1" applyProtection="1">
      <protection locked="0"/>
    </xf>
    <xf numFmtId="9" fontId="8" fillId="0" borderId="0" xfId="3" applyFont="1" applyFill="1" applyBorder="1" applyProtection="1">
      <protection locked="0"/>
    </xf>
    <xf numFmtId="179" fontId="0" fillId="0" borderId="6" xfId="2" applyNumberFormat="1" applyFont="1" applyFill="1" applyBorder="1" applyProtection="1"/>
    <xf numFmtId="0" fontId="47" fillId="0" borderId="0" xfId="1" applyFont="1" applyAlignment="1" applyProtection="1"/>
    <xf numFmtId="178" fontId="0" fillId="4" borderId="6" xfId="2" applyNumberFormat="1" applyFont="1" applyFill="1" applyBorder="1" applyProtection="1"/>
    <xf numFmtId="166" fontId="7" fillId="0" borderId="6" xfId="2" applyNumberFormat="1" applyFont="1" applyFill="1" applyBorder="1"/>
    <xf numFmtId="0" fontId="41" fillId="0" borderId="0" xfId="0" applyFont="1" applyFill="1" applyBorder="1"/>
    <xf numFmtId="0" fontId="7" fillId="0" borderId="4" xfId="0" applyFont="1" applyFill="1" applyBorder="1"/>
    <xf numFmtId="0" fontId="6" fillId="0" borderId="27" xfId="0" applyFont="1" applyFill="1" applyBorder="1" applyAlignment="1">
      <alignment horizontal="right"/>
    </xf>
    <xf numFmtId="178" fontId="0" fillId="0" borderId="0" xfId="2" applyNumberFormat="1" applyFont="1" applyFill="1" applyBorder="1"/>
    <xf numFmtId="178" fontId="0" fillId="0" borderId="0" xfId="2" applyNumberFormat="1" applyFont="1" applyFill="1" applyBorder="1" applyProtection="1"/>
    <xf numFmtId="10" fontId="6" fillId="4" borderId="6" xfId="3" applyNumberFormat="1" applyFont="1" applyFill="1" applyBorder="1" applyProtection="1">
      <protection locked="0"/>
    </xf>
    <xf numFmtId="178" fontId="3" fillId="0" borderId="6" xfId="2" applyNumberFormat="1" applyFont="1" applyFill="1" applyBorder="1" applyProtection="1"/>
    <xf numFmtId="0" fontId="5" fillId="0" borderId="13" xfId="0" applyFont="1" applyBorder="1"/>
    <xf numFmtId="166" fontId="55" fillId="7" borderId="9" xfId="0" quotePrefix="1" applyNumberFormat="1" applyFont="1" applyFill="1" applyBorder="1"/>
    <xf numFmtId="0" fontId="7" fillId="0" borderId="25" xfId="0" applyFont="1" applyFill="1" applyBorder="1"/>
    <xf numFmtId="166" fontId="11" fillId="0" borderId="0" xfId="0" applyNumberFormat="1" applyFont="1" applyFill="1" applyBorder="1"/>
    <xf numFmtId="0" fontId="47" fillId="0" borderId="0" xfId="1" applyFont="1" applyFill="1" applyBorder="1" applyAlignment="1" applyProtection="1">
      <alignment horizontal="left"/>
      <protection locked="0"/>
    </xf>
    <xf numFmtId="0" fontId="9" fillId="0" borderId="0" xfId="0" applyFont="1" applyFill="1" applyBorder="1" applyProtection="1">
      <protection locked="0"/>
    </xf>
    <xf numFmtId="0" fontId="7" fillId="0" borderId="0" xfId="0" applyFont="1" applyFill="1" applyBorder="1" applyAlignment="1">
      <alignment horizontal="right"/>
    </xf>
    <xf numFmtId="0" fontId="19" fillId="0" borderId="0" xfId="0" applyFont="1" applyAlignment="1">
      <alignment horizontal="right"/>
    </xf>
    <xf numFmtId="0" fontId="0" fillId="8" borderId="0" xfId="0" applyFill="1"/>
    <xf numFmtId="0" fontId="0" fillId="0" borderId="28" xfId="0" applyBorder="1"/>
    <xf numFmtId="0" fontId="0" fillId="0" borderId="29" xfId="0" applyBorder="1"/>
    <xf numFmtId="0" fontId="0" fillId="0" borderId="23" xfId="0" applyBorder="1"/>
    <xf numFmtId="0" fontId="0" fillId="0" borderId="27" xfId="0" applyBorder="1"/>
    <xf numFmtId="0" fontId="0" fillId="0" borderId="30" xfId="0" applyBorder="1"/>
    <xf numFmtId="0" fontId="0" fillId="0" borderId="19" xfId="0" applyBorder="1"/>
    <xf numFmtId="0" fontId="6" fillId="7" borderId="6" xfId="0" applyFont="1" applyFill="1" applyBorder="1" applyProtection="1">
      <protection locked="0"/>
    </xf>
    <xf numFmtId="180" fontId="0" fillId="7" borderId="21" xfId="2" quotePrefix="1" applyNumberFormat="1" applyFont="1" applyFill="1" applyBorder="1"/>
    <xf numFmtId="180" fontId="0" fillId="7" borderId="6" xfId="2" quotePrefix="1" applyNumberFormat="1" applyFont="1" applyFill="1" applyBorder="1"/>
    <xf numFmtId="179" fontId="4" fillId="7" borderId="6" xfId="2" applyNumberFormat="1" applyFont="1" applyFill="1" applyBorder="1" applyProtection="1"/>
    <xf numFmtId="180" fontId="3" fillId="7" borderId="13" xfId="2" quotePrefix="1" applyNumberFormat="1" applyFont="1" applyFill="1" applyBorder="1"/>
    <xf numFmtId="175" fontId="7" fillId="0" borderId="0" xfId="2" applyNumberFormat="1" applyFont="1" applyFill="1" applyBorder="1"/>
    <xf numFmtId="169" fontId="0" fillId="0" borderId="0" xfId="2" applyNumberFormat="1" applyFont="1"/>
    <xf numFmtId="169" fontId="0" fillId="0" borderId="0" xfId="0" applyNumberFormat="1"/>
    <xf numFmtId="171" fontId="0" fillId="0" borderId="0" xfId="0" applyNumberFormat="1"/>
    <xf numFmtId="169" fontId="7" fillId="0" borderId="21" xfId="2" applyNumberFormat="1" applyFont="1" applyFill="1" applyBorder="1"/>
    <xf numFmtId="165" fontId="0" fillId="0" borderId="6" xfId="2" applyFont="1" applyFill="1" applyBorder="1" applyProtection="1"/>
    <xf numFmtId="167" fontId="7" fillId="0" borderId="0" xfId="3" applyNumberFormat="1" applyFont="1" applyFill="1" applyBorder="1" applyAlignment="1">
      <alignment horizontal="left"/>
    </xf>
    <xf numFmtId="0" fontId="6" fillId="0" borderId="0" xfId="0" applyFont="1" applyFill="1" applyBorder="1" applyAlignment="1">
      <alignment horizontal="right"/>
    </xf>
    <xf numFmtId="165" fontId="1" fillId="0" borderId="0" xfId="2" quotePrefix="1" applyFont="1" applyFill="1" applyBorder="1"/>
    <xf numFmtId="165" fontId="7" fillId="0" borderId="0" xfId="2" applyNumberFormat="1" applyFont="1" applyFill="1" applyBorder="1"/>
    <xf numFmtId="167" fontId="7" fillId="0" borderId="0" xfId="3" applyNumberFormat="1" applyFont="1" applyFill="1" applyBorder="1"/>
    <xf numFmtId="186" fontId="0" fillId="0" borderId="0" xfId="0" applyNumberFormat="1"/>
    <xf numFmtId="169" fontId="0" fillId="5" borderId="6" xfId="2" quotePrefix="1" applyNumberFormat="1" applyFont="1" applyFill="1" applyBorder="1"/>
    <xf numFmtId="187" fontId="0" fillId="5" borderId="6" xfId="2" quotePrefix="1" applyNumberFormat="1" applyFont="1" applyFill="1" applyBorder="1"/>
    <xf numFmtId="181" fontId="0" fillId="5" borderId="6" xfId="2" quotePrefix="1" applyNumberFormat="1" applyFont="1" applyFill="1" applyBorder="1"/>
    <xf numFmtId="172" fontId="1" fillId="0" borderId="21" xfId="2" quotePrefix="1" applyNumberFormat="1" applyFont="1" applyFill="1" applyBorder="1"/>
    <xf numFmtId="14" fontId="7" fillId="0" borderId="0" xfId="2" applyNumberFormat="1" applyFont="1" applyFill="1" applyBorder="1"/>
    <xf numFmtId="187" fontId="0" fillId="0" borderId="6" xfId="2" quotePrefix="1" applyNumberFormat="1" applyFont="1" applyFill="1" applyBorder="1"/>
    <xf numFmtId="171" fontId="0" fillId="8" borderId="0" xfId="0" applyNumberFormat="1" applyFill="1"/>
    <xf numFmtId="165" fontId="7" fillId="0" borderId="0" xfId="2" applyFont="1" applyFill="1" applyBorder="1"/>
    <xf numFmtId="189" fontId="0" fillId="0" borderId="0" xfId="3" applyNumberFormat="1" applyFont="1"/>
    <xf numFmtId="169" fontId="7" fillId="0" borderId="0" xfId="2" applyNumberFormat="1" applyFont="1" applyFill="1" applyBorder="1"/>
    <xf numFmtId="169" fontId="0" fillId="0" borderId="0" xfId="0" applyNumberFormat="1" applyFill="1"/>
    <xf numFmtId="185" fontId="0" fillId="0" borderId="0" xfId="0" applyNumberFormat="1" applyFill="1"/>
    <xf numFmtId="171" fontId="0" fillId="0" borderId="0" xfId="0" applyNumberFormat="1" applyFill="1"/>
    <xf numFmtId="191" fontId="0" fillId="0" borderId="0" xfId="0" applyNumberFormat="1" applyFill="1"/>
    <xf numFmtId="0" fontId="0" fillId="9" borderId="2" xfId="0" applyFill="1" applyBorder="1"/>
    <xf numFmtId="0" fontId="0" fillId="9" borderId="5" xfId="0" applyFill="1" applyBorder="1"/>
    <xf numFmtId="0" fontId="0" fillId="9" borderId="1" xfId="0" applyFill="1" applyBorder="1"/>
    <xf numFmtId="181" fontId="0" fillId="0" borderId="0" xfId="0" applyNumberFormat="1" applyBorder="1"/>
    <xf numFmtId="176" fontId="0" fillId="0" borderId="0" xfId="0" applyNumberFormat="1" applyBorder="1"/>
    <xf numFmtId="172" fontId="0" fillId="0" borderId="0" xfId="2" applyNumberFormat="1" applyFont="1" applyBorder="1"/>
    <xf numFmtId="187" fontId="0" fillId="0" borderId="0" xfId="0" applyNumberFormat="1" applyBorder="1"/>
    <xf numFmtId="188" fontId="0" fillId="0" borderId="0" xfId="0" applyNumberFormat="1" applyBorder="1"/>
    <xf numFmtId="184" fontId="0" fillId="0" borderId="0" xfId="0" applyNumberFormat="1" applyBorder="1"/>
    <xf numFmtId="169" fontId="0" fillId="0" borderId="0" xfId="2" applyNumberFormat="1" applyFont="1" applyBorder="1"/>
    <xf numFmtId="190" fontId="0" fillId="0" borderId="23" xfId="3" applyNumberFormat="1" applyFont="1" applyBorder="1"/>
    <xf numFmtId="172" fontId="0" fillId="0" borderId="23" xfId="2" applyNumberFormat="1" applyFont="1" applyBorder="1"/>
    <xf numFmtId="182" fontId="0" fillId="0" borderId="0" xfId="0" applyNumberFormat="1" applyBorder="1"/>
    <xf numFmtId="186" fontId="0" fillId="0" borderId="23" xfId="0" applyNumberFormat="1" applyBorder="1"/>
    <xf numFmtId="183" fontId="0" fillId="0" borderId="0" xfId="0" applyNumberFormat="1" applyBorder="1"/>
    <xf numFmtId="0" fontId="0" fillId="0" borderId="29" xfId="0" applyFill="1" applyBorder="1"/>
    <xf numFmtId="0" fontId="0" fillId="0" borderId="26" xfId="0" applyFill="1" applyBorder="1"/>
    <xf numFmtId="0" fontId="0" fillId="0" borderId="19" xfId="0" applyFill="1" applyBorder="1"/>
    <xf numFmtId="0" fontId="4" fillId="0" borderId="31" xfId="0" applyFont="1" applyBorder="1"/>
    <xf numFmtId="169" fontId="0" fillId="0" borderId="7" xfId="2" applyNumberFormat="1" applyFont="1" applyBorder="1"/>
    <xf numFmtId="169" fontId="0" fillId="0" borderId="15" xfId="2" applyNumberFormat="1" applyFont="1" applyBorder="1"/>
    <xf numFmtId="165" fontId="7" fillId="0" borderId="9" xfId="2" applyFont="1" applyFill="1" applyBorder="1"/>
    <xf numFmtId="14" fontId="7" fillId="0" borderId="3" xfId="2" applyNumberFormat="1" applyFont="1" applyFill="1" applyBorder="1"/>
    <xf numFmtId="14" fontId="0" fillId="0" borderId="3" xfId="0" applyNumberFormat="1" applyBorder="1"/>
    <xf numFmtId="165" fontId="0" fillId="0" borderId="3" xfId="2" applyFont="1" applyBorder="1"/>
    <xf numFmtId="172" fontId="7" fillId="8" borderId="20" xfId="2" applyNumberFormat="1" applyFont="1" applyFill="1" applyBorder="1"/>
    <xf numFmtId="189" fontId="0" fillId="8" borderId="0" xfId="3" applyNumberFormat="1" applyFont="1" applyFill="1"/>
    <xf numFmtId="184" fontId="0" fillId="0" borderId="13" xfId="2" applyNumberFormat="1" applyFont="1" applyBorder="1"/>
    <xf numFmtId="184" fontId="0" fillId="0" borderId="8" xfId="2" applyNumberFormat="1" applyFont="1" applyBorder="1"/>
    <xf numFmtId="0" fontId="4" fillId="0" borderId="0" xfId="0" applyFont="1" applyFill="1"/>
    <xf numFmtId="172" fontId="1" fillId="8" borderId="20" xfId="2" quotePrefix="1" applyNumberFormat="1" applyFont="1" applyFill="1" applyBorder="1"/>
    <xf numFmtId="165" fontId="7" fillId="8" borderId="20" xfId="2" applyFont="1" applyFill="1" applyBorder="1"/>
    <xf numFmtId="169" fontId="0" fillId="0" borderId="0" xfId="2" quotePrefix="1" applyNumberFormat="1" applyFont="1" applyFill="1" applyBorder="1"/>
    <xf numFmtId="14" fontId="0" fillId="0" borderId="0" xfId="0" applyNumberFormat="1" applyFill="1"/>
    <xf numFmtId="172" fontId="0" fillId="10" borderId="16" xfId="2" applyNumberFormat="1" applyFont="1" applyFill="1" applyBorder="1"/>
    <xf numFmtId="0" fontId="6" fillId="0" borderId="6" xfId="0" applyFont="1" applyFill="1" applyBorder="1" applyProtection="1">
      <protection locked="0" hidden="1"/>
    </xf>
    <xf numFmtId="0" fontId="1" fillId="0" borderId="21" xfId="0" applyFont="1" applyBorder="1" applyProtection="1">
      <protection locked="0"/>
    </xf>
    <xf numFmtId="0" fontId="1" fillId="0" borderId="20" xfId="0" applyFont="1" applyBorder="1" applyProtection="1">
      <protection locked="0"/>
    </xf>
    <xf numFmtId="9" fontId="8" fillId="0" borderId="6" xfId="3" applyFont="1" applyFill="1" applyBorder="1"/>
    <xf numFmtId="0" fontId="23" fillId="0" borderId="0" xfId="0" applyFont="1" applyFill="1"/>
    <xf numFmtId="0" fontId="29" fillId="0" borderId="0" xfId="0" applyFont="1" applyFill="1"/>
    <xf numFmtId="166" fontId="0" fillId="0" borderId="21" xfId="2" applyNumberFormat="1" applyFont="1" applyFill="1" applyBorder="1"/>
    <xf numFmtId="166" fontId="0" fillId="0" borderId="6" xfId="2" applyNumberFormat="1" applyFont="1" applyFill="1" applyBorder="1"/>
    <xf numFmtId="166" fontId="0" fillId="0" borderId="6" xfId="2" applyNumberFormat="1" applyFont="1" applyFill="1" applyBorder="1" applyProtection="1">
      <protection locked="0"/>
    </xf>
    <xf numFmtId="14" fontId="0" fillId="0" borderId="0" xfId="0" quotePrefix="1" applyNumberFormat="1" applyBorder="1"/>
    <xf numFmtId="0" fontId="23" fillId="0" borderId="0" xfId="0" applyFont="1" applyBorder="1" applyAlignment="1">
      <alignment horizontal="right"/>
    </xf>
    <xf numFmtId="14" fontId="0" fillId="0" borderId="0" xfId="0" applyNumberFormat="1" applyBorder="1"/>
    <xf numFmtId="14" fontId="0" fillId="0" borderId="0" xfId="0" applyNumberFormat="1" applyBorder="1" applyAlignment="1">
      <alignment horizontal="left"/>
    </xf>
    <xf numFmtId="0" fontId="28" fillId="0" borderId="0" xfId="0" applyFont="1" applyBorder="1"/>
    <xf numFmtId="166" fontId="4" fillId="0" borderId="23" xfId="2" applyNumberFormat="1" applyFont="1" applyBorder="1"/>
    <xf numFmtId="0" fontId="0" fillId="0" borderId="0" xfId="0" applyFill="1" applyBorder="1" applyAlignment="1">
      <alignment horizontal="right"/>
    </xf>
    <xf numFmtId="14" fontId="7" fillId="0" borderId="0" xfId="0" quotePrefix="1" applyNumberFormat="1" applyFont="1" applyBorder="1"/>
    <xf numFmtId="14" fontId="6" fillId="4" borderId="6" xfId="0" quotePrefix="1" applyNumberFormat="1" applyFont="1" applyFill="1" applyBorder="1"/>
    <xf numFmtId="180" fontId="0" fillId="4" borderId="13" xfId="2" quotePrefix="1" applyNumberFormat="1" applyFont="1" applyFill="1" applyBorder="1"/>
    <xf numFmtId="178" fontId="3" fillId="4" borderId="6" xfId="2" applyNumberFormat="1" applyFont="1" applyFill="1" applyBorder="1" applyProtection="1"/>
    <xf numFmtId="179" fontId="7" fillId="0" borderId="6" xfId="2" quotePrefix="1" applyNumberFormat="1" applyFont="1" applyFill="1" applyBorder="1"/>
    <xf numFmtId="0" fontId="63" fillId="0" borderId="0" xfId="1" applyFont="1" applyAlignment="1" applyProtection="1"/>
    <xf numFmtId="0" fontId="11" fillId="0" borderId="4" xfId="0" applyFont="1" applyBorder="1"/>
    <xf numFmtId="166" fontId="4" fillId="0" borderId="6" xfId="2" applyNumberFormat="1" applyFont="1" applyFill="1" applyBorder="1" applyProtection="1"/>
    <xf numFmtId="2" fontId="7" fillId="0" borderId="0" xfId="2" applyNumberFormat="1" applyFont="1" applyFill="1" applyBorder="1"/>
    <xf numFmtId="192" fontId="0" fillId="0" borderId="0" xfId="0" applyNumberFormat="1"/>
    <xf numFmtId="0" fontId="63" fillId="0" borderId="0" xfId="1" applyFont="1" applyAlignment="1" applyProtection="1">
      <alignment vertical="top" wrapText="1"/>
    </xf>
    <xf numFmtId="0" fontId="20" fillId="0" borderId="0" xfId="0" applyFont="1" applyAlignment="1">
      <alignment vertical="top" wrapText="1"/>
    </xf>
    <xf numFmtId="0" fontId="23" fillId="0" borderId="0" xfId="0" applyFont="1" applyAlignment="1">
      <alignment vertical="top" wrapText="1"/>
    </xf>
    <xf numFmtId="0" fontId="20" fillId="0" borderId="0" xfId="0" applyFont="1" applyAlignment="1">
      <alignment horizontal="left" vertical="top" wrapText="1"/>
    </xf>
    <xf numFmtId="10" fontId="23" fillId="0" borderId="0" xfId="0" applyNumberFormat="1" applyFont="1" applyFill="1" applyBorder="1"/>
    <xf numFmtId="9" fontId="23" fillId="0" borderId="0" xfId="0" applyNumberFormat="1" applyFont="1" applyFill="1" applyBorder="1"/>
    <xf numFmtId="0" fontId="20" fillId="0" borderId="0" xfId="0" applyNumberFormat="1" applyFont="1" applyAlignment="1">
      <alignment vertical="top" wrapText="1"/>
    </xf>
    <xf numFmtId="0" fontId="20" fillId="0" borderId="0" xfId="0" applyFont="1" applyFill="1" applyBorder="1" applyAlignment="1">
      <alignment vertical="top" wrapText="1"/>
    </xf>
    <xf numFmtId="0" fontId="23" fillId="0" borderId="0" xfId="0" applyFont="1" applyAlignment="1">
      <alignment horizontal="left" vertical="top" wrapText="1"/>
    </xf>
    <xf numFmtId="0" fontId="20" fillId="0" borderId="0" xfId="0" applyFont="1" applyAlignment="1">
      <alignment vertical="center" wrapText="1"/>
    </xf>
    <xf numFmtId="0" fontId="13" fillId="0" borderId="0" xfId="0" applyFont="1" applyFill="1" applyBorder="1" applyAlignment="1">
      <alignment vertical="top" wrapText="1"/>
    </xf>
    <xf numFmtId="0" fontId="4" fillId="0" borderId="1" xfId="0" applyFont="1" applyBorder="1"/>
    <xf numFmtId="166" fontId="4" fillId="0" borderId="0" xfId="0" applyNumberFormat="1" applyFont="1"/>
    <xf numFmtId="3" fontId="4" fillId="0" borderId="0" xfId="0" applyNumberFormat="1" applyFont="1" applyBorder="1"/>
    <xf numFmtId="2" fontId="0" fillId="0" borderId="0" xfId="0" applyNumberFormat="1"/>
    <xf numFmtId="2" fontId="4" fillId="0" borderId="1" xfId="0" applyNumberFormat="1" applyFont="1" applyBorder="1"/>
    <xf numFmtId="0" fontId="65" fillId="0" borderId="32" xfId="0" applyFont="1" applyBorder="1"/>
    <xf numFmtId="0" fontId="64" fillId="0" borderId="32" xfId="0" applyFont="1" applyBorder="1"/>
    <xf numFmtId="0" fontId="0" fillId="0" borderId="32" xfId="0" applyBorder="1" applyAlignment="1">
      <alignment vertical="top" readingOrder="1"/>
    </xf>
    <xf numFmtId="0" fontId="66" fillId="0" borderId="32" xfId="0" applyFont="1" applyBorder="1"/>
    <xf numFmtId="166" fontId="64" fillId="0" borderId="32" xfId="2" applyNumberFormat="1" applyFont="1" applyBorder="1"/>
    <xf numFmtId="0" fontId="64" fillId="0" borderId="32" xfId="0" applyFont="1" applyBorder="1" applyAlignment="1">
      <alignment horizontal="right"/>
    </xf>
    <xf numFmtId="166" fontId="66" fillId="0" borderId="32" xfId="2" applyNumberFormat="1" applyFont="1" applyBorder="1"/>
    <xf numFmtId="0" fontId="64" fillId="0" borderId="32" xfId="0" applyFont="1" applyFill="1" applyBorder="1"/>
    <xf numFmtId="166" fontId="64" fillId="0" borderId="32" xfId="2" quotePrefix="1" applyNumberFormat="1" applyFont="1" applyBorder="1"/>
    <xf numFmtId="0" fontId="64" fillId="0" borderId="32" xfId="0" applyFont="1" applyBorder="1" applyAlignment="1">
      <alignment horizontal="center"/>
    </xf>
    <xf numFmtId="0" fontId="66" fillId="0" borderId="32" xfId="0" applyFont="1" applyBorder="1" applyAlignment="1">
      <alignment horizontal="right"/>
    </xf>
    <xf numFmtId="0" fontId="64" fillId="0" borderId="33" xfId="0" applyFont="1" applyBorder="1"/>
    <xf numFmtId="0" fontId="64" fillId="0" borderId="34" xfId="0" applyFont="1" applyBorder="1"/>
    <xf numFmtId="166" fontId="64" fillId="0" borderId="34" xfId="2" applyNumberFormat="1" applyFont="1" applyBorder="1"/>
    <xf numFmtId="0" fontId="0" fillId="0" borderId="35" xfId="0" applyBorder="1" applyAlignment="1">
      <alignment vertical="top" readingOrder="1"/>
    </xf>
    <xf numFmtId="0" fontId="0" fillId="0" borderId="36" xfId="0" applyBorder="1" applyAlignment="1">
      <alignment vertical="top" readingOrder="1"/>
    </xf>
    <xf numFmtId="0" fontId="64" fillId="0" borderId="36" xfId="0" applyFont="1" applyBorder="1"/>
    <xf numFmtId="166" fontId="64" fillId="0" borderId="36" xfId="2" applyNumberFormat="1" applyFont="1" applyBorder="1"/>
    <xf numFmtId="0" fontId="64" fillId="0" borderId="37" xfId="0" applyFont="1" applyBorder="1"/>
    <xf numFmtId="0" fontId="66" fillId="0" borderId="37" xfId="0" applyFont="1" applyBorder="1" applyAlignment="1">
      <alignment horizontal="right"/>
    </xf>
    <xf numFmtId="166" fontId="64" fillId="0" borderId="37" xfId="2" applyNumberFormat="1" applyFont="1" applyBorder="1"/>
    <xf numFmtId="2" fontId="64" fillId="0" borderId="37" xfId="0" applyNumberFormat="1" applyFont="1" applyBorder="1"/>
    <xf numFmtId="2" fontId="66" fillId="0" borderId="37" xfId="0" applyNumberFormat="1" applyFont="1" applyBorder="1"/>
    <xf numFmtId="2" fontId="64" fillId="0" borderId="37" xfId="2" applyNumberFormat="1" applyFont="1" applyBorder="1"/>
    <xf numFmtId="0" fontId="0" fillId="0" borderId="38" xfId="0" applyBorder="1" applyAlignment="1">
      <alignment vertical="top" readingOrder="1"/>
    </xf>
    <xf numFmtId="0" fontId="66" fillId="0" borderId="39" xfId="0" applyFont="1" applyBorder="1"/>
    <xf numFmtId="0" fontId="64" fillId="0" borderId="40" xfId="0" applyFont="1" applyBorder="1"/>
    <xf numFmtId="0" fontId="66" fillId="0" borderId="40" xfId="0" applyFont="1" applyBorder="1"/>
    <xf numFmtId="0" fontId="64" fillId="0" borderId="40" xfId="0" applyFont="1" applyBorder="1" applyAlignment="1">
      <alignment horizontal="left"/>
    </xf>
    <xf numFmtId="0" fontId="64" fillId="0" borderId="41" xfId="0" applyFont="1" applyBorder="1"/>
    <xf numFmtId="2" fontId="64" fillId="0" borderId="41" xfId="0" applyNumberFormat="1" applyFont="1" applyBorder="1"/>
    <xf numFmtId="0" fontId="0" fillId="0" borderId="42" xfId="0" applyBorder="1" applyAlignment="1">
      <alignment vertical="top" readingOrder="1"/>
    </xf>
    <xf numFmtId="166" fontId="64" fillId="0" borderId="43" xfId="2" applyNumberFormat="1" applyFont="1" applyBorder="1"/>
    <xf numFmtId="166" fontId="64" fillId="0" borderId="44" xfId="2" applyNumberFormat="1" applyFont="1" applyBorder="1"/>
    <xf numFmtId="166" fontId="66" fillId="0" borderId="44" xfId="2" applyNumberFormat="1" applyFont="1" applyBorder="1"/>
    <xf numFmtId="2" fontId="66" fillId="0" borderId="45" xfId="2" applyNumberFormat="1" applyFont="1" applyBorder="1"/>
    <xf numFmtId="166" fontId="67" fillId="7" borderId="44" xfId="0" quotePrefix="1" applyNumberFormat="1" applyFont="1" applyFill="1" applyBorder="1"/>
    <xf numFmtId="166" fontId="66" fillId="0" borderId="45" xfId="2" applyNumberFormat="1" applyFont="1" applyBorder="1"/>
    <xf numFmtId="166" fontId="66" fillId="0" borderId="44" xfId="2" applyNumberFormat="1" applyFont="1" applyBorder="1" applyAlignment="1">
      <alignment horizontal="center"/>
    </xf>
    <xf numFmtId="165" fontId="64" fillId="0" borderId="44" xfId="2" applyNumberFormat="1" applyFont="1" applyBorder="1"/>
    <xf numFmtId="165" fontId="66" fillId="0" borderId="44" xfId="2" applyNumberFormat="1" applyFont="1" applyBorder="1"/>
    <xf numFmtId="165" fontId="66" fillId="0" borderId="45" xfId="2" applyNumberFormat="1" applyFont="1" applyBorder="1"/>
    <xf numFmtId="0" fontId="66" fillId="0" borderId="46" xfId="0" applyFont="1" applyBorder="1" applyAlignment="1">
      <alignment horizontal="right" vertical="top" readingOrder="1"/>
    </xf>
    <xf numFmtId="0" fontId="66" fillId="0" borderId="47" xfId="0" applyFont="1" applyBorder="1" applyAlignment="1">
      <alignment horizontal="right" vertical="top" readingOrder="1"/>
    </xf>
    <xf numFmtId="187" fontId="64" fillId="0" borderId="1" xfId="0" applyNumberFormat="1" applyFont="1" applyBorder="1" applyAlignment="1">
      <alignment vertical="top" readingOrder="1"/>
    </xf>
    <xf numFmtId="2" fontId="64" fillId="0" borderId="48" xfId="0" applyNumberFormat="1" applyFont="1" applyBorder="1" applyAlignment="1">
      <alignment horizontal="right" vertical="top" readingOrder="1"/>
    </xf>
    <xf numFmtId="166" fontId="64" fillId="0" borderId="1" xfId="0" applyNumberFormat="1" applyFont="1" applyBorder="1" applyAlignment="1">
      <alignment vertical="top" readingOrder="1"/>
    </xf>
    <xf numFmtId="166" fontId="64" fillId="0" borderId="48" xfId="0" applyNumberFormat="1" applyFont="1" applyBorder="1" applyAlignment="1">
      <alignment horizontal="right" vertical="top" readingOrder="1"/>
    </xf>
    <xf numFmtId="14" fontId="64" fillId="0" borderId="1" xfId="0" applyNumberFormat="1" applyFont="1" applyBorder="1" applyAlignment="1">
      <alignment vertical="top" readingOrder="1"/>
    </xf>
    <xf numFmtId="14" fontId="64" fillId="0" borderId="48" xfId="0" applyNumberFormat="1" applyFont="1" applyBorder="1" applyAlignment="1">
      <alignment horizontal="right" vertical="top" readingOrder="1"/>
    </xf>
    <xf numFmtId="2" fontId="64" fillId="0" borderId="1" xfId="0" applyNumberFormat="1" applyFont="1" applyBorder="1" applyAlignment="1">
      <alignment vertical="top" readingOrder="1"/>
    </xf>
    <xf numFmtId="10" fontId="64" fillId="0" borderId="48" xfId="0" applyNumberFormat="1" applyFont="1" applyBorder="1" applyAlignment="1">
      <alignment horizontal="right" vertical="top" readingOrder="1"/>
    </xf>
    <xf numFmtId="4" fontId="64" fillId="0" borderId="1" xfId="0" applyNumberFormat="1" applyFont="1" applyBorder="1" applyAlignment="1">
      <alignment vertical="top" readingOrder="1"/>
    </xf>
    <xf numFmtId="178" fontId="64" fillId="0" borderId="48" xfId="0" applyNumberFormat="1" applyFont="1" applyBorder="1" applyAlignment="1">
      <alignment horizontal="right" vertical="top" readingOrder="1"/>
    </xf>
    <xf numFmtId="4" fontId="64" fillId="0" borderId="49" xfId="0" applyNumberFormat="1" applyFont="1" applyBorder="1" applyAlignment="1">
      <alignment vertical="top" readingOrder="1"/>
    </xf>
    <xf numFmtId="178" fontId="64" fillId="0" borderId="50" xfId="0" applyNumberFormat="1" applyFont="1" applyBorder="1" applyAlignment="1">
      <alignment horizontal="right" vertical="top" readingOrder="1"/>
    </xf>
    <xf numFmtId="166" fontId="0" fillId="5" borderId="12" xfId="2" quotePrefix="1" applyNumberFormat="1" applyFont="1" applyFill="1" applyBorder="1"/>
    <xf numFmtId="2" fontId="64" fillId="0" borderId="1" xfId="0" applyNumberFormat="1" applyFont="1" applyBorder="1" applyAlignment="1">
      <alignment horizontal="right" vertical="top" readingOrder="1"/>
    </xf>
    <xf numFmtId="4" fontId="64" fillId="0" borderId="1" xfId="0" applyNumberFormat="1" applyFont="1" applyBorder="1" applyAlignment="1">
      <alignment horizontal="right" vertical="top" readingOrder="1"/>
    </xf>
    <xf numFmtId="4" fontId="7" fillId="3" borderId="6" xfId="3" applyNumberFormat="1" applyFont="1" applyFill="1" applyBorder="1"/>
    <xf numFmtId="2" fontId="7" fillId="0" borderId="0" xfId="3" applyNumberFormat="1" applyFont="1" applyFill="1" applyBorder="1"/>
    <xf numFmtId="166" fontId="0" fillId="0" borderId="0" xfId="2" applyNumberFormat="1" applyFont="1" applyFill="1" applyBorder="1" applyProtection="1">
      <protection locked="0"/>
    </xf>
    <xf numFmtId="0" fontId="1" fillId="0" borderId="0" xfId="0" applyFont="1" applyAlignment="1">
      <alignment horizontal="right"/>
    </xf>
    <xf numFmtId="166" fontId="0" fillId="4" borderId="6" xfId="2" applyNumberFormat="1" applyFont="1" applyFill="1" applyBorder="1" applyProtection="1">
      <protection locked="0"/>
    </xf>
    <xf numFmtId="166" fontId="0" fillId="0" borderId="0" xfId="2" applyNumberFormat="1" applyFont="1" applyFill="1" applyBorder="1"/>
    <xf numFmtId="0" fontId="1" fillId="0" borderId="0" xfId="0" applyFont="1" applyFill="1" applyBorder="1" applyAlignment="1">
      <alignment horizontal="right"/>
    </xf>
    <xf numFmtId="166" fontId="1" fillId="0" borderId="0" xfId="0" quotePrefix="1" applyNumberFormat="1" applyFont="1" applyAlignment="1">
      <alignment horizontal="left"/>
    </xf>
    <xf numFmtId="166" fontId="6" fillId="0" borderId="0" xfId="0" applyNumberFormat="1" applyFont="1" applyFill="1"/>
    <xf numFmtId="166" fontId="0" fillId="11" borderId="0" xfId="0" quotePrefix="1" applyNumberFormat="1" applyFill="1" applyAlignment="1">
      <alignment horizontal="left"/>
    </xf>
    <xf numFmtId="165" fontId="64" fillId="0" borderId="32" xfId="2" applyFont="1" applyBorder="1" applyAlignment="1">
      <alignment horizontal="center"/>
    </xf>
    <xf numFmtId="43" fontId="0" fillId="0" borderId="0" xfId="0" applyNumberFormat="1"/>
    <xf numFmtId="0" fontId="4" fillId="0" borderId="54" xfId="4" applyFont="1" applyBorder="1"/>
    <xf numFmtId="10" fontId="4" fillId="0" borderId="54" xfId="3" applyNumberFormat="1" applyFont="1" applyBorder="1" applyAlignment="1">
      <alignment horizontal="right"/>
    </xf>
    <xf numFmtId="0" fontId="1" fillId="0" borderId="0" xfId="4" applyAlignment="1">
      <alignment horizontal="right"/>
    </xf>
    <xf numFmtId="0" fontId="1" fillId="0" borderId="0" xfId="4"/>
    <xf numFmtId="0" fontId="23" fillId="8" borderId="55" xfId="4" applyFont="1" applyFill="1" applyBorder="1"/>
    <xf numFmtId="0" fontId="4" fillId="0" borderId="57" xfId="4" applyFont="1" applyBorder="1"/>
    <xf numFmtId="0" fontId="4" fillId="0" borderId="57" xfId="4" applyFont="1" applyBorder="1" applyAlignment="1">
      <alignment horizontal="right"/>
    </xf>
    <xf numFmtId="0" fontId="1" fillId="0" borderId="58" xfId="4" applyBorder="1" applyAlignment="1">
      <alignment horizontal="right"/>
    </xf>
    <xf numFmtId="0" fontId="23" fillId="8" borderId="54" xfId="4" applyFont="1" applyFill="1" applyBorder="1"/>
    <xf numFmtId="0" fontId="1" fillId="0" borderId="58" xfId="4" applyFill="1" applyBorder="1" applyAlignment="1">
      <alignment horizontal="left"/>
    </xf>
    <xf numFmtId="193" fontId="0" fillId="0" borderId="23" xfId="5" applyFont="1" applyFill="1" applyBorder="1" applyAlignment="1">
      <alignment horizontal="right"/>
    </xf>
    <xf numFmtId="0" fontId="1" fillId="0" borderId="0" xfId="4" applyFont="1"/>
    <xf numFmtId="0" fontId="1" fillId="0" borderId="58" xfId="4" applyBorder="1"/>
    <xf numFmtId="0" fontId="1" fillId="0" borderId="5" xfId="4" applyBorder="1"/>
    <xf numFmtId="0" fontId="1" fillId="0" borderId="5" xfId="4" applyBorder="1" applyAlignment="1">
      <alignment horizontal="right"/>
    </xf>
    <xf numFmtId="194" fontId="0" fillId="0" borderId="0" xfId="0" applyNumberFormat="1"/>
    <xf numFmtId="165" fontId="7" fillId="12" borderId="0" xfId="2" applyNumberFormat="1" applyFont="1" applyFill="1" applyBorder="1"/>
    <xf numFmtId="0" fontId="6" fillId="12" borderId="0" xfId="0" applyFont="1" applyFill="1"/>
    <xf numFmtId="181" fontId="0" fillId="12" borderId="0" xfId="0" applyNumberFormat="1" applyFill="1"/>
    <xf numFmtId="169" fontId="0" fillId="12" borderId="0" xfId="0" applyNumberFormat="1" applyFill="1"/>
    <xf numFmtId="0" fontId="1" fillId="0" borderId="8" xfId="0" applyFont="1" applyBorder="1"/>
    <xf numFmtId="193" fontId="0" fillId="0" borderId="54" xfId="5" applyFont="1" applyFill="1" applyBorder="1" applyAlignment="1">
      <alignment horizontal="right"/>
    </xf>
    <xf numFmtId="193" fontId="0" fillId="0" borderId="59" xfId="5" applyFont="1" applyFill="1" applyBorder="1" applyAlignment="1">
      <alignment horizontal="right"/>
    </xf>
    <xf numFmtId="0" fontId="1" fillId="0" borderId="6" xfId="4" applyBorder="1"/>
    <xf numFmtId="180" fontId="0" fillId="13" borderId="13" xfId="2" quotePrefix="1" applyNumberFormat="1" applyFont="1" applyFill="1" applyBorder="1"/>
    <xf numFmtId="0" fontId="10" fillId="0" borderId="8" xfId="1" applyBorder="1" applyAlignment="1" applyProtection="1"/>
    <xf numFmtId="0" fontId="0" fillId="0" borderId="54" xfId="0" applyBorder="1"/>
    <xf numFmtId="0" fontId="7" fillId="0" borderId="54" xfId="0" applyFont="1" applyFill="1" applyBorder="1"/>
    <xf numFmtId="169" fontId="0" fillId="0" borderId="6" xfId="2" applyNumberFormat="1" applyFont="1" applyFill="1" applyBorder="1" applyProtection="1">
      <protection locked="0"/>
    </xf>
    <xf numFmtId="169" fontId="0" fillId="4" borderId="6" xfId="2" applyNumberFormat="1" applyFont="1" applyFill="1" applyBorder="1" applyProtection="1">
      <protection locked="0"/>
    </xf>
    <xf numFmtId="14" fontId="6" fillId="12" borderId="0" xfId="0" applyNumberFormat="1" applyFont="1" applyFill="1"/>
    <xf numFmtId="169" fontId="0" fillId="0" borderId="21" xfId="2" applyNumberFormat="1" applyFont="1" applyFill="1" applyBorder="1"/>
    <xf numFmtId="169" fontId="0" fillId="0" borderId="6" xfId="2" applyNumberFormat="1" applyFont="1" applyFill="1" applyBorder="1"/>
    <xf numFmtId="169" fontId="0" fillId="0" borderId="0" xfId="2" applyNumberFormat="1" applyFont="1" applyFill="1"/>
    <xf numFmtId="165" fontId="0" fillId="0" borderId="21" xfId="2" applyNumberFormat="1" applyFont="1" applyFill="1" applyBorder="1"/>
    <xf numFmtId="165" fontId="0" fillId="0" borderId="6" xfId="2" applyNumberFormat="1" applyFont="1" applyFill="1" applyBorder="1"/>
    <xf numFmtId="14" fontId="68" fillId="0" borderId="0" xfId="0" applyNumberFormat="1" applyFont="1" applyFill="1"/>
    <xf numFmtId="0" fontId="6" fillId="0" borderId="0" xfId="0" applyFont="1" applyBorder="1" applyProtection="1">
      <protection locked="0"/>
    </xf>
    <xf numFmtId="0" fontId="11" fillId="0" borderId="54" xfId="0" applyFont="1" applyBorder="1"/>
    <xf numFmtId="0" fontId="13" fillId="0" borderId="8" xfId="0" applyFont="1" applyBorder="1"/>
    <xf numFmtId="0" fontId="13" fillId="0" borderId="0" xfId="0" applyFont="1"/>
    <xf numFmtId="0" fontId="23" fillId="0" borderId="54" xfId="4" applyFont="1" applyFill="1" applyBorder="1"/>
    <xf numFmtId="195" fontId="0" fillId="0" borderId="0" xfId="6" applyNumberFormat="1" applyFont="1"/>
    <xf numFmtId="0" fontId="1" fillId="0" borderId="0" xfId="0" applyFont="1" applyFill="1"/>
    <xf numFmtId="195" fontId="1" fillId="0" borderId="0" xfId="0" applyNumberFormat="1" applyFont="1" applyFill="1"/>
    <xf numFmtId="195" fontId="0" fillId="0" borderId="0" xfId="0" applyNumberFormat="1"/>
    <xf numFmtId="44" fontId="4" fillId="0" borderId="0" xfId="6" applyFont="1"/>
    <xf numFmtId="10" fontId="1" fillId="0" borderId="0" xfId="0" applyNumberFormat="1" applyFont="1"/>
    <xf numFmtId="0" fontId="1" fillId="0" borderId="0" xfId="0" applyFont="1" applyFill="1" applyBorder="1"/>
    <xf numFmtId="0" fontId="13" fillId="0" borderId="0" xfId="0" applyFont="1" applyAlignment="1">
      <alignment vertical="top" wrapText="1"/>
    </xf>
    <xf numFmtId="0" fontId="64" fillId="0" borderId="51" xfId="0" applyFont="1" applyBorder="1" applyAlignment="1" applyProtection="1">
      <alignment horizontal="left" vertical="top" wrapText="1" readingOrder="1"/>
      <protection locked="0"/>
    </xf>
    <xf numFmtId="0" fontId="64" fillId="0" borderId="1" xfId="0" applyFont="1" applyBorder="1" applyAlignment="1" applyProtection="1">
      <alignment horizontal="left" vertical="top" wrapText="1" readingOrder="1"/>
      <protection locked="0"/>
    </xf>
    <xf numFmtId="0" fontId="66" fillId="0" borderId="53" xfId="0" applyFont="1" applyBorder="1" applyAlignment="1" applyProtection="1">
      <alignment horizontal="left" vertical="top" wrapText="1" readingOrder="1"/>
      <protection locked="0"/>
    </xf>
    <xf numFmtId="0" fontId="66" fillId="0" borderId="46" xfId="0" applyFont="1" applyBorder="1" applyAlignment="1" applyProtection="1">
      <alignment horizontal="left" vertical="top" wrapText="1" readingOrder="1"/>
      <protection locked="0"/>
    </xf>
    <xf numFmtId="0" fontId="64" fillId="0" borderId="52" xfId="0" applyFont="1" applyBorder="1" applyAlignment="1" applyProtection="1">
      <alignment horizontal="left" vertical="top" wrapText="1" readingOrder="1"/>
      <protection locked="0"/>
    </xf>
    <xf numFmtId="0" fontId="64" fillId="0" borderId="49" xfId="0" applyFont="1" applyBorder="1" applyAlignment="1" applyProtection="1">
      <alignment horizontal="left" vertical="top" wrapText="1" readingOrder="1"/>
      <protection locked="0"/>
    </xf>
    <xf numFmtId="0" fontId="23" fillId="8" borderId="55" xfId="4" applyFont="1" applyFill="1" applyBorder="1" applyAlignment="1">
      <alignment horizontal="center"/>
    </xf>
    <xf numFmtId="0" fontId="23" fillId="8" borderId="56" xfId="4" applyFont="1" applyFill="1" applyBorder="1" applyAlignment="1">
      <alignment horizontal="center"/>
    </xf>
    <xf numFmtId="170" fontId="23" fillId="0" borderId="0" xfId="0" applyNumberFormat="1" applyFont="1" applyFill="1" applyAlignment="1">
      <alignment horizontal="left"/>
    </xf>
    <xf numFmtId="170" fontId="0" fillId="0" borderId="0" xfId="0" applyNumberFormat="1" applyFill="1" applyAlignment="1"/>
    <xf numFmtId="2" fontId="23" fillId="0" borderId="0" xfId="0" applyNumberFormat="1" applyFont="1" applyFill="1" applyAlignment="1">
      <alignment horizontal="left"/>
    </xf>
    <xf numFmtId="2" fontId="0" fillId="0" borderId="0" xfId="0" applyNumberFormat="1" applyFill="1" applyAlignment="1"/>
  </cellXfs>
  <cellStyles count="7">
    <cellStyle name="Hyperlink" xfId="1" builtinId="8"/>
    <cellStyle name="Komma" xfId="2" builtinId="3"/>
    <cellStyle name="Procent" xfId="3" builtinId="5"/>
    <cellStyle name="Standaard" xfId="0" builtinId="0"/>
    <cellStyle name="Standaard 2" xfId="4" xr:uid="{00000000-0005-0000-0000-000004000000}"/>
    <cellStyle name="Valuta" xfId="6" builtinId="4"/>
    <cellStyle name="Valuta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l-NL"/>
              <a:t>MSK Steunruimte in NCW</a:t>
            </a:r>
          </a:p>
        </c:rich>
      </c:tx>
      <c:layout>
        <c:manualLayout>
          <c:xMode val="edge"/>
          <c:yMode val="edge"/>
          <c:x val="0.37700865265760197"/>
          <c:y val="2.9038112522686024E-2"/>
        </c:manualLayout>
      </c:layout>
      <c:overlay val="0"/>
      <c:spPr>
        <a:noFill/>
        <a:ln w="25400">
          <a:noFill/>
        </a:ln>
      </c:spPr>
    </c:title>
    <c:autoTitleDeleted val="0"/>
    <c:plotArea>
      <c:layout>
        <c:manualLayout>
          <c:layoutTarget val="inner"/>
          <c:xMode val="edge"/>
          <c:yMode val="edge"/>
          <c:x val="0.13102595797280595"/>
          <c:y val="0.1560798548094374"/>
          <c:w val="0.85537700865265764"/>
          <c:h val="0.71143375680580767"/>
        </c:manualLayout>
      </c:layout>
      <c:barChart>
        <c:barDir val="col"/>
        <c:grouping val="clustered"/>
        <c:varyColors val="0"/>
        <c:ser>
          <c:idx val="1"/>
          <c:order val="0"/>
          <c:tx>
            <c:strRef>
              <c:f>'Overzicht MSK toets'!$I$8</c:f>
              <c:strCache>
                <c:ptCount val="1"/>
                <c:pt idx="0">
                  <c:v>jaar</c:v>
                </c:pt>
              </c:strCache>
            </c:strRef>
          </c:tx>
          <c:spPr>
            <a:solidFill>
              <a:srgbClr val="993366"/>
            </a:solidFill>
            <a:ln w="12700">
              <a:solidFill>
                <a:srgbClr val="000000"/>
              </a:solidFill>
              <a:prstDash val="solid"/>
            </a:ln>
          </c:spPr>
          <c:invertIfNegative val="0"/>
          <c:val>
            <c:numRef>
              <c:f>'Overzicht MSK toets'!$I$9:$I$24</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val>
          <c:extLst>
            <c:ext xmlns:c16="http://schemas.microsoft.com/office/drawing/2014/chart" uri="{C3380CC4-5D6E-409C-BE32-E72D297353CC}">
              <c16:uniqueId val="{00000000-27E4-40C1-B76C-CBCA7ADC5320}"/>
            </c:ext>
          </c:extLst>
        </c:ser>
        <c:ser>
          <c:idx val="0"/>
          <c:order val="1"/>
          <c:tx>
            <c:strRef>
              <c:f>'Overzicht MSK toets'!$J$8</c:f>
              <c:strCache>
                <c:ptCount val="1"/>
                <c:pt idx="0">
                  <c:v>SDE+</c:v>
                </c:pt>
              </c:strCache>
            </c:strRef>
          </c:tx>
          <c:spPr>
            <a:solidFill>
              <a:srgbClr val="9999FF"/>
            </a:solidFill>
            <a:ln w="12700">
              <a:solidFill>
                <a:srgbClr val="000000"/>
              </a:solidFill>
              <a:prstDash val="solid"/>
            </a:ln>
          </c:spPr>
          <c:invertIfNegative val="0"/>
          <c:val>
            <c:numRef>
              <c:f>'Overzicht MSK toets'!$J$9:$J$24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27E4-40C1-B76C-CBCA7ADC5320}"/>
            </c:ext>
          </c:extLst>
        </c:ser>
        <c:dLbls>
          <c:showLegendKey val="0"/>
          <c:showVal val="0"/>
          <c:showCatName val="0"/>
          <c:showSerName val="0"/>
          <c:showPercent val="0"/>
          <c:showBubbleSize val="0"/>
        </c:dLbls>
        <c:gapWidth val="150"/>
        <c:axId val="65178240"/>
        <c:axId val="67538944"/>
      </c:barChart>
      <c:lineChart>
        <c:grouping val="standard"/>
        <c:varyColors val="0"/>
        <c:ser>
          <c:idx val="4"/>
          <c:order val="2"/>
          <c:tx>
            <c:strRef>
              <c:f>'Overzicht MSK toets'!$K$8</c:f>
              <c:strCache>
                <c:ptCount val="1"/>
                <c:pt idx="0">
                  <c:v>Max SDE+</c:v>
                </c:pt>
              </c:strCache>
            </c:strRef>
          </c:tx>
          <c:spPr>
            <a:ln w="12700">
              <a:solidFill>
                <a:srgbClr val="800080"/>
              </a:solidFill>
              <a:prstDash val="solid"/>
            </a:ln>
          </c:spPr>
          <c:marker>
            <c:symbol val="star"/>
            <c:size val="5"/>
            <c:spPr>
              <a:noFill/>
              <a:ln>
                <a:solidFill>
                  <a:srgbClr val="800080"/>
                </a:solidFill>
                <a:prstDash val="solid"/>
              </a:ln>
            </c:spPr>
          </c:marker>
          <c:val>
            <c:numRef>
              <c:f>'Overzicht MSK toets'!$K$9:$K$24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27E4-40C1-B76C-CBCA7ADC5320}"/>
            </c:ext>
          </c:extLst>
        </c:ser>
        <c:ser>
          <c:idx val="2"/>
          <c:order val="3"/>
          <c:tx>
            <c:strRef>
              <c:f>'Overzicht MSK toets'!$L$8</c:f>
              <c:strCache>
                <c:ptCount val="1"/>
                <c:pt idx="0">
                  <c:v>bovengrens correctie</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'Overzicht MSK toets'!$L$9:$L$24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27E4-40C1-B76C-CBCA7ADC5320}"/>
            </c:ext>
          </c:extLst>
        </c:ser>
        <c:dLbls>
          <c:showLegendKey val="0"/>
          <c:showVal val="0"/>
          <c:showCatName val="0"/>
          <c:showSerName val="0"/>
          <c:showPercent val="0"/>
          <c:showBubbleSize val="0"/>
        </c:dLbls>
        <c:marker val="1"/>
        <c:smooth val="0"/>
        <c:axId val="67542400"/>
        <c:axId val="67560576"/>
      </c:lineChart>
      <c:catAx>
        <c:axId val="651782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Jaren</a:t>
                </a:r>
              </a:p>
            </c:rich>
          </c:tx>
          <c:layout>
            <c:manualLayout>
              <c:xMode val="edge"/>
              <c:yMode val="edge"/>
              <c:x val="0.5142150803461063"/>
              <c:y val="0.9237749546279492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67538944"/>
        <c:crosses val="autoZero"/>
        <c:auto val="0"/>
        <c:lblAlgn val="ctr"/>
        <c:lblOffset val="100"/>
        <c:tickLblSkip val="1"/>
        <c:tickMarkSkip val="1"/>
        <c:noMultiLvlLbl val="0"/>
      </c:catAx>
      <c:valAx>
        <c:axId val="6753894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nl-NL"/>
                  <a:t>euro</a:t>
                </a:r>
              </a:p>
            </c:rich>
          </c:tx>
          <c:layout>
            <c:manualLayout>
              <c:xMode val="edge"/>
              <c:yMode val="edge"/>
              <c:x val="2.7194066749072928E-2"/>
              <c:y val="0.488203266787658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65178240"/>
        <c:crosses val="autoZero"/>
        <c:crossBetween val="between"/>
      </c:valAx>
      <c:catAx>
        <c:axId val="67542400"/>
        <c:scaling>
          <c:orientation val="minMax"/>
        </c:scaling>
        <c:delete val="1"/>
        <c:axPos val="b"/>
        <c:majorTickMark val="out"/>
        <c:minorTickMark val="none"/>
        <c:tickLblPos val="none"/>
        <c:crossAx val="67560576"/>
        <c:crosses val="autoZero"/>
        <c:auto val="0"/>
        <c:lblAlgn val="ctr"/>
        <c:lblOffset val="100"/>
        <c:noMultiLvlLbl val="0"/>
      </c:catAx>
      <c:valAx>
        <c:axId val="67560576"/>
        <c:scaling>
          <c:orientation val="minMax"/>
        </c:scaling>
        <c:delete val="1"/>
        <c:axPos val="l"/>
        <c:numFmt formatCode="_-* #,##0_-;_-* #,##0\-;_-* &quot;-&quot;??_-;_-@_-" sourceLinked="1"/>
        <c:majorTickMark val="out"/>
        <c:minorTickMark val="none"/>
        <c:tickLblPos val="none"/>
        <c:crossAx val="67542400"/>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73794808405438816"/>
          <c:y val="9.0744101633393835E-3"/>
          <c:w val="0.1965389369592089"/>
          <c:h val="0.116152450090744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oddHeader>&amp;A</c:oddHeader>
      <c:oddFooter>Page &amp;P</c:oddFooter>
    </c:headerFooter>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523875</xdr:colOff>
      <xdr:row>33</xdr:row>
      <xdr:rowOff>28575</xdr:rowOff>
    </xdr:from>
    <xdr:to>
      <xdr:col>12</xdr:col>
      <xdr:colOff>828675</xdr:colOff>
      <xdr:row>64</xdr:row>
      <xdr:rowOff>0</xdr:rowOff>
    </xdr:to>
    <xdr:graphicFrame macro="">
      <xdr:nvGraphicFramePr>
        <xdr:cNvPr id="13313" name="Grafiek 3">
          <a:extLst>
            <a:ext uri="{FF2B5EF4-FFF2-40B4-BE49-F238E27FC236}">
              <a16:creationId xmlns:a16="http://schemas.microsoft.com/office/drawing/2014/main" id="{00000000-0008-0000-0200-00000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42</xdr:row>
      <xdr:rowOff>161925</xdr:rowOff>
    </xdr:from>
    <xdr:to>
      <xdr:col>4</xdr:col>
      <xdr:colOff>47625</xdr:colOff>
      <xdr:row>47</xdr:row>
      <xdr:rowOff>66675</xdr:rowOff>
    </xdr:to>
    <xdr:sp macro="" textlink="">
      <xdr:nvSpPr>
        <xdr:cNvPr id="11278" name="Line 1038">
          <a:extLst>
            <a:ext uri="{FF2B5EF4-FFF2-40B4-BE49-F238E27FC236}">
              <a16:creationId xmlns:a16="http://schemas.microsoft.com/office/drawing/2014/main" id="{00000000-0008-0000-0800-00000E2C0000}"/>
            </a:ext>
          </a:extLst>
        </xdr:cNvPr>
        <xdr:cNvSpPr>
          <a:spLocks noChangeShapeType="1"/>
        </xdr:cNvSpPr>
      </xdr:nvSpPr>
      <xdr:spPr bwMode="auto">
        <a:xfrm flipH="1">
          <a:off x="3667125" y="7077075"/>
          <a:ext cx="180975" cy="847725"/>
        </a:xfrm>
        <a:prstGeom prst="line">
          <a:avLst/>
        </a:prstGeom>
        <a:noFill/>
        <a:ln w="9525">
          <a:solidFill>
            <a:srgbClr val="000000"/>
          </a:solidFill>
          <a:round/>
          <a:headEnd/>
          <a:tailEnd type="triangle" w="med" len="med"/>
        </a:ln>
      </xdr:spPr>
    </xdr:sp>
    <xdr:clientData/>
  </xdr:twoCellAnchor>
  <xdr:twoCellAnchor>
    <xdr:from>
      <xdr:col>9</xdr:col>
      <xdr:colOff>95250</xdr:colOff>
      <xdr:row>15</xdr:row>
      <xdr:rowOff>133350</xdr:rowOff>
    </xdr:from>
    <xdr:to>
      <xdr:col>11</xdr:col>
      <xdr:colOff>152400</xdr:colOff>
      <xdr:row>19</xdr:row>
      <xdr:rowOff>133350</xdr:rowOff>
    </xdr:to>
    <xdr:sp macro="" textlink="">
      <xdr:nvSpPr>
        <xdr:cNvPr id="11279" name="Line 1039">
          <a:extLst>
            <a:ext uri="{FF2B5EF4-FFF2-40B4-BE49-F238E27FC236}">
              <a16:creationId xmlns:a16="http://schemas.microsoft.com/office/drawing/2014/main" id="{00000000-0008-0000-0800-00000F2C0000}"/>
            </a:ext>
          </a:extLst>
        </xdr:cNvPr>
        <xdr:cNvSpPr>
          <a:spLocks noChangeShapeType="1"/>
        </xdr:cNvSpPr>
      </xdr:nvSpPr>
      <xdr:spPr bwMode="auto">
        <a:xfrm flipH="1">
          <a:off x="7296150" y="2619375"/>
          <a:ext cx="1123950" cy="647700"/>
        </a:xfrm>
        <a:prstGeom prst="line">
          <a:avLst/>
        </a:prstGeom>
        <a:noFill/>
        <a:ln w="9525">
          <a:solidFill>
            <a:srgbClr val="000000"/>
          </a:solidFill>
          <a:round/>
          <a:headEnd/>
          <a:tailEnd type="triangle" w="med" len="med"/>
        </a:ln>
      </xdr:spPr>
    </xdr:sp>
    <xdr:clientData/>
  </xdr:twoCellAnchor>
  <xdr:twoCellAnchor>
    <xdr:from>
      <xdr:col>11</xdr:col>
      <xdr:colOff>66675</xdr:colOff>
      <xdr:row>12</xdr:row>
      <xdr:rowOff>0</xdr:rowOff>
    </xdr:from>
    <xdr:to>
      <xdr:col>14</xdr:col>
      <xdr:colOff>409575</xdr:colOff>
      <xdr:row>16</xdr:row>
      <xdr:rowOff>0</xdr:rowOff>
    </xdr:to>
    <xdr:sp macro="" textlink="">
      <xdr:nvSpPr>
        <xdr:cNvPr id="11280" name="Text Box 1040">
          <a:extLst>
            <a:ext uri="{FF2B5EF4-FFF2-40B4-BE49-F238E27FC236}">
              <a16:creationId xmlns:a16="http://schemas.microsoft.com/office/drawing/2014/main" id="{00000000-0008-0000-0800-0000102C0000}"/>
            </a:ext>
          </a:extLst>
        </xdr:cNvPr>
        <xdr:cNvSpPr txBox="1">
          <a:spLocks noChangeArrowheads="1"/>
        </xdr:cNvSpPr>
      </xdr:nvSpPr>
      <xdr:spPr bwMode="auto">
        <a:xfrm>
          <a:off x="8334375" y="2000250"/>
          <a:ext cx="1943100" cy="647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nl-NL" sz="1000" b="0" i="0" u="none" strike="noStrike" baseline="0">
              <a:solidFill>
                <a:srgbClr val="000000"/>
              </a:solidFill>
              <a:latin typeface="Times New Roman"/>
              <a:cs typeface="Times New Roman"/>
            </a:rPr>
            <a:t>aangepast: jaar 1 is het jaar dat de sde ontvangsten beginnen en niet het jaar dat de sde start datum is</a:t>
          </a:r>
          <a:endParaRPr lang="nl-N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gnl\Data%20-%20Q-schijf%20op%20Fil08\EK\MEI_IDE\Programma%20SDE\MSK%20SDE%202010-2014\uitvoering%20MSK\In%20uitvoering\Lijst%20nov.%202013\SDE1103715%20ZON%20MSK%20berekening%2020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IMERST\AppData\Local\Microsoft\Windows\Temporary%20Internet%20Files\Content.Outlook\GAWS6ISF\oudere%20versies\SDE+%20MSK%20rekenmodel%20ZON-WIND%20vs8%20conce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erblad"/>
      <sheetName val="Overzicht MSK toets"/>
      <sheetName val="Hulpberekeningen 1"/>
      <sheetName val="Hulpberekeningen 2"/>
      <sheetName val="Stamblad"/>
      <sheetName val="Toelichting"/>
      <sheetName val="exploitatieoverzicht wind"/>
      <sheetName val="Afwijking van gegevens aanvrag."/>
      <sheetName val="Rendement geinv. vermogen"/>
      <sheetName val="VAMIL voordeel"/>
      <sheetName val="Invoerblad  bij lease"/>
      <sheetName val="exploitatieoverzicht Biomassa"/>
    </sheetNames>
    <sheetDataSet>
      <sheetData sheetId="0">
        <row r="13">
          <cell r="E13">
            <v>3.6999999999999998E-2</v>
          </cell>
        </row>
      </sheetData>
      <sheetData sheetId="1" refreshError="1"/>
      <sheetData sheetId="2" refreshError="1"/>
      <sheetData sheetId="3" refreshError="1"/>
      <sheetData sheetId="4">
        <row r="9">
          <cell r="B9" t="str">
            <v>Zon-PV Groot 2011</v>
          </cell>
        </row>
        <row r="10">
          <cell r="B10" t="str">
            <v>Zon-PV Groot 2012</v>
          </cell>
        </row>
        <row r="11">
          <cell r="B11" t="str">
            <v>Zon-PV Groot 2013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erblad"/>
      <sheetName val="Overzicht MSK toets"/>
      <sheetName val="Hulpberekeningen 1"/>
      <sheetName val="Hulpberekeningen 2"/>
      <sheetName val="Toelichting"/>
      <sheetName val="exploitatieoverzicht wind"/>
      <sheetName val="Samenvatting en uitgangspunten"/>
      <sheetName val="Rendement geinv. vermogen"/>
      <sheetName val="VAMIL voordeel"/>
      <sheetName val="Invoerblad  bij lease"/>
      <sheetName val="exploitatieoverzicht Biomassa"/>
      <sheetName val="Stambl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ec.europa.eu/comm/competition/state_aid/legislation/reference_rate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ec.europa.eu/comm/competition/state_aid/legislation/reference_rates.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K152"/>
  <sheetViews>
    <sheetView showGridLines="0" tabSelected="1" topLeftCell="A49" zoomScale="70" zoomScaleNormal="70" workbookViewId="0">
      <selection activeCell="K13" sqref="K13"/>
    </sheetView>
  </sheetViews>
  <sheetFormatPr defaultColWidth="0" defaultRowHeight="13.2" zeroHeight="1" x14ac:dyDescent="0.25"/>
  <cols>
    <col min="1" max="1" width="13" style="259" customWidth="1"/>
    <col min="2" max="2" width="62.44140625" customWidth="1"/>
    <col min="3" max="3" width="13.33203125" customWidth="1"/>
    <col min="4" max="4" width="10" customWidth="1"/>
    <col min="5" max="5" width="32.6640625" customWidth="1"/>
    <col min="6" max="6" width="7.33203125" customWidth="1"/>
    <col min="7" max="7" width="4.44140625" style="345" customWidth="1"/>
    <col min="8" max="8" width="19" customWidth="1"/>
    <col min="9" max="9" width="24.77734375" style="38" customWidth="1"/>
    <col min="10" max="10" width="15.33203125" style="38" customWidth="1"/>
    <col min="11" max="11" width="19" customWidth="1"/>
    <col min="12" max="28" width="17" customWidth="1"/>
  </cols>
  <sheetData>
    <row r="1" spans="1:28" ht="24.6" x14ac:dyDescent="0.4">
      <c r="A1" s="201" t="s">
        <v>111</v>
      </c>
      <c r="D1" s="200"/>
      <c r="H1" s="612"/>
      <c r="I1" s="612"/>
      <c r="J1" s="600" t="s">
        <v>530</v>
      </c>
    </row>
    <row r="2" spans="1:28" x14ac:dyDescent="0.25">
      <c r="A2" s="257"/>
      <c r="H2" s="612"/>
      <c r="I2" s="612"/>
      <c r="L2" s="169"/>
      <c r="M2" s="307"/>
      <c r="N2" s="6"/>
    </row>
    <row r="3" spans="1:28" ht="13.8" x14ac:dyDescent="0.25">
      <c r="A3" s="257"/>
      <c r="B3" s="333" t="s">
        <v>207</v>
      </c>
      <c r="C3" s="268"/>
      <c r="D3" s="268"/>
      <c r="E3" s="473"/>
      <c r="F3" s="602"/>
      <c r="G3" s="601"/>
      <c r="H3" s="145"/>
      <c r="I3" s="145"/>
      <c r="J3" s="145"/>
      <c r="K3" s="464"/>
      <c r="L3" s="306"/>
      <c r="M3" s="6"/>
      <c r="N3" s="203"/>
    </row>
    <row r="4" spans="1:28" ht="15.6" x14ac:dyDescent="0.3">
      <c r="A4" s="257"/>
      <c r="B4" s="472" t="s">
        <v>208</v>
      </c>
      <c r="C4" s="3"/>
      <c r="D4" s="3"/>
      <c r="E4" s="3"/>
      <c r="F4" s="92"/>
      <c r="G4" s="346"/>
      <c r="H4" s="92"/>
      <c r="I4" s="26"/>
      <c r="J4" s="150"/>
      <c r="L4" s="180"/>
      <c r="M4" s="37"/>
      <c r="N4" s="37"/>
    </row>
    <row r="5" spans="1:28" ht="13.8" x14ac:dyDescent="0.25">
      <c r="A5" s="258" t="s">
        <v>360</v>
      </c>
      <c r="B5" s="3"/>
      <c r="C5" s="3"/>
      <c r="D5" s="3"/>
      <c r="E5" s="3"/>
      <c r="F5" s="92"/>
      <c r="G5" s="346"/>
      <c r="H5" s="92"/>
      <c r="I5" s="85" t="s">
        <v>234</v>
      </c>
      <c r="J5" s="150"/>
      <c r="K5" s="38"/>
      <c r="L5" s="445"/>
      <c r="M5" s="38"/>
      <c r="N5" s="37"/>
      <c r="O5" s="38"/>
    </row>
    <row r="6" spans="1:28" ht="13.8" x14ac:dyDescent="0.25">
      <c r="B6" s="3"/>
      <c r="C6" s="3"/>
      <c r="D6" s="3"/>
      <c r="E6" s="3"/>
      <c r="F6" s="92"/>
      <c r="G6" s="346"/>
      <c r="H6" s="92"/>
      <c r="I6" s="85" t="s">
        <v>168</v>
      </c>
      <c r="J6" s="150"/>
      <c r="L6" s="2"/>
      <c r="M6" s="38"/>
      <c r="N6" s="37"/>
      <c r="O6" s="38"/>
    </row>
    <row r="7" spans="1:28" ht="15.75" customHeight="1" thickBot="1" x14ac:dyDescent="0.3">
      <c r="B7" s="3" t="s">
        <v>30</v>
      </c>
      <c r="C7" s="3"/>
      <c r="D7" s="3"/>
      <c r="E7" s="3"/>
      <c r="F7" s="92"/>
      <c r="G7" s="346"/>
      <c r="H7" s="92"/>
      <c r="I7" s="26"/>
      <c r="J7" s="150"/>
      <c r="L7" s="2"/>
      <c r="M7" s="38"/>
      <c r="N7" s="37"/>
      <c r="O7" s="38"/>
    </row>
    <row r="8" spans="1:28" ht="14.4" thickBot="1" x14ac:dyDescent="0.3">
      <c r="A8" s="259">
        <v>1</v>
      </c>
      <c r="B8" s="304" t="s">
        <v>233</v>
      </c>
      <c r="C8" s="305"/>
      <c r="D8" s="3"/>
      <c r="E8" s="316"/>
      <c r="F8" s="92"/>
      <c r="G8" s="347" t="s">
        <v>148</v>
      </c>
      <c r="H8" s="92"/>
      <c r="I8" s="158"/>
      <c r="J8" s="150"/>
      <c r="K8" s="85"/>
      <c r="L8" s="445"/>
      <c r="M8" s="38"/>
      <c r="N8" s="37"/>
      <c r="O8" s="38"/>
      <c r="P8" s="38"/>
      <c r="Q8" s="38"/>
      <c r="R8" s="38"/>
      <c r="S8" s="38"/>
      <c r="T8" s="38"/>
      <c r="U8" s="38"/>
      <c r="V8" s="38"/>
      <c r="W8" s="38"/>
    </row>
    <row r="9" spans="1:28" ht="14.4" thickBot="1" x14ac:dyDescent="0.3">
      <c r="A9" s="259">
        <v>2</v>
      </c>
      <c r="B9" s="304" t="s">
        <v>253</v>
      </c>
      <c r="C9" s="305"/>
      <c r="D9" s="3"/>
      <c r="E9" s="316"/>
      <c r="F9" s="92"/>
      <c r="G9" s="347"/>
      <c r="H9" s="92"/>
      <c r="I9" s="158"/>
      <c r="J9" s="150"/>
      <c r="K9" s="85"/>
      <c r="L9" s="445"/>
      <c r="M9" s="38"/>
      <c r="N9" s="37"/>
      <c r="O9" s="38"/>
      <c r="P9" s="38"/>
      <c r="Q9" s="38"/>
      <c r="R9" s="38"/>
      <c r="S9" s="38"/>
      <c r="T9" s="38"/>
      <c r="U9" s="38"/>
      <c r="V9" s="38"/>
      <c r="W9" s="38"/>
    </row>
    <row r="10" spans="1:28" ht="14.4" thickBot="1" x14ac:dyDescent="0.3">
      <c r="B10" s="304"/>
      <c r="C10" s="305"/>
      <c r="D10" s="3"/>
      <c r="E10" s="385"/>
      <c r="F10" s="92"/>
      <c r="G10" s="347"/>
      <c r="H10" s="92"/>
      <c r="I10" s="158"/>
      <c r="J10" s="150"/>
      <c r="K10" s="85"/>
      <c r="L10" s="2"/>
      <c r="M10" s="38"/>
      <c r="N10" s="37"/>
      <c r="O10" s="38"/>
    </row>
    <row r="11" spans="1:28" ht="13.8" x14ac:dyDescent="0.25">
      <c r="B11" s="304"/>
      <c r="C11" s="305"/>
      <c r="D11" s="3"/>
      <c r="E11" s="322"/>
      <c r="F11" s="92"/>
      <c r="G11" s="347"/>
      <c r="H11" s="92"/>
      <c r="I11" s="158"/>
      <c r="J11" s="150"/>
      <c r="K11" s="85"/>
      <c r="L11" s="2"/>
      <c r="M11" s="38"/>
      <c r="N11" s="37"/>
      <c r="O11" s="38"/>
    </row>
    <row r="12" spans="1:28" ht="14.4" thickBot="1" x14ac:dyDescent="0.3">
      <c r="B12" s="324"/>
      <c r="C12" s="321"/>
      <c r="D12" s="3"/>
      <c r="E12" s="322"/>
      <c r="F12" s="92"/>
      <c r="G12" s="347"/>
      <c r="H12" s="92"/>
      <c r="I12" s="390"/>
      <c r="J12" s="26"/>
      <c r="AB12" s="6"/>
    </row>
    <row r="13" spans="1:28" ht="14.4" thickBot="1" x14ac:dyDescent="0.3">
      <c r="A13" s="259">
        <v>5</v>
      </c>
      <c r="B13" s="323" t="s">
        <v>2</v>
      </c>
      <c r="C13" s="365" t="s">
        <v>116</v>
      </c>
      <c r="D13" s="3"/>
      <c r="E13" s="316"/>
      <c r="F13" s="452"/>
      <c r="G13" s="348" t="s">
        <v>148</v>
      </c>
      <c r="H13" s="171"/>
      <c r="I13" s="390"/>
      <c r="J13" s="26"/>
      <c r="AB13" s="6"/>
    </row>
    <row r="14" spans="1:28" ht="14.4" thickBot="1" x14ac:dyDescent="0.3">
      <c r="A14" s="377" t="s">
        <v>420</v>
      </c>
      <c r="B14" s="323" t="s">
        <v>3</v>
      </c>
      <c r="C14" s="365" t="s">
        <v>116</v>
      </c>
      <c r="D14" s="3"/>
      <c r="E14" s="316"/>
      <c r="F14" s="452"/>
      <c r="G14" s="348" t="s">
        <v>148</v>
      </c>
      <c r="H14" s="171"/>
      <c r="I14" s="390"/>
      <c r="J14" s="26"/>
      <c r="K14">
        <v>1</v>
      </c>
      <c r="L14">
        <v>2</v>
      </c>
      <c r="M14">
        <v>3</v>
      </c>
      <c r="N14">
        <v>4</v>
      </c>
      <c r="O14">
        <v>5</v>
      </c>
      <c r="P14">
        <v>6</v>
      </c>
      <c r="Q14">
        <v>7</v>
      </c>
      <c r="R14">
        <v>8</v>
      </c>
      <c r="S14">
        <v>9</v>
      </c>
      <c r="T14">
        <v>10</v>
      </c>
      <c r="U14">
        <v>11</v>
      </c>
      <c r="V14">
        <v>12</v>
      </c>
      <c r="W14">
        <v>13</v>
      </c>
      <c r="X14">
        <v>14</v>
      </c>
      <c r="Y14">
        <v>15</v>
      </c>
      <c r="Z14">
        <v>16</v>
      </c>
      <c r="AA14">
        <v>17</v>
      </c>
      <c r="AB14" s="6"/>
    </row>
    <row r="15" spans="1:28" ht="14.4" thickBot="1" x14ac:dyDescent="0.3">
      <c r="A15" s="259">
        <v>6</v>
      </c>
      <c r="B15" s="304" t="s">
        <v>298</v>
      </c>
      <c r="C15" s="305"/>
      <c r="D15" s="3"/>
      <c r="E15" s="474">
        <v>15</v>
      </c>
      <c r="F15" s="451"/>
      <c r="G15" s="349"/>
      <c r="H15" s="171"/>
      <c r="I15" s="390"/>
      <c r="J15" s="26"/>
      <c r="K15" s="2">
        <f>IF(ISBLANK('Hulpberekeningen 2'!$E$8),1,YEAR('Hulpberekeningen 2'!$E$8))</f>
        <v>1900</v>
      </c>
      <c r="L15" s="2">
        <f>+K15+1</f>
        <v>1901</v>
      </c>
      <c r="M15" s="2">
        <f t="shared" ref="M15:AA15" si="0">+L15+1</f>
        <v>1902</v>
      </c>
      <c r="N15" s="2">
        <f t="shared" si="0"/>
        <v>1903</v>
      </c>
      <c r="O15" s="2">
        <f t="shared" si="0"/>
        <v>1904</v>
      </c>
      <c r="P15" s="2">
        <f t="shared" si="0"/>
        <v>1905</v>
      </c>
      <c r="Q15" s="2">
        <f t="shared" si="0"/>
        <v>1906</v>
      </c>
      <c r="R15" s="2">
        <f t="shared" si="0"/>
        <v>1907</v>
      </c>
      <c r="S15" s="2">
        <f t="shared" si="0"/>
        <v>1908</v>
      </c>
      <c r="T15" s="2">
        <f t="shared" si="0"/>
        <v>1909</v>
      </c>
      <c r="U15" s="2">
        <f t="shared" si="0"/>
        <v>1910</v>
      </c>
      <c r="V15" s="2">
        <f t="shared" si="0"/>
        <v>1911</v>
      </c>
      <c r="W15" s="2">
        <f t="shared" si="0"/>
        <v>1912</v>
      </c>
      <c r="X15" s="2">
        <f t="shared" si="0"/>
        <v>1913</v>
      </c>
      <c r="Y15" s="2">
        <f t="shared" si="0"/>
        <v>1914</v>
      </c>
      <c r="Z15" s="2">
        <f t="shared" si="0"/>
        <v>1915</v>
      </c>
      <c r="AA15" s="2">
        <f t="shared" si="0"/>
        <v>1916</v>
      </c>
      <c r="AB15" s="125"/>
    </row>
    <row r="16" spans="1:28" ht="14.4" thickBot="1" x14ac:dyDescent="0.3">
      <c r="A16" s="259">
        <v>7</v>
      </c>
      <c r="B16" s="304" t="s">
        <v>260</v>
      </c>
      <c r="C16" s="305"/>
      <c r="D16" s="3"/>
      <c r="E16" s="316"/>
      <c r="F16" s="453"/>
      <c r="G16" s="349"/>
      <c r="H16" s="171"/>
      <c r="I16" s="400"/>
      <c r="J16" s="150"/>
      <c r="K16" s="598">
        <f>+$E$16*'Hulpberekeningen 2'!E30</f>
        <v>0</v>
      </c>
      <c r="L16" s="457">
        <f>+$E$16*'Hulpberekeningen 2'!F30</f>
        <v>0</v>
      </c>
      <c r="M16" s="457">
        <f>+$E$16*'Hulpberekeningen 2'!G30</f>
        <v>0</v>
      </c>
      <c r="N16" s="457">
        <f>+$E$16*'Hulpberekeningen 2'!H30</f>
        <v>0</v>
      </c>
      <c r="O16" s="457">
        <f>+$E$16*'Hulpberekeningen 2'!I30</f>
        <v>0</v>
      </c>
      <c r="P16" s="457">
        <f>+$E$16*'Hulpberekeningen 2'!J30</f>
        <v>0</v>
      </c>
      <c r="Q16" s="457">
        <f>+$E$16*'Hulpberekeningen 2'!K30</f>
        <v>0</v>
      </c>
      <c r="R16" s="457">
        <f>+$E$16*'Hulpberekeningen 2'!L30</f>
        <v>0</v>
      </c>
      <c r="S16" s="457">
        <f>+$E$16*'Hulpberekeningen 2'!M30</f>
        <v>0</v>
      </c>
      <c r="T16" s="457">
        <f>+$E$16*'Hulpberekeningen 2'!N30</f>
        <v>0</v>
      </c>
      <c r="U16" s="457">
        <f>+$E$16*'Hulpberekeningen 2'!O30</f>
        <v>0</v>
      </c>
      <c r="V16" s="457">
        <f>+$E$16*'Hulpberekeningen 2'!P30</f>
        <v>0</v>
      </c>
      <c r="W16" s="457">
        <f>+$E$16*'Hulpberekeningen 2'!Q30</f>
        <v>0</v>
      </c>
      <c r="X16" s="457">
        <f>+$E$16*'Hulpberekeningen 2'!R30</f>
        <v>0</v>
      </c>
      <c r="Y16" s="457">
        <f>+$E$16*'Hulpberekeningen 2'!S30</f>
        <v>0</v>
      </c>
      <c r="Z16" s="457">
        <f>+$E$16*'Hulpberekeningen 2'!T30</f>
        <v>0</v>
      </c>
      <c r="AA16" s="595">
        <f>+$E$16*'Hulpberekeningen 2'!U30</f>
        <v>0</v>
      </c>
      <c r="AB16" s="557"/>
    </row>
    <row r="17" spans="1:37" ht="14.4" thickBot="1" x14ac:dyDescent="0.3">
      <c r="A17" s="377" t="s">
        <v>417</v>
      </c>
      <c r="B17" s="304" t="s">
        <v>416</v>
      </c>
      <c r="C17" s="305"/>
      <c r="D17" s="3"/>
      <c r="E17" s="316"/>
      <c r="F17" s="196"/>
      <c r="G17" s="349"/>
      <c r="H17" s="171"/>
      <c r="I17" s="400"/>
      <c r="J17" s="150"/>
      <c r="K17" s="599">
        <f>+$E$17*'Hulpberekeningen 2'!E30</f>
        <v>0</v>
      </c>
      <c r="L17" s="458">
        <f>+$E$17*'Hulpberekeningen 2'!F30</f>
        <v>0</v>
      </c>
      <c r="M17" s="458">
        <f>+$E$17*'Hulpberekeningen 2'!G30</f>
        <v>0</v>
      </c>
      <c r="N17" s="458">
        <f>+$E$17*'Hulpberekeningen 2'!H30</f>
        <v>0</v>
      </c>
      <c r="O17" s="458">
        <f>+$E$17*'Hulpberekeningen 2'!I30</f>
        <v>0</v>
      </c>
      <c r="P17" s="458">
        <f>+$E$17*'Hulpberekeningen 2'!J30</f>
        <v>0</v>
      </c>
      <c r="Q17" s="458">
        <f>+$E$17*'Hulpberekeningen 2'!K30</f>
        <v>0</v>
      </c>
      <c r="R17" s="458">
        <f>+$E$17*'Hulpberekeningen 2'!L30</f>
        <v>0</v>
      </c>
      <c r="S17" s="458">
        <f>+$E$17*'Hulpberekeningen 2'!M30</f>
        <v>0</v>
      </c>
      <c r="T17" s="458">
        <f>+$E$17*'Hulpberekeningen 2'!N30</f>
        <v>0</v>
      </c>
      <c r="U17" s="458">
        <f>+$E$17*'Hulpberekeningen 2'!O30</f>
        <v>0</v>
      </c>
      <c r="V17" s="458">
        <f>+$E$17*'Hulpberekeningen 2'!P30</f>
        <v>0</v>
      </c>
      <c r="W17" s="458">
        <f>+$E$17*'Hulpberekeningen 2'!Q30</f>
        <v>0</v>
      </c>
      <c r="X17" s="458">
        <f>+$E$17*'Hulpberekeningen 2'!R30</f>
        <v>0</v>
      </c>
      <c r="Y17" s="458">
        <f>+$E$17*'Hulpberekeningen 2'!S30</f>
        <v>0</v>
      </c>
      <c r="Z17" s="596">
        <f>+$E$17*'Hulpberekeningen 2'!T30</f>
        <v>0</v>
      </c>
      <c r="AA17" s="596">
        <f>+$E$17*'Hulpberekeningen 2'!U30</f>
        <v>0</v>
      </c>
      <c r="AB17" s="557"/>
    </row>
    <row r="18" spans="1:37" ht="14.4" thickBot="1" x14ac:dyDescent="0.3">
      <c r="B18" s="304"/>
      <c r="C18" s="305"/>
      <c r="D18" s="3"/>
      <c r="E18" s="26"/>
      <c r="F18" s="34"/>
      <c r="G18" s="350"/>
      <c r="H18" s="26"/>
      <c r="I18" s="34"/>
      <c r="J18" s="150"/>
      <c r="K18" s="445"/>
      <c r="L18" s="445"/>
      <c r="M18" s="38"/>
      <c r="N18" s="38"/>
      <c r="O18" s="38"/>
      <c r="P18" s="38"/>
      <c r="Q18" s="38"/>
      <c r="R18" s="38"/>
      <c r="S18" s="38"/>
      <c r="T18" s="38"/>
      <c r="U18" s="38"/>
      <c r="V18" s="38"/>
      <c r="W18" s="38"/>
      <c r="X18" s="38"/>
      <c r="Y18" s="38"/>
      <c r="Z18" s="597"/>
      <c r="AA18" s="597"/>
      <c r="AB18" s="37"/>
    </row>
    <row r="19" spans="1:37" ht="14.4" thickBot="1" x14ac:dyDescent="0.3">
      <c r="A19" s="259">
        <v>8</v>
      </c>
      <c r="B19" s="304" t="s">
        <v>419</v>
      </c>
      <c r="C19" s="364"/>
      <c r="D19" s="3"/>
      <c r="E19" s="4"/>
      <c r="F19" s="26"/>
      <c r="G19" s="348"/>
      <c r="H19" s="26" t="s">
        <v>482</v>
      </c>
      <c r="I19" s="553">
        <f>SUM(K19:Z19)/15</f>
        <v>0</v>
      </c>
      <c r="J19" s="150"/>
      <c r="K19" s="592">
        <f t="shared" ref="K19" si="1">+K16*$E$13</f>
        <v>0</v>
      </c>
      <c r="L19" s="592">
        <f t="shared" ref="L19:Y19" si="2">+L16*$E$13</f>
        <v>0</v>
      </c>
      <c r="M19" s="459">
        <f t="shared" si="2"/>
        <v>0</v>
      </c>
      <c r="N19" s="459">
        <f t="shared" si="2"/>
        <v>0</v>
      </c>
      <c r="O19" s="459">
        <f t="shared" si="2"/>
        <v>0</v>
      </c>
      <c r="P19" s="459">
        <f t="shared" si="2"/>
        <v>0</v>
      </c>
      <c r="Q19" s="459">
        <f t="shared" si="2"/>
        <v>0</v>
      </c>
      <c r="R19" s="459">
        <f t="shared" si="2"/>
        <v>0</v>
      </c>
      <c r="S19" s="459">
        <f t="shared" si="2"/>
        <v>0</v>
      </c>
      <c r="T19" s="459">
        <f t="shared" si="2"/>
        <v>0</v>
      </c>
      <c r="U19" s="459">
        <f t="shared" si="2"/>
        <v>0</v>
      </c>
      <c r="V19" s="459">
        <f t="shared" si="2"/>
        <v>0</v>
      </c>
      <c r="W19" s="459">
        <f t="shared" si="2"/>
        <v>0</v>
      </c>
      <c r="X19" s="459">
        <f t="shared" si="2"/>
        <v>0</v>
      </c>
      <c r="Y19" s="459">
        <f t="shared" si="2"/>
        <v>0</v>
      </c>
      <c r="Z19" s="459">
        <f t="shared" ref="Z19" si="3">+Z16*$E$13</f>
        <v>0</v>
      </c>
      <c r="AA19" s="592">
        <f>+AA16*$E$13</f>
        <v>0</v>
      </c>
      <c r="AB19" s="554"/>
    </row>
    <row r="20" spans="1:37" ht="14.4" thickBot="1" x14ac:dyDescent="0.3">
      <c r="A20" s="377" t="s">
        <v>418</v>
      </c>
      <c r="B20" s="304" t="s">
        <v>6</v>
      </c>
      <c r="C20" s="305"/>
      <c r="D20" s="3"/>
      <c r="E20" s="467"/>
      <c r="F20" s="278"/>
      <c r="G20" s="350"/>
      <c r="H20" s="26" t="s">
        <v>483</v>
      </c>
      <c r="I20" s="553">
        <f>SUM(K20:Z22)/15</f>
        <v>0</v>
      </c>
      <c r="J20" s="150"/>
      <c r="K20" s="592">
        <f t="shared" ref="K20" si="4">+K17*$E$14</f>
        <v>0</v>
      </c>
      <c r="L20" s="592">
        <f t="shared" ref="L20:Y20" si="5">+L17*$E$14</f>
        <v>0</v>
      </c>
      <c r="M20" s="459">
        <f t="shared" si="5"/>
        <v>0</v>
      </c>
      <c r="N20" s="459">
        <f t="shared" si="5"/>
        <v>0</v>
      </c>
      <c r="O20" s="459">
        <f t="shared" si="5"/>
        <v>0</v>
      </c>
      <c r="P20" s="459">
        <f t="shared" si="5"/>
        <v>0</v>
      </c>
      <c r="Q20" s="459">
        <f t="shared" si="5"/>
        <v>0</v>
      </c>
      <c r="R20" s="459">
        <f t="shared" si="5"/>
        <v>0</v>
      </c>
      <c r="S20" s="459">
        <f t="shared" si="5"/>
        <v>0</v>
      </c>
      <c r="T20" s="459">
        <f t="shared" si="5"/>
        <v>0</v>
      </c>
      <c r="U20" s="459">
        <f t="shared" si="5"/>
        <v>0</v>
      </c>
      <c r="V20" s="459">
        <f t="shared" si="5"/>
        <v>0</v>
      </c>
      <c r="W20" s="459">
        <f t="shared" si="5"/>
        <v>0</v>
      </c>
      <c r="X20" s="459">
        <f t="shared" si="5"/>
        <v>0</v>
      </c>
      <c r="Y20" s="459">
        <f t="shared" si="5"/>
        <v>0</v>
      </c>
      <c r="Z20" s="459">
        <f t="shared" ref="Z20" si="6">+Z17*$E$14</f>
        <v>0</v>
      </c>
      <c r="AA20" s="592">
        <f>+AA17*$E$14</f>
        <v>0</v>
      </c>
      <c r="AB20" s="554"/>
    </row>
    <row r="21" spans="1:37" ht="14.4" thickBot="1" x14ac:dyDescent="0.3">
      <c r="A21" s="555" t="s">
        <v>454</v>
      </c>
      <c r="B21" s="304" t="s">
        <v>455</v>
      </c>
      <c r="C21" s="305"/>
      <c r="D21" s="3"/>
      <c r="E21" s="467"/>
      <c r="F21" s="278"/>
      <c r="G21" s="350"/>
      <c r="H21" s="26"/>
      <c r="I21" s="553"/>
      <c r="J21" s="150"/>
      <c r="K21" s="593"/>
      <c r="L21" s="593"/>
      <c r="M21" s="556"/>
      <c r="N21" s="556"/>
      <c r="O21" s="556"/>
      <c r="P21" s="556"/>
      <c r="Q21" s="556"/>
      <c r="R21" s="556"/>
      <c r="S21" s="556"/>
      <c r="T21" s="556"/>
      <c r="U21" s="556"/>
      <c r="V21" s="556"/>
      <c r="W21" s="556"/>
      <c r="X21" s="556"/>
      <c r="Y21" s="556"/>
      <c r="Z21" s="593"/>
      <c r="AA21" s="593"/>
      <c r="AB21" s="554"/>
    </row>
    <row r="22" spans="1:37" ht="14.4" thickBot="1" x14ac:dyDescent="0.3">
      <c r="A22" s="555" t="s">
        <v>456</v>
      </c>
      <c r="B22" s="304" t="s">
        <v>457</v>
      </c>
      <c r="C22" s="305"/>
      <c r="D22" s="3"/>
      <c r="E22" s="467"/>
      <c r="F22" s="278"/>
      <c r="G22" s="350"/>
      <c r="H22" s="26"/>
      <c r="I22" s="553"/>
      <c r="J22" s="150"/>
      <c r="K22" s="556"/>
      <c r="L22" s="556"/>
      <c r="M22" s="556"/>
      <c r="N22" s="556"/>
      <c r="O22" s="556"/>
      <c r="P22" s="556"/>
      <c r="Q22" s="556"/>
      <c r="R22" s="556"/>
      <c r="S22" s="556"/>
      <c r="T22" s="556"/>
      <c r="U22" s="556"/>
      <c r="V22" s="556"/>
      <c r="W22" s="556"/>
      <c r="X22" s="556"/>
      <c r="Y22" s="556"/>
      <c r="Z22" s="556"/>
      <c r="AA22" s="556"/>
      <c r="AB22" s="554"/>
    </row>
    <row r="23" spans="1:37" ht="14.4" thickBot="1" x14ac:dyDescent="0.3">
      <c r="B23" s="304"/>
      <c r="C23" s="305"/>
      <c r="D23" s="3"/>
      <c r="E23" s="4"/>
      <c r="F23" s="278"/>
      <c r="G23" s="350"/>
      <c r="H23" s="26"/>
      <c r="I23" s="399"/>
      <c r="J23" s="150"/>
      <c r="K23" s="38"/>
      <c r="L23" s="38"/>
      <c r="M23" s="38"/>
      <c r="N23" s="38"/>
      <c r="O23" s="38"/>
      <c r="P23" s="38"/>
      <c r="Q23" s="38"/>
      <c r="R23" s="38"/>
      <c r="S23" s="38"/>
      <c r="T23" s="38"/>
      <c r="U23" s="38"/>
      <c r="V23" s="38"/>
      <c r="W23" s="38"/>
      <c r="X23" s="38"/>
      <c r="Y23" s="38"/>
      <c r="Z23" s="38"/>
      <c r="AA23" s="38"/>
      <c r="AB23" s="37"/>
    </row>
    <row r="24" spans="1:37" ht="14.4" thickBot="1" x14ac:dyDescent="0.3">
      <c r="A24" s="259">
        <v>9</v>
      </c>
      <c r="B24" s="304" t="s">
        <v>28</v>
      </c>
      <c r="C24" s="305"/>
      <c r="D24" s="3"/>
      <c r="E24" s="468"/>
      <c r="F24" s="454"/>
      <c r="G24" s="348" t="s">
        <v>148</v>
      </c>
      <c r="H24" s="26"/>
      <c r="I24" s="580"/>
      <c r="J24" s="581"/>
      <c r="K24" s="582"/>
      <c r="L24" s="38"/>
      <c r="M24" s="38"/>
      <c r="N24" s="38"/>
      <c r="O24" s="38"/>
      <c r="P24" s="38"/>
      <c r="Q24" s="38"/>
      <c r="R24" s="38"/>
      <c r="S24" s="38"/>
      <c r="T24" s="38"/>
      <c r="U24" s="38"/>
      <c r="V24" s="38"/>
      <c r="W24" s="38"/>
      <c r="X24" s="38"/>
      <c r="Y24" s="38"/>
      <c r="Z24" s="38"/>
      <c r="AA24" s="38"/>
      <c r="AB24" s="37"/>
    </row>
    <row r="25" spans="1:37" ht="14.4" thickBot="1" x14ac:dyDescent="0.3">
      <c r="A25" s="259">
        <v>10</v>
      </c>
      <c r="B25" s="304" t="s">
        <v>258</v>
      </c>
      <c r="C25" s="305"/>
      <c r="D25" s="3"/>
      <c r="E25" s="468"/>
      <c r="F25" s="225"/>
      <c r="G25" s="348" t="s">
        <v>148</v>
      </c>
      <c r="H25" s="311"/>
      <c r="I25" s="580" t="s">
        <v>484</v>
      </c>
      <c r="J25" s="594"/>
      <c r="K25" s="583"/>
    </row>
    <row r="26" spans="1:37" ht="14.4" thickBot="1" x14ac:dyDescent="0.3">
      <c r="A26" s="259">
        <v>11</v>
      </c>
      <c r="B26" s="304" t="s">
        <v>259</v>
      </c>
      <c r="C26" s="305"/>
      <c r="D26" s="3"/>
      <c r="E26" s="468"/>
      <c r="F26" s="225"/>
      <c r="G26" s="348" t="s">
        <v>148</v>
      </c>
      <c r="H26" s="5"/>
      <c r="I26" s="399"/>
      <c r="J26" s="150"/>
    </row>
    <row r="27" spans="1:37" ht="13.8" x14ac:dyDescent="0.25">
      <c r="B27" s="220"/>
      <c r="C27" s="220"/>
      <c r="D27" s="3"/>
      <c r="E27" s="279"/>
      <c r="F27" s="278"/>
      <c r="G27" s="351"/>
      <c r="H27" s="5"/>
      <c r="I27" s="399"/>
      <c r="J27" s="150"/>
    </row>
    <row r="28" spans="1:37" ht="13.8" x14ac:dyDescent="0.25">
      <c r="B28" s="145"/>
      <c r="C28" s="145"/>
      <c r="D28" s="3"/>
      <c r="E28" s="167"/>
      <c r="F28" s="5"/>
      <c r="G28" s="351"/>
      <c r="H28" s="5"/>
      <c r="I28" s="26"/>
      <c r="J28" s="150"/>
    </row>
    <row r="29" spans="1:37" ht="14.4" thickBot="1" x14ac:dyDescent="0.3">
      <c r="A29" s="260"/>
      <c r="B29" s="145" t="s">
        <v>31</v>
      </c>
      <c r="C29" s="145"/>
      <c r="D29" s="3"/>
      <c r="E29" s="221"/>
      <c r="F29" s="34"/>
      <c r="G29" s="350"/>
      <c r="H29" s="5"/>
      <c r="I29" s="218"/>
      <c r="J29" s="145"/>
      <c r="K29" s="218"/>
      <c r="L29" s="218"/>
      <c r="M29" s="218"/>
      <c r="N29" s="218"/>
      <c r="O29" s="218"/>
      <c r="P29" s="218"/>
      <c r="Q29" s="218"/>
      <c r="R29" s="218"/>
      <c r="S29" s="218"/>
      <c r="T29" s="218"/>
      <c r="U29" s="218"/>
      <c r="V29" s="218"/>
      <c r="W29" s="218"/>
      <c r="X29" s="218"/>
      <c r="Y29" s="218"/>
      <c r="Z29" s="218"/>
      <c r="AA29" s="218"/>
      <c r="AB29" s="218"/>
      <c r="AC29" s="6"/>
      <c r="AD29" s="6"/>
      <c r="AE29" s="6"/>
      <c r="AF29" s="6"/>
      <c r="AG29" s="6"/>
      <c r="AH29" s="6"/>
      <c r="AI29" s="6"/>
      <c r="AJ29" s="6"/>
      <c r="AK29" s="6"/>
    </row>
    <row r="30" spans="1:37" ht="14.4" thickBot="1" x14ac:dyDescent="0.3">
      <c r="A30" s="259">
        <v>12</v>
      </c>
      <c r="B30" s="304" t="s">
        <v>34</v>
      </c>
      <c r="C30" s="305"/>
      <c r="D30" s="3"/>
      <c r="E30" s="6"/>
      <c r="F30" s="34"/>
      <c r="G30" s="348" t="s">
        <v>148</v>
      </c>
      <c r="H30" s="26"/>
      <c r="I30" s="149">
        <f>NPV($E$75,K30:AB30)*'Hulpberekeningen 2'!$E$36*'Hulpberekeningen 2'!$E$43</f>
        <v>0</v>
      </c>
      <c r="J30" s="145"/>
      <c r="K30" s="281"/>
      <c r="L30" s="281"/>
      <c r="M30" s="281"/>
      <c r="N30" s="281"/>
      <c r="O30" s="281"/>
      <c r="P30" s="281"/>
      <c r="Q30" s="281"/>
      <c r="R30" s="281"/>
      <c r="S30" s="281"/>
      <c r="T30" s="281"/>
      <c r="U30" s="281"/>
      <c r="V30" s="281"/>
      <c r="W30" s="281"/>
      <c r="X30" s="361"/>
      <c r="Y30" s="361"/>
      <c r="Z30" s="361"/>
      <c r="AA30" s="361"/>
      <c r="AB30" s="361"/>
    </row>
    <row r="31" spans="1:37" ht="13.8" x14ac:dyDescent="0.25">
      <c r="B31" s="4"/>
      <c r="C31" s="4"/>
      <c r="D31" s="3"/>
      <c r="E31" s="6"/>
      <c r="F31" s="34"/>
      <c r="G31" s="348"/>
      <c r="H31" s="26"/>
      <c r="I31" s="218"/>
      <c r="J31" s="145"/>
      <c r="K31" s="366"/>
      <c r="L31" s="366"/>
      <c r="M31" s="366"/>
      <c r="N31" s="366"/>
      <c r="O31" s="366"/>
      <c r="P31" s="366"/>
      <c r="Q31" s="366"/>
      <c r="R31" s="366"/>
      <c r="S31" s="366"/>
      <c r="T31" s="366"/>
      <c r="U31" s="366"/>
      <c r="V31" s="366"/>
      <c r="W31" s="366"/>
      <c r="X31" s="367"/>
      <c r="Y31" s="367"/>
      <c r="Z31" s="367"/>
      <c r="AA31" s="367"/>
      <c r="AB31" s="367"/>
    </row>
    <row r="32" spans="1:37" ht="15.6" x14ac:dyDescent="0.3">
      <c r="A32" s="227"/>
      <c r="B32" s="139"/>
      <c r="C32" s="139"/>
      <c r="D32" s="3"/>
      <c r="E32" s="177"/>
      <c r="F32" s="195"/>
      <c r="G32" s="352"/>
      <c r="H32" s="92"/>
      <c r="I32" s="180"/>
      <c r="J32" s="150"/>
      <c r="K32" s="178"/>
      <c r="L32" s="177"/>
      <c r="M32" s="177"/>
      <c r="N32" s="177"/>
      <c r="O32" s="177"/>
      <c r="P32" s="177"/>
      <c r="Q32" s="177"/>
      <c r="R32" s="177"/>
      <c r="S32" s="177"/>
      <c r="T32" s="177"/>
      <c r="U32" s="177"/>
      <c r="V32" s="177"/>
      <c r="W32" s="177"/>
      <c r="X32" s="37"/>
    </row>
    <row r="33" spans="1:28" ht="14.4" thickBot="1" x14ac:dyDescent="0.3">
      <c r="A33" s="227"/>
      <c r="B33" s="150" t="s">
        <v>235</v>
      </c>
      <c r="C33" s="150"/>
      <c r="D33" s="3"/>
      <c r="E33" s="2"/>
      <c r="F33" s="6"/>
      <c r="G33" s="353"/>
      <c r="H33" s="195"/>
      <c r="I33" s="180"/>
      <c r="J33" s="150"/>
      <c r="K33" s="175"/>
      <c r="L33" s="175"/>
      <c r="M33" s="176"/>
      <c r="N33" s="176"/>
      <c r="O33" s="176"/>
      <c r="P33" s="176"/>
      <c r="Q33" s="176"/>
      <c r="R33" s="176"/>
      <c r="S33" s="176"/>
      <c r="T33" s="176"/>
      <c r="U33" s="176"/>
      <c r="V33" s="176"/>
      <c r="W33" s="176"/>
      <c r="X33" s="37"/>
    </row>
    <row r="34" spans="1:28" ht="14.4" thickBot="1" x14ac:dyDescent="0.3">
      <c r="A34" s="261">
        <v>13</v>
      </c>
      <c r="B34" s="304" t="s">
        <v>267</v>
      </c>
      <c r="C34" s="305"/>
      <c r="D34" s="3"/>
      <c r="E34" s="282"/>
      <c r="F34" s="196"/>
      <c r="G34" s="348" t="s">
        <v>148</v>
      </c>
      <c r="H34" s="6"/>
      <c r="I34" s="398"/>
      <c r="J34" s="174"/>
      <c r="K34" s="179"/>
      <c r="L34" s="179"/>
      <c r="M34" s="179"/>
      <c r="N34" s="179"/>
      <c r="O34" s="179"/>
      <c r="P34" s="179"/>
      <c r="Q34" s="179"/>
      <c r="R34" s="179"/>
      <c r="S34" s="179"/>
      <c r="T34" s="179"/>
      <c r="U34" s="179"/>
      <c r="V34" s="179"/>
      <c r="W34" s="179"/>
      <c r="X34" s="37"/>
    </row>
    <row r="35" spans="1:28" ht="14.4" thickBot="1" x14ac:dyDescent="0.3">
      <c r="A35" s="261">
        <v>14</v>
      </c>
      <c r="B35" s="304" t="s">
        <v>261</v>
      </c>
      <c r="C35" s="305"/>
      <c r="D35" s="3"/>
      <c r="E35" s="142"/>
      <c r="F35" s="196"/>
      <c r="G35" s="348" t="s">
        <v>148</v>
      </c>
      <c r="H35" s="131"/>
      <c r="I35" s="217"/>
      <c r="J35" s="150"/>
      <c r="K35" s="177"/>
      <c r="L35" s="177"/>
      <c r="M35" s="177"/>
      <c r="N35" s="177"/>
      <c r="O35" s="177"/>
      <c r="P35" s="177"/>
      <c r="Q35" s="177"/>
      <c r="R35" s="177"/>
      <c r="S35" s="177"/>
      <c r="T35" s="177"/>
      <c r="U35" s="177"/>
      <c r="V35" s="177"/>
      <c r="W35" s="177"/>
      <c r="X35" s="37"/>
    </row>
    <row r="36" spans="1:28" ht="13.8" x14ac:dyDescent="0.25">
      <c r="A36" s="261"/>
      <c r="B36" s="220"/>
      <c r="C36" s="220"/>
      <c r="D36" s="3"/>
      <c r="E36" s="203"/>
      <c r="F36" s="278"/>
      <c r="G36" s="354"/>
      <c r="H36" s="138"/>
      <c r="I36" s="217"/>
      <c r="J36" s="150"/>
      <c r="K36" s="177"/>
      <c r="L36" s="177"/>
      <c r="M36" s="177"/>
      <c r="N36" s="177"/>
      <c r="O36" s="177"/>
      <c r="P36" s="177"/>
      <c r="Q36" s="177"/>
      <c r="R36" s="177"/>
      <c r="S36" s="177"/>
      <c r="T36" s="177"/>
      <c r="U36" s="177"/>
      <c r="V36" s="177"/>
      <c r="W36" s="177"/>
      <c r="X36" s="37"/>
    </row>
    <row r="37" spans="1:28" ht="13.8" x14ac:dyDescent="0.25">
      <c r="A37" s="261"/>
      <c r="B37" s="2"/>
      <c r="C37" s="2"/>
      <c r="D37" s="3"/>
      <c r="E37" s="2"/>
      <c r="F37" s="2"/>
      <c r="G37" s="355"/>
      <c r="H37" s="138"/>
      <c r="I37" s="180"/>
      <c r="J37" s="150"/>
      <c r="K37" s="179"/>
      <c r="L37" s="177"/>
      <c r="M37" s="175"/>
      <c r="N37" s="177"/>
      <c r="O37" s="175"/>
      <c r="P37" s="177"/>
      <c r="Q37" s="177"/>
      <c r="R37" s="177"/>
      <c r="S37" s="177"/>
      <c r="T37" s="177"/>
      <c r="U37" s="177"/>
      <c r="V37" s="177"/>
      <c r="W37" s="177"/>
      <c r="X37" s="37"/>
    </row>
    <row r="38" spans="1:28" ht="14.4" thickBot="1" x14ac:dyDescent="0.3">
      <c r="A38" s="261"/>
      <c r="B38" s="150" t="s">
        <v>195</v>
      </c>
      <c r="C38" s="150"/>
      <c r="D38" s="3"/>
      <c r="E38" s="2"/>
      <c r="F38" s="2"/>
      <c r="G38" s="355"/>
      <c r="H38" s="2"/>
      <c r="I38" s="180"/>
      <c r="J38" s="150"/>
      <c r="K38" s="180"/>
      <c r="L38" s="37"/>
      <c r="M38" s="180"/>
      <c r="N38" s="37"/>
      <c r="O38" s="180"/>
      <c r="P38" s="37"/>
      <c r="Q38" s="37"/>
      <c r="R38" s="37"/>
      <c r="S38" s="37"/>
      <c r="T38" s="37"/>
      <c r="U38" s="37"/>
      <c r="V38" s="37"/>
      <c r="W38" s="37"/>
      <c r="X38" s="37"/>
    </row>
    <row r="39" spans="1:28" ht="14.4" thickBot="1" x14ac:dyDescent="0.3">
      <c r="A39" s="261">
        <v>15</v>
      </c>
      <c r="B39" s="304" t="s">
        <v>504</v>
      </c>
      <c r="C39" s="305"/>
      <c r="D39" s="3"/>
      <c r="E39" s="283"/>
      <c r="F39" s="196"/>
      <c r="G39" s="348" t="s">
        <v>148</v>
      </c>
      <c r="H39" s="2"/>
      <c r="I39" s="396"/>
      <c r="J39" s="150"/>
    </row>
    <row r="40" spans="1:28" ht="14.4" thickBot="1" x14ac:dyDescent="0.3">
      <c r="A40" s="261">
        <v>16</v>
      </c>
      <c r="B40" s="304" t="s">
        <v>505</v>
      </c>
      <c r="C40" s="305"/>
      <c r="D40" s="3"/>
      <c r="E40" s="283"/>
      <c r="F40" s="196"/>
      <c r="G40" s="348" t="s">
        <v>148</v>
      </c>
      <c r="H40" s="36"/>
      <c r="I40" s="396"/>
      <c r="J40" s="150"/>
    </row>
    <row r="41" spans="1:28" ht="14.4" thickBot="1" x14ac:dyDescent="0.3">
      <c r="A41" s="261">
        <v>17</v>
      </c>
      <c r="B41" s="304" t="s">
        <v>504</v>
      </c>
      <c r="C41" s="305"/>
      <c r="D41" s="3"/>
      <c r="E41" s="283"/>
      <c r="F41" s="196"/>
      <c r="G41" s="348" t="s">
        <v>148</v>
      </c>
      <c r="H41" s="140"/>
      <c r="I41" s="396"/>
      <c r="J41" s="150"/>
    </row>
    <row r="42" spans="1:28" ht="14.4" thickBot="1" x14ac:dyDescent="0.3">
      <c r="A42" s="261">
        <v>18</v>
      </c>
      <c r="B42" s="304" t="s">
        <v>278</v>
      </c>
      <c r="C42" s="305"/>
      <c r="D42" s="3"/>
      <c r="E42" s="284"/>
      <c r="F42" s="196"/>
      <c r="G42" s="348" t="s">
        <v>148</v>
      </c>
      <c r="H42" s="140"/>
      <c r="I42" s="396"/>
      <c r="J42" s="150"/>
    </row>
    <row r="43" spans="1:28" ht="14.4" thickBot="1" x14ac:dyDescent="0.3">
      <c r="A43" s="261">
        <v>19</v>
      </c>
      <c r="B43" s="304" t="s">
        <v>292</v>
      </c>
      <c r="C43" s="305"/>
      <c r="D43" s="3"/>
      <c r="E43" s="284"/>
      <c r="F43" s="209"/>
      <c r="G43" s="348" t="s">
        <v>148</v>
      </c>
      <c r="H43" s="140"/>
      <c r="I43" s="26"/>
      <c r="J43" s="150"/>
    </row>
    <row r="44" spans="1:28" ht="14.4" thickBot="1" x14ac:dyDescent="0.3">
      <c r="A44" s="261">
        <v>20</v>
      </c>
      <c r="B44" s="304" t="s">
        <v>169</v>
      </c>
      <c r="C44" s="305"/>
      <c r="D44" s="3"/>
      <c r="E44" s="291">
        <f>SUM(E39:E43)</f>
        <v>0</v>
      </c>
      <c r="F44" s="26"/>
      <c r="G44" s="350"/>
      <c r="H44" s="26"/>
      <c r="I44" s="26"/>
      <c r="J44" s="150"/>
    </row>
    <row r="45" spans="1:28" ht="13.8" x14ac:dyDescent="0.25">
      <c r="A45" s="261"/>
      <c r="B45" s="34"/>
      <c r="C45" s="34"/>
      <c r="D45" s="3"/>
      <c r="E45" s="152"/>
      <c r="F45" s="26"/>
      <c r="G45" s="350"/>
      <c r="H45" s="26"/>
      <c r="I45" s="26"/>
      <c r="J45" s="150"/>
      <c r="K45" s="38"/>
      <c r="L45" s="38"/>
      <c r="M45" s="38"/>
      <c r="N45" s="38"/>
      <c r="O45" s="38"/>
    </row>
    <row r="46" spans="1:28" ht="13.8" x14ac:dyDescent="0.25">
      <c r="A46" s="261"/>
      <c r="B46" s="26"/>
      <c r="C46" s="26"/>
      <c r="D46" s="3"/>
      <c r="E46" s="26"/>
      <c r="F46" s="26"/>
      <c r="G46" s="350"/>
      <c r="H46" s="26"/>
      <c r="I46" s="26"/>
      <c r="J46" s="150" t="s">
        <v>117</v>
      </c>
      <c r="K46" s="455"/>
      <c r="L46" s="38"/>
      <c r="M46" s="38"/>
      <c r="N46" s="38"/>
      <c r="O46" s="38"/>
    </row>
    <row r="47" spans="1:28" ht="14.4" thickBot="1" x14ac:dyDescent="0.3">
      <c r="A47" s="261"/>
      <c r="B47" s="85" t="s">
        <v>196</v>
      </c>
      <c r="C47" s="85"/>
      <c r="D47" s="3"/>
      <c r="E47" s="47"/>
      <c r="F47" s="47"/>
      <c r="G47" s="356"/>
      <c r="H47" s="26"/>
      <c r="I47" s="397" t="s">
        <v>238</v>
      </c>
      <c r="J47" s="150"/>
      <c r="K47" s="445"/>
      <c r="L47" s="445"/>
      <c r="M47" s="456"/>
      <c r="N47" s="456"/>
      <c r="O47" s="456"/>
      <c r="P47" s="154"/>
      <c r="Q47" s="154"/>
      <c r="R47" s="154"/>
      <c r="S47" s="154"/>
      <c r="T47" s="154"/>
      <c r="U47" s="154"/>
      <c r="V47" s="154"/>
      <c r="W47" s="154"/>
      <c r="X47" s="154"/>
      <c r="Y47" s="154"/>
      <c r="Z47" s="154"/>
      <c r="AA47" s="154"/>
      <c r="AB47" s="154"/>
    </row>
    <row r="48" spans="1:28" ht="14.4" thickBot="1" x14ac:dyDescent="0.3">
      <c r="A48" s="261">
        <v>21</v>
      </c>
      <c r="B48" s="304" t="s">
        <v>317</v>
      </c>
      <c r="C48" s="305"/>
      <c r="D48" s="3"/>
      <c r="E48" s="144"/>
      <c r="F48" s="225"/>
      <c r="G48" s="348" t="s">
        <v>148</v>
      </c>
      <c r="H48" s="47"/>
      <c r="I48" s="376"/>
      <c r="J48" s="150"/>
      <c r="K48" s="46"/>
      <c r="L48" s="2"/>
      <c r="M48" s="154"/>
      <c r="N48" s="154"/>
      <c r="O48" s="154"/>
      <c r="P48" s="154"/>
      <c r="Q48" s="154"/>
      <c r="R48" s="154"/>
      <c r="S48" s="154"/>
      <c r="T48" s="154"/>
      <c r="U48" s="154"/>
      <c r="V48" s="154"/>
      <c r="W48" s="154"/>
    </row>
    <row r="49" spans="1:30" ht="14.4" thickBot="1" x14ac:dyDescent="0.3">
      <c r="A49" s="261">
        <v>22</v>
      </c>
      <c r="B49" s="304" t="s">
        <v>378</v>
      </c>
      <c r="C49" s="305"/>
      <c r="D49" s="3"/>
      <c r="E49" s="144"/>
      <c r="F49" s="270"/>
      <c r="G49" s="348" t="s">
        <v>148</v>
      </c>
      <c r="H49" s="26"/>
      <c r="I49" s="376"/>
      <c r="J49" s="150"/>
      <c r="K49" s="2">
        <f>K15</f>
        <v>1900</v>
      </c>
      <c r="L49" s="2">
        <f>+K49+1</f>
        <v>1901</v>
      </c>
      <c r="M49" s="2">
        <f t="shared" ref="M49:Z49" si="7">+L49+1</f>
        <v>1902</v>
      </c>
      <c r="N49" s="2">
        <f t="shared" si="7"/>
        <v>1903</v>
      </c>
      <c r="O49" s="2">
        <f t="shared" si="7"/>
        <v>1904</v>
      </c>
      <c r="P49" s="2">
        <f t="shared" si="7"/>
        <v>1905</v>
      </c>
      <c r="Q49" s="2">
        <f t="shared" si="7"/>
        <v>1906</v>
      </c>
      <c r="R49" s="2">
        <f t="shared" si="7"/>
        <v>1907</v>
      </c>
      <c r="S49" s="2">
        <f t="shared" si="7"/>
        <v>1908</v>
      </c>
      <c r="T49" s="2">
        <f t="shared" si="7"/>
        <v>1909</v>
      </c>
      <c r="U49" s="2">
        <f t="shared" si="7"/>
        <v>1910</v>
      </c>
      <c r="V49" s="2">
        <f t="shared" si="7"/>
        <v>1911</v>
      </c>
      <c r="W49" s="2">
        <f t="shared" si="7"/>
        <v>1912</v>
      </c>
      <c r="X49" s="2">
        <f t="shared" si="7"/>
        <v>1913</v>
      </c>
      <c r="Y49" s="2">
        <f t="shared" si="7"/>
        <v>1914</v>
      </c>
      <c r="Z49" s="2">
        <f t="shared" si="7"/>
        <v>1915</v>
      </c>
      <c r="AA49" s="2">
        <f>+Z49+1</f>
        <v>1916</v>
      </c>
      <c r="AB49" s="2">
        <f>+AA49+1</f>
        <v>1917</v>
      </c>
    </row>
    <row r="50" spans="1:30" ht="14.4" thickBot="1" x14ac:dyDescent="0.3">
      <c r="A50" s="261">
        <v>23</v>
      </c>
      <c r="B50" s="304" t="s">
        <v>279</v>
      </c>
      <c r="C50" s="305"/>
      <c r="D50" s="3"/>
      <c r="E50" s="283"/>
      <c r="F50" s="225"/>
      <c r="G50" s="348" t="s">
        <v>148</v>
      </c>
      <c r="H50" s="26"/>
      <c r="I50" s="376"/>
      <c r="J50" s="150"/>
      <c r="K50" t="s">
        <v>175</v>
      </c>
    </row>
    <row r="51" spans="1:30" ht="14.4" thickBot="1" x14ac:dyDescent="0.3">
      <c r="A51" s="261">
        <v>24</v>
      </c>
      <c r="B51" s="304" t="s">
        <v>209</v>
      </c>
      <c r="C51" s="305"/>
      <c r="D51" s="3"/>
      <c r="E51" s="286">
        <f>E50*E49</f>
        <v>0</v>
      </c>
      <c r="F51" s="225"/>
      <c r="G51" s="348" t="s">
        <v>148</v>
      </c>
      <c r="I51" s="149">
        <f>NPV($E$75,K51:AB51)*'Hulpberekeningen 2'!$E$36</f>
        <v>0</v>
      </c>
      <c r="J51" s="150"/>
      <c r="K51" s="280">
        <f>E51</f>
        <v>0</v>
      </c>
      <c r="L51" s="280"/>
      <c r="M51" s="280"/>
      <c r="N51" s="280"/>
      <c r="O51" s="280"/>
      <c r="P51" s="280"/>
      <c r="Q51" s="280"/>
      <c r="R51" s="280"/>
      <c r="S51" s="280"/>
      <c r="T51" s="280"/>
      <c r="U51" s="280"/>
      <c r="V51" s="280"/>
      <c r="W51" s="280"/>
      <c r="X51" s="337"/>
      <c r="Y51" s="337"/>
      <c r="Z51" s="337"/>
      <c r="AA51" s="337"/>
      <c r="AB51" s="337"/>
    </row>
    <row r="52" spans="1:30" ht="14.4" thickBot="1" x14ac:dyDescent="0.3">
      <c r="A52" s="261">
        <v>25</v>
      </c>
      <c r="B52" s="304" t="s">
        <v>176</v>
      </c>
      <c r="C52" s="305"/>
      <c r="D52" s="3"/>
      <c r="E52" s="287">
        <f>NPV($E$75,$K$51:$W$51)*E48*'Hulpberekeningen 2'!E36</f>
        <v>0</v>
      </c>
      <c r="F52" s="135"/>
      <c r="G52" s="348" t="s">
        <v>148</v>
      </c>
      <c r="H52" s="26"/>
      <c r="I52" s="26"/>
      <c r="J52" s="150"/>
      <c r="K52" s="26"/>
      <c r="L52" s="26"/>
      <c r="M52" s="26"/>
      <c r="N52" s="26"/>
      <c r="O52" s="26"/>
      <c r="P52" s="26"/>
      <c r="Q52" s="26"/>
      <c r="R52" s="26"/>
      <c r="S52" s="26"/>
      <c r="T52" s="26"/>
      <c r="U52" s="26"/>
      <c r="V52" s="26"/>
      <c r="W52" s="26"/>
      <c r="X52" s="26"/>
      <c r="Y52" s="26"/>
      <c r="Z52" s="26"/>
      <c r="AA52" s="26"/>
      <c r="AB52" s="26"/>
      <c r="AC52" s="26"/>
      <c r="AD52" s="26"/>
    </row>
    <row r="53" spans="1:30" ht="14.4" thickBot="1" x14ac:dyDescent="0.3">
      <c r="A53" s="261"/>
      <c r="B53" s="304"/>
      <c r="C53" s="305"/>
      <c r="D53" s="3"/>
      <c r="E53" s="272"/>
      <c r="F53" s="26"/>
      <c r="G53" s="350"/>
      <c r="H53" s="135"/>
      <c r="I53" s="26"/>
      <c r="J53" s="150"/>
      <c r="K53" s="21" t="s">
        <v>174</v>
      </c>
    </row>
    <row r="54" spans="1:30" ht="14.4" thickBot="1" x14ac:dyDescent="0.3">
      <c r="A54" s="261">
        <v>26</v>
      </c>
      <c r="B54" s="304" t="s">
        <v>287</v>
      </c>
      <c r="C54" s="305"/>
      <c r="D54" s="3"/>
      <c r="E54" s="283"/>
      <c r="F54" s="225"/>
      <c r="G54" s="348" t="s">
        <v>148</v>
      </c>
      <c r="H54" s="26"/>
      <c r="I54" s="149">
        <f>NPV($E$75,K54:AB54)*'Hulpberekeningen 2'!$E$36</f>
        <v>0</v>
      </c>
      <c r="J54" s="150"/>
      <c r="K54" s="280">
        <f>E54</f>
        <v>0</v>
      </c>
      <c r="L54" s="280"/>
      <c r="M54" s="280"/>
      <c r="N54" s="280"/>
      <c r="O54" s="280"/>
      <c r="P54" s="280"/>
      <c r="Q54" s="280"/>
      <c r="R54" s="280"/>
      <c r="S54" s="280"/>
      <c r="T54" s="280"/>
      <c r="U54" s="280"/>
      <c r="V54" s="280"/>
      <c r="W54" s="280"/>
      <c r="X54" s="337"/>
      <c r="Y54" s="337"/>
      <c r="Z54" s="337"/>
      <c r="AA54" s="337"/>
      <c r="AB54" s="337"/>
    </row>
    <row r="55" spans="1:30" ht="14.4" thickBot="1" x14ac:dyDescent="0.3">
      <c r="A55" s="261">
        <v>27</v>
      </c>
      <c r="B55" s="304" t="s">
        <v>288</v>
      </c>
      <c r="C55" s="305"/>
      <c r="D55" s="3"/>
      <c r="E55" s="471">
        <f>IF(+'VAMIL voordeel'!C14&lt;0,0,+'VAMIL voordeel'!C14)</f>
        <v>0</v>
      </c>
      <c r="G55" s="348" t="s">
        <v>148</v>
      </c>
      <c r="I55" s="47"/>
      <c r="J55" s="150"/>
      <c r="K55" s="18"/>
      <c r="L55" s="47"/>
      <c r="M55" s="47"/>
      <c r="N55" s="47"/>
      <c r="O55" s="47"/>
      <c r="P55" s="47"/>
      <c r="Q55" s="47"/>
      <c r="R55" s="47"/>
      <c r="S55" s="47"/>
      <c r="T55" s="47"/>
    </row>
    <row r="56" spans="1:30" ht="14.4" thickBot="1" x14ac:dyDescent="0.3">
      <c r="A56" s="261"/>
      <c r="B56" s="304"/>
      <c r="C56" s="305"/>
      <c r="D56" s="3"/>
      <c r="E56" s="271"/>
      <c r="G56" s="356"/>
      <c r="H56" s="136"/>
      <c r="I56" s="47"/>
      <c r="J56" s="150"/>
      <c r="K56" s="18" t="s">
        <v>177</v>
      </c>
      <c r="L56" s="47"/>
      <c r="M56" s="47"/>
      <c r="N56" s="47"/>
      <c r="O56" s="47"/>
      <c r="P56" s="47"/>
      <c r="Q56" s="47"/>
      <c r="R56" s="47"/>
      <c r="S56" s="47"/>
      <c r="T56" s="47"/>
    </row>
    <row r="57" spans="1:30" ht="14.4" thickBot="1" x14ac:dyDescent="0.3">
      <c r="A57" s="261">
        <v>28</v>
      </c>
      <c r="B57" s="304" t="s">
        <v>280</v>
      </c>
      <c r="C57" s="305"/>
      <c r="D57" s="3"/>
      <c r="E57" s="283"/>
      <c r="F57" s="225"/>
      <c r="G57" s="348" t="s">
        <v>148</v>
      </c>
      <c r="H57" s="47"/>
      <c r="I57" s="149">
        <f>NPV($E$75,K57:AB57)*'Hulpberekeningen 2'!$E$36</f>
        <v>0</v>
      </c>
      <c r="J57" s="150"/>
      <c r="K57" s="280">
        <f>E59</f>
        <v>0</v>
      </c>
      <c r="L57" s="280"/>
      <c r="M57" s="280"/>
      <c r="N57" s="280"/>
      <c r="O57" s="280"/>
      <c r="P57" s="280"/>
      <c r="Q57" s="280"/>
      <c r="R57" s="280"/>
      <c r="S57" s="280"/>
      <c r="T57" s="280"/>
      <c r="U57" s="280"/>
      <c r="V57" s="280"/>
      <c r="W57" s="280"/>
      <c r="X57" s="337"/>
      <c r="Y57" s="337"/>
      <c r="Z57" s="337"/>
      <c r="AA57" s="337"/>
      <c r="AB57" s="337"/>
    </row>
    <row r="58" spans="1:30" ht="14.4" thickBot="1" x14ac:dyDescent="0.3">
      <c r="A58" s="261">
        <v>29</v>
      </c>
      <c r="B58" s="304" t="s">
        <v>179</v>
      </c>
      <c r="C58" s="305"/>
      <c r="D58" s="3"/>
      <c r="E58" s="285"/>
      <c r="F58" s="225"/>
      <c r="G58" s="348" t="s">
        <v>148</v>
      </c>
      <c r="I58" s="47"/>
      <c r="J58" s="150"/>
      <c r="K58" s="18"/>
      <c r="L58" s="47"/>
      <c r="M58" s="47"/>
      <c r="N58" s="47"/>
      <c r="O58" s="47"/>
      <c r="P58" s="47"/>
      <c r="Q58" s="47"/>
      <c r="R58" s="47"/>
      <c r="S58" s="47"/>
      <c r="T58" s="47"/>
    </row>
    <row r="59" spans="1:30" ht="14.4" thickBot="1" x14ac:dyDescent="0.3">
      <c r="A59" s="261">
        <v>30</v>
      </c>
      <c r="B59" s="304" t="s">
        <v>194</v>
      </c>
      <c r="C59" s="305"/>
      <c r="D59" s="3"/>
      <c r="E59" s="288">
        <f>E57*E58</f>
        <v>0</v>
      </c>
      <c r="F59" s="47"/>
      <c r="G59" s="348" t="s">
        <v>148</v>
      </c>
      <c r="H59" s="47"/>
      <c r="I59" s="47"/>
      <c r="J59" s="150"/>
      <c r="K59" s="18"/>
      <c r="L59" s="47"/>
      <c r="M59" s="47"/>
      <c r="N59" s="47"/>
      <c r="O59" s="47"/>
      <c r="P59" s="47"/>
      <c r="Q59" s="47"/>
      <c r="R59" s="47"/>
      <c r="S59" s="47"/>
      <c r="T59" s="47"/>
    </row>
    <row r="60" spans="1:30" ht="14.4" thickBot="1" x14ac:dyDescent="0.3">
      <c r="A60" s="261">
        <v>31</v>
      </c>
      <c r="B60" s="304" t="s">
        <v>178</v>
      </c>
      <c r="C60" s="305"/>
      <c r="D60" s="3"/>
      <c r="E60" s="289">
        <f>NPV($E$75,K57:W57)*E48*'Hulpberekeningen 2'!E36</f>
        <v>0</v>
      </c>
      <c r="F60" s="136"/>
      <c r="G60" s="348" t="s">
        <v>148</v>
      </c>
      <c r="H60" s="47"/>
      <c r="I60" s="47"/>
      <c r="J60" s="150"/>
      <c r="K60" s="47"/>
      <c r="L60" s="47"/>
      <c r="M60" s="47"/>
      <c r="N60" s="47"/>
      <c r="O60" s="47"/>
      <c r="P60" s="47"/>
    </row>
    <row r="61" spans="1:30" ht="14.4" thickBot="1" x14ac:dyDescent="0.3">
      <c r="A61" s="261">
        <v>32</v>
      </c>
      <c r="B61" s="304" t="s">
        <v>379</v>
      </c>
      <c r="C61" s="305"/>
      <c r="D61" s="3"/>
      <c r="E61" s="290">
        <f>+E60+E55+E52</f>
        <v>0</v>
      </c>
      <c r="F61" s="47"/>
      <c r="G61" s="356"/>
      <c r="H61" s="136"/>
      <c r="I61" s="47"/>
      <c r="J61" s="150"/>
      <c r="K61" s="47"/>
      <c r="L61" s="47"/>
      <c r="M61" s="47"/>
      <c r="N61" s="47"/>
      <c r="O61" s="47"/>
      <c r="P61" s="47"/>
    </row>
    <row r="62" spans="1:30" ht="13.8" x14ac:dyDescent="0.25">
      <c r="A62" s="261"/>
      <c r="B62" s="85"/>
      <c r="C62" s="85"/>
      <c r="D62" s="3"/>
      <c r="E62" s="152"/>
      <c r="F62" s="47"/>
      <c r="G62" s="356"/>
      <c r="H62" s="47"/>
      <c r="I62" s="47"/>
      <c r="J62" s="150"/>
      <c r="K62" s="47"/>
      <c r="L62" s="47"/>
      <c r="M62" s="47"/>
      <c r="N62" s="47"/>
      <c r="O62" s="47"/>
      <c r="P62" s="47"/>
    </row>
    <row r="63" spans="1:30" ht="13.8" x14ac:dyDescent="0.25">
      <c r="A63" s="261"/>
      <c r="B63" s="85"/>
      <c r="C63" s="85"/>
      <c r="D63" s="3"/>
      <c r="E63" s="152"/>
      <c r="F63" s="47"/>
      <c r="G63" s="356"/>
      <c r="H63" s="47"/>
      <c r="I63" s="47"/>
      <c r="J63" s="150"/>
      <c r="K63" s="47"/>
      <c r="L63" s="47"/>
      <c r="M63" s="47"/>
      <c r="N63" s="47"/>
      <c r="O63" s="47"/>
      <c r="P63" s="47"/>
    </row>
    <row r="64" spans="1:30" ht="14.4" thickBot="1" x14ac:dyDescent="0.3">
      <c r="A64" s="261"/>
      <c r="B64" s="85" t="s">
        <v>236</v>
      </c>
      <c r="C64" s="85"/>
      <c r="D64" s="3"/>
      <c r="E64" s="47"/>
      <c r="F64" s="47"/>
      <c r="G64" s="356"/>
      <c r="H64" s="47"/>
      <c r="I64" s="47"/>
      <c r="J64" s="150"/>
      <c r="K64" s="47"/>
      <c r="L64" s="47"/>
      <c r="M64" s="47"/>
      <c r="N64" s="47"/>
      <c r="O64" s="47"/>
      <c r="P64" s="47"/>
    </row>
    <row r="65" spans="1:28" ht="14.4" thickBot="1" x14ac:dyDescent="0.3">
      <c r="A65" s="273">
        <v>33</v>
      </c>
      <c r="B65" s="304" t="s">
        <v>263</v>
      </c>
      <c r="C65" s="305"/>
      <c r="D65" s="3"/>
      <c r="E65" s="295">
        <f>+E34-E44</f>
        <v>0</v>
      </c>
      <c r="F65" s="26"/>
      <c r="G65" s="348" t="s">
        <v>148</v>
      </c>
      <c r="H65" s="47"/>
      <c r="I65" s="26"/>
      <c r="J65" s="150"/>
      <c r="K65" s="47"/>
      <c r="L65" s="47"/>
      <c r="M65" s="47"/>
      <c r="N65" s="47"/>
      <c r="O65" s="47"/>
      <c r="P65" s="47"/>
    </row>
    <row r="66" spans="1:28" ht="14.4" thickBot="1" x14ac:dyDescent="0.3">
      <c r="A66" s="274">
        <v>34</v>
      </c>
      <c r="B66" s="304" t="s">
        <v>281</v>
      </c>
      <c r="C66" s="305"/>
      <c r="D66" s="3"/>
      <c r="E66" s="296">
        <f>+E34-E44-E61</f>
        <v>0</v>
      </c>
      <c r="F66" s="47"/>
      <c r="G66" s="348" t="s">
        <v>148</v>
      </c>
      <c r="H66" s="26"/>
      <c r="I66" s="26"/>
      <c r="J66" s="150"/>
    </row>
    <row r="67" spans="1:28" ht="14.4" thickBot="1" x14ac:dyDescent="0.3">
      <c r="A67" s="274">
        <v>35</v>
      </c>
      <c r="B67" s="304" t="s">
        <v>161</v>
      </c>
      <c r="C67" s="305"/>
      <c r="D67" s="3"/>
      <c r="E67" s="344"/>
      <c r="F67" s="225"/>
      <c r="G67" s="348" t="s">
        <v>148</v>
      </c>
      <c r="H67" s="47"/>
      <c r="I67" s="26"/>
      <c r="J67" s="150"/>
      <c r="Q67" s="38"/>
    </row>
    <row r="68" spans="1:28" ht="14.4" thickBot="1" x14ac:dyDescent="0.3">
      <c r="A68" s="274">
        <v>36</v>
      </c>
      <c r="B68" s="304" t="s">
        <v>162</v>
      </c>
      <c r="C68" s="305"/>
      <c r="D68" s="3"/>
      <c r="E68" s="343">
        <f>(1-E67)</f>
        <v>1</v>
      </c>
      <c r="F68" s="225"/>
      <c r="G68" s="348" t="s">
        <v>148</v>
      </c>
      <c r="H68" s="26"/>
      <c r="I68" s="26"/>
      <c r="J68" s="150"/>
      <c r="K68" s="169"/>
    </row>
    <row r="69" spans="1:28" ht="14.4" thickBot="1" x14ac:dyDescent="0.3">
      <c r="A69" s="274">
        <v>37</v>
      </c>
      <c r="B69" s="304" t="s">
        <v>161</v>
      </c>
      <c r="C69" s="305"/>
      <c r="D69" s="3"/>
      <c r="E69" s="294">
        <f>E66*E67</f>
        <v>0</v>
      </c>
      <c r="F69" s="26"/>
      <c r="G69" s="350"/>
      <c r="H69" s="26"/>
      <c r="I69" s="26"/>
      <c r="J69" s="150"/>
    </row>
    <row r="70" spans="1:28" ht="14.4" thickBot="1" x14ac:dyDescent="0.3">
      <c r="A70" s="274">
        <v>38</v>
      </c>
      <c r="B70" s="304" t="s">
        <v>156</v>
      </c>
      <c r="C70" s="305"/>
      <c r="D70" s="3"/>
      <c r="E70" s="292">
        <f>E66*E68</f>
        <v>0</v>
      </c>
      <c r="F70" s="137"/>
      <c r="G70" s="357"/>
      <c r="H70" s="26"/>
      <c r="I70" s="135"/>
      <c r="J70" s="150"/>
      <c r="K70" s="169"/>
    </row>
    <row r="71" spans="1:28" ht="14.4" thickBot="1" x14ac:dyDescent="0.3">
      <c r="A71" s="274">
        <v>39</v>
      </c>
      <c r="B71" s="304" t="s">
        <v>282</v>
      </c>
      <c r="C71" s="305"/>
      <c r="D71" s="3"/>
      <c r="E71" s="282">
        <v>0</v>
      </c>
      <c r="F71" s="225"/>
      <c r="G71" s="348" t="s">
        <v>148</v>
      </c>
      <c r="H71" s="137"/>
      <c r="I71" s="26"/>
      <c r="J71" s="150"/>
    </row>
    <row r="72" spans="1:28" ht="14.4" thickBot="1" x14ac:dyDescent="0.3">
      <c r="A72" s="274">
        <v>40</v>
      </c>
      <c r="B72" s="304" t="s">
        <v>109</v>
      </c>
      <c r="C72" s="305"/>
      <c r="D72" s="3"/>
      <c r="E72" s="292">
        <f>+'Rendement geinv. vermogen'!B29</f>
        <v>0</v>
      </c>
      <c r="F72" s="26"/>
      <c r="G72" s="348" t="s">
        <v>148</v>
      </c>
      <c r="H72" s="26"/>
      <c r="I72" s="26"/>
      <c r="J72" s="150"/>
    </row>
    <row r="73" spans="1:28" ht="14.4" thickBot="1" x14ac:dyDescent="0.3">
      <c r="A73" s="274">
        <v>41</v>
      </c>
      <c r="B73" s="304" t="s">
        <v>206</v>
      </c>
      <c r="C73" s="305"/>
      <c r="D73" s="3"/>
      <c r="E73" s="293">
        <v>0.06</v>
      </c>
      <c r="F73" s="26"/>
      <c r="G73" s="348" t="s">
        <v>148</v>
      </c>
      <c r="H73" s="26"/>
      <c r="I73" s="26"/>
      <c r="J73" s="150"/>
    </row>
    <row r="74" spans="1:28" ht="14.4" thickBot="1" x14ac:dyDescent="0.3">
      <c r="A74" s="274">
        <v>42</v>
      </c>
      <c r="B74" s="304" t="s">
        <v>155</v>
      </c>
      <c r="C74" s="305"/>
      <c r="D74" s="3"/>
      <c r="E74" s="362">
        <v>15</v>
      </c>
      <c r="F74" s="26"/>
      <c r="G74" s="348" t="s">
        <v>148</v>
      </c>
      <c r="H74" s="26"/>
      <c r="I74" s="26"/>
      <c r="J74" s="150"/>
    </row>
    <row r="75" spans="1:28" ht="14.4" thickBot="1" x14ac:dyDescent="0.3">
      <c r="A75" s="274">
        <v>43</v>
      </c>
      <c r="B75" s="304" t="s">
        <v>262</v>
      </c>
      <c r="C75" s="305"/>
      <c r="D75" s="3"/>
      <c r="E75" s="368"/>
      <c r="F75" s="225"/>
      <c r="G75" s="348" t="s">
        <v>148</v>
      </c>
      <c r="H75" s="311"/>
      <c r="I75" s="26"/>
      <c r="J75" s="150"/>
    </row>
    <row r="76" spans="1:28" ht="13.8" x14ac:dyDescent="0.25">
      <c r="B76" s="220"/>
      <c r="C76" s="220"/>
      <c r="D76" s="3"/>
      <c r="E76" s="155"/>
      <c r="F76" s="26"/>
      <c r="G76" s="350"/>
      <c r="H76" s="26"/>
      <c r="I76" s="26"/>
      <c r="J76" s="150"/>
      <c r="K76" s="2"/>
      <c r="L76" s="2"/>
      <c r="M76" s="154"/>
      <c r="N76" s="154"/>
      <c r="O76" s="154"/>
      <c r="P76" s="154"/>
      <c r="Q76" s="154"/>
      <c r="R76" s="154"/>
      <c r="S76" s="154"/>
      <c r="T76" s="154"/>
      <c r="U76" s="154"/>
      <c r="V76" s="154"/>
      <c r="W76" s="154"/>
      <c r="X76" s="154"/>
      <c r="Y76" s="154"/>
      <c r="Z76" s="154"/>
      <c r="AA76" s="154"/>
      <c r="AB76" s="154"/>
    </row>
    <row r="77" spans="1:28" ht="13.8" x14ac:dyDescent="0.25">
      <c r="B77" s="220"/>
      <c r="C77" s="220"/>
      <c r="D77" s="3"/>
      <c r="E77" s="155"/>
      <c r="F77" s="26"/>
      <c r="G77" s="350"/>
      <c r="H77" s="26"/>
      <c r="I77" s="26"/>
      <c r="J77" s="150"/>
      <c r="K77" s="2"/>
      <c r="L77" s="2"/>
      <c r="M77" s="154"/>
      <c r="N77" s="154"/>
      <c r="O77" s="154"/>
      <c r="P77" s="154"/>
      <c r="Q77" s="154"/>
      <c r="R77" s="154"/>
      <c r="S77" s="154"/>
      <c r="T77" s="154"/>
      <c r="U77" s="154"/>
      <c r="V77" s="154"/>
      <c r="W77" s="154"/>
      <c r="X77" s="154"/>
      <c r="Y77" s="154"/>
      <c r="Z77" s="154"/>
      <c r="AA77" s="154"/>
      <c r="AB77" s="154"/>
    </row>
    <row r="78" spans="1:28" ht="14.4" thickBot="1" x14ac:dyDescent="0.3">
      <c r="B78" s="145" t="s">
        <v>346</v>
      </c>
      <c r="C78" s="145"/>
      <c r="D78" s="3"/>
      <c r="E78" s="4"/>
      <c r="F78" s="26"/>
      <c r="G78" s="348" t="s">
        <v>148</v>
      </c>
      <c r="H78" s="26"/>
      <c r="I78" s="26"/>
      <c r="J78" s="150"/>
      <c r="K78" s="2">
        <f>K15</f>
        <v>1900</v>
      </c>
      <c r="L78" s="2">
        <f>+K78+1</f>
        <v>1901</v>
      </c>
      <c r="M78" s="2">
        <f t="shared" ref="M78:Z78" si="8">+L78+1</f>
        <v>1902</v>
      </c>
      <c r="N78" s="2">
        <f t="shared" si="8"/>
        <v>1903</v>
      </c>
      <c r="O78" s="2">
        <f t="shared" si="8"/>
        <v>1904</v>
      </c>
      <c r="P78" s="2">
        <f t="shared" si="8"/>
        <v>1905</v>
      </c>
      <c r="Q78" s="2">
        <f t="shared" si="8"/>
        <v>1906</v>
      </c>
      <c r="R78" s="2">
        <f t="shared" si="8"/>
        <v>1907</v>
      </c>
      <c r="S78" s="2">
        <f t="shared" si="8"/>
        <v>1908</v>
      </c>
      <c r="T78" s="2">
        <f t="shared" si="8"/>
        <v>1909</v>
      </c>
      <c r="U78" s="2">
        <f t="shared" si="8"/>
        <v>1910</v>
      </c>
      <c r="V78" s="2">
        <f t="shared" si="8"/>
        <v>1911</v>
      </c>
      <c r="W78" s="2">
        <f t="shared" si="8"/>
        <v>1912</v>
      </c>
      <c r="X78" s="2">
        <f t="shared" si="8"/>
        <v>1913</v>
      </c>
      <c r="Y78" s="2">
        <f t="shared" si="8"/>
        <v>1914</v>
      </c>
      <c r="Z78" s="2">
        <f t="shared" si="8"/>
        <v>1915</v>
      </c>
      <c r="AA78" s="2">
        <f>+Z78+1</f>
        <v>1916</v>
      </c>
      <c r="AB78" s="2">
        <f>+AA78+1</f>
        <v>1917</v>
      </c>
    </row>
    <row r="79" spans="1:28" ht="14.4" thickBot="1" x14ac:dyDescent="0.3">
      <c r="A79" s="262">
        <v>44</v>
      </c>
      <c r="B79" s="304" t="s">
        <v>313</v>
      </c>
      <c r="C79" s="305"/>
      <c r="D79" s="3"/>
      <c r="E79" s="4"/>
      <c r="F79" s="26"/>
      <c r="G79" s="350"/>
      <c r="H79" s="26"/>
      <c r="I79" s="26"/>
      <c r="J79" s="150"/>
      <c r="K79" s="469"/>
      <c r="L79" s="469"/>
      <c r="M79" s="469"/>
      <c r="N79" s="469"/>
      <c r="O79" s="469"/>
      <c r="P79" s="469"/>
      <c r="Q79" s="469"/>
      <c r="R79" s="469"/>
      <c r="S79" s="469"/>
      <c r="T79" s="469"/>
      <c r="U79" s="469"/>
      <c r="V79" s="469"/>
      <c r="W79" s="469"/>
      <c r="X79" s="469"/>
      <c r="Y79" s="469"/>
      <c r="Z79" s="469"/>
      <c r="AA79" s="469"/>
      <c r="AB79" s="469"/>
    </row>
    <row r="80" spans="1:28" ht="14.4" thickBot="1" x14ac:dyDescent="0.3">
      <c r="A80" s="262">
        <v>45</v>
      </c>
      <c r="B80" s="304" t="s">
        <v>314</v>
      </c>
      <c r="C80" s="305"/>
      <c r="D80" s="3"/>
      <c r="E80" s="4"/>
      <c r="F80" s="26"/>
      <c r="G80" s="350"/>
      <c r="H80" s="26"/>
      <c r="I80" s="26"/>
      <c r="J80" s="150"/>
      <c r="K80" s="469"/>
      <c r="L80" s="469"/>
      <c r="M80" s="469"/>
      <c r="N80" s="469"/>
      <c r="O80" s="469"/>
      <c r="P80" s="469"/>
      <c r="Q80" s="469"/>
      <c r="R80" s="469"/>
      <c r="S80" s="469"/>
      <c r="T80" s="469"/>
      <c r="U80" s="469"/>
      <c r="V80" s="469"/>
      <c r="W80" s="469"/>
      <c r="X80" s="469"/>
      <c r="Y80" s="469"/>
      <c r="Z80" s="469"/>
      <c r="AA80" s="469"/>
      <c r="AB80" s="469"/>
    </row>
    <row r="81" spans="1:29" ht="14.4" thickBot="1" x14ac:dyDescent="0.3">
      <c r="A81" s="262">
        <v>46</v>
      </c>
      <c r="B81" s="304" t="s">
        <v>315</v>
      </c>
      <c r="C81" s="305"/>
      <c r="D81" s="3"/>
      <c r="E81" s="4"/>
      <c r="F81" s="26"/>
      <c r="G81" s="350"/>
      <c r="H81" s="552">
        <f>AVERAGE(K81:Z81)</f>
        <v>0</v>
      </c>
      <c r="I81" s="26"/>
      <c r="J81" s="150"/>
      <c r="K81" s="588">
        <v>0</v>
      </c>
      <c r="L81" s="588">
        <f t="shared" ref="L81" si="9">K81*1.02</f>
        <v>0</v>
      </c>
      <c r="M81" s="588">
        <f t="shared" ref="M81" si="10">L81*1.02</f>
        <v>0</v>
      </c>
      <c r="N81" s="588">
        <f t="shared" ref="N81:Z81" si="11">M81*1.02</f>
        <v>0</v>
      </c>
      <c r="O81" s="588">
        <f t="shared" si="11"/>
        <v>0</v>
      </c>
      <c r="P81" s="588">
        <f t="shared" si="11"/>
        <v>0</v>
      </c>
      <c r="Q81" s="588">
        <f t="shared" si="11"/>
        <v>0</v>
      </c>
      <c r="R81" s="588">
        <f t="shared" si="11"/>
        <v>0</v>
      </c>
      <c r="S81" s="588">
        <f t="shared" si="11"/>
        <v>0</v>
      </c>
      <c r="T81" s="588">
        <f t="shared" si="11"/>
        <v>0</v>
      </c>
      <c r="U81" s="588">
        <f t="shared" si="11"/>
        <v>0</v>
      </c>
      <c r="V81" s="588">
        <f t="shared" si="11"/>
        <v>0</v>
      </c>
      <c r="W81" s="588">
        <f t="shared" si="11"/>
        <v>0</v>
      </c>
      <c r="X81" s="588">
        <f t="shared" si="11"/>
        <v>0</v>
      </c>
      <c r="Y81" s="588">
        <f t="shared" si="11"/>
        <v>0</v>
      </c>
      <c r="Z81" s="588">
        <f t="shared" si="11"/>
        <v>0</v>
      </c>
      <c r="AA81" s="588">
        <f>Z81*1.02</f>
        <v>0</v>
      </c>
      <c r="AB81" s="588">
        <f>AA81*1.02</f>
        <v>0</v>
      </c>
    </row>
    <row r="82" spans="1:29" ht="14.4" thickBot="1" x14ac:dyDescent="0.3">
      <c r="A82" s="262">
        <v>47</v>
      </c>
      <c r="B82" s="304" t="s">
        <v>316</v>
      </c>
      <c r="C82" s="305"/>
      <c r="D82" s="3"/>
      <c r="E82" s="4"/>
      <c r="F82" s="26"/>
      <c r="G82" s="350"/>
      <c r="I82" s="26"/>
      <c r="J82" s="150"/>
      <c r="K82" s="309"/>
      <c r="L82" s="309"/>
      <c r="M82" s="309"/>
      <c r="N82" s="309"/>
      <c r="O82" s="309"/>
      <c r="P82" s="309"/>
      <c r="Q82" s="309"/>
      <c r="R82" s="309"/>
      <c r="S82" s="309"/>
      <c r="T82" s="309"/>
      <c r="U82" s="309"/>
      <c r="V82" s="309"/>
      <c r="W82" s="309"/>
      <c r="X82" s="309"/>
      <c r="Y82" s="309"/>
      <c r="Z82" s="387"/>
      <c r="AA82" s="309"/>
      <c r="AB82" s="387"/>
    </row>
    <row r="83" spans="1:29" ht="14.4" thickBot="1" x14ac:dyDescent="0.3">
      <c r="A83" s="262">
        <v>48</v>
      </c>
      <c r="B83" s="304" t="s">
        <v>252</v>
      </c>
      <c r="C83" s="305"/>
      <c r="D83" s="3"/>
      <c r="E83" s="4"/>
      <c r="F83" s="26"/>
      <c r="G83" s="350"/>
      <c r="H83" s="26"/>
      <c r="I83" s="26"/>
      <c r="J83" s="150"/>
      <c r="K83" s="309"/>
      <c r="L83" s="309"/>
      <c r="M83" s="309"/>
      <c r="N83" s="309"/>
      <c r="O83" s="309"/>
      <c r="P83" s="309"/>
      <c r="Q83" s="309"/>
      <c r="R83" s="309"/>
      <c r="S83" s="309"/>
      <c r="T83" s="309"/>
      <c r="U83" s="309"/>
      <c r="V83" s="309"/>
      <c r="W83" s="309"/>
      <c r="X83" s="309"/>
      <c r="Y83" s="309"/>
      <c r="Z83" s="387"/>
      <c r="AA83" s="309"/>
      <c r="AB83" s="387"/>
    </row>
    <row r="84" spans="1:29" ht="14.4" thickBot="1" x14ac:dyDescent="0.3">
      <c r="A84" s="262">
        <v>49</v>
      </c>
      <c r="B84" s="304" t="s">
        <v>332</v>
      </c>
      <c r="C84" s="305"/>
      <c r="D84" s="3"/>
      <c r="E84" s="146"/>
      <c r="F84" s="196"/>
      <c r="G84" s="350"/>
      <c r="H84" s="552">
        <f>AVERAGE(K84:Z84)</f>
        <v>0</v>
      </c>
      <c r="I84" s="217"/>
      <c r="J84" s="150"/>
      <c r="K84" s="309">
        <f>+K79-K80</f>
        <v>0</v>
      </c>
      <c r="L84" s="309">
        <f t="shared" ref="L84:V84" si="12">+L79-L80</f>
        <v>0</v>
      </c>
      <c r="M84" s="309">
        <f t="shared" si="12"/>
        <v>0</v>
      </c>
      <c r="N84" s="309">
        <f t="shared" si="12"/>
        <v>0</v>
      </c>
      <c r="O84" s="309">
        <f t="shared" si="12"/>
        <v>0</v>
      </c>
      <c r="P84" s="309">
        <f t="shared" si="12"/>
        <v>0</v>
      </c>
      <c r="Q84" s="309">
        <f t="shared" si="12"/>
        <v>0</v>
      </c>
      <c r="R84" s="309">
        <f t="shared" si="12"/>
        <v>0</v>
      </c>
      <c r="S84" s="309">
        <f t="shared" si="12"/>
        <v>0</v>
      </c>
      <c r="T84" s="309">
        <f t="shared" si="12"/>
        <v>0</v>
      </c>
      <c r="U84" s="309">
        <f t="shared" si="12"/>
        <v>0</v>
      </c>
      <c r="V84" s="309">
        <f t="shared" si="12"/>
        <v>0</v>
      </c>
      <c r="W84" s="309">
        <f>+W79-W80</f>
        <v>0</v>
      </c>
      <c r="X84" s="309">
        <f>IF(X79=0,0,+X79-X80)</f>
        <v>0</v>
      </c>
      <c r="Y84" s="309">
        <f>IF(Y79=0,0,+Y79-Y80)</f>
        <v>0</v>
      </c>
      <c r="Z84" s="386">
        <f>IF(Z79=0,0,+Z79-Z80)</f>
        <v>0</v>
      </c>
      <c r="AA84" s="309">
        <f>IF(AA79=0,0,+AA79-AA80)</f>
        <v>0</v>
      </c>
      <c r="AB84" s="386">
        <f>IF(AB79=0,0,+AB79-AB80)</f>
        <v>0</v>
      </c>
    </row>
    <row r="85" spans="1:29" ht="14.4" thickBot="1" x14ac:dyDescent="0.3">
      <c r="A85" s="262">
        <v>50</v>
      </c>
      <c r="B85" s="304" t="s">
        <v>150</v>
      </c>
      <c r="C85" s="305"/>
      <c r="D85" s="3"/>
      <c r="E85" s="215"/>
      <c r="F85" s="216"/>
      <c r="G85" s="350"/>
      <c r="H85" s="552">
        <f>AVERAGE(K85:Z85)</f>
        <v>0</v>
      </c>
      <c r="I85" s="217"/>
      <c r="J85" s="145"/>
      <c r="K85" s="310">
        <f>+K79-K81</f>
        <v>0</v>
      </c>
      <c r="L85" s="310">
        <f t="shared" ref="L85:V85" si="13">+L79-L81</f>
        <v>0</v>
      </c>
      <c r="M85" s="310">
        <f t="shared" si="13"/>
        <v>0</v>
      </c>
      <c r="N85" s="310">
        <f t="shared" si="13"/>
        <v>0</v>
      </c>
      <c r="O85" s="310">
        <f t="shared" si="13"/>
        <v>0</v>
      </c>
      <c r="P85" s="310">
        <f t="shared" si="13"/>
        <v>0</v>
      </c>
      <c r="Q85" s="310">
        <f t="shared" si="13"/>
        <v>0</v>
      </c>
      <c r="R85" s="310">
        <f t="shared" si="13"/>
        <v>0</v>
      </c>
      <c r="S85" s="310">
        <f t="shared" si="13"/>
        <v>0</v>
      </c>
      <c r="T85" s="310">
        <f t="shared" si="13"/>
        <v>0</v>
      </c>
      <c r="U85" s="310">
        <f t="shared" si="13"/>
        <v>0</v>
      </c>
      <c r="V85" s="310">
        <f t="shared" si="13"/>
        <v>0</v>
      </c>
      <c r="W85" s="310">
        <f>+W79-W81</f>
        <v>0</v>
      </c>
      <c r="X85" s="310">
        <f>IF(X79=0,0,+X79-X81)</f>
        <v>0</v>
      </c>
      <c r="Y85" s="310">
        <f>IF(Y79=0,0,+Y79-Y81)</f>
        <v>0</v>
      </c>
      <c r="Z85" s="387">
        <f>IF(Z79=0,0,+Z79-Z81)</f>
        <v>0</v>
      </c>
      <c r="AA85" s="310">
        <f>IF(AA79=0,0,+AA79-AA81)</f>
        <v>0</v>
      </c>
      <c r="AB85" s="387">
        <f>IF(AB79=0,0,+AB79-AB81)</f>
        <v>0</v>
      </c>
    </row>
    <row r="86" spans="1:29" ht="13.8" x14ac:dyDescent="0.25">
      <c r="A86" s="263"/>
      <c r="B86" s="220"/>
      <c r="C86" s="220"/>
      <c r="D86" s="3"/>
      <c r="E86" s="215"/>
      <c r="F86" s="26"/>
      <c r="G86" s="350"/>
      <c r="H86" s="26"/>
      <c r="I86" s="217"/>
      <c r="J86" s="150"/>
      <c r="K86" s="150"/>
      <c r="L86" s="150"/>
      <c r="M86" s="150"/>
      <c r="N86" s="150"/>
      <c r="O86" s="150"/>
      <c r="P86" s="150"/>
      <c r="Q86" s="150"/>
      <c r="R86" s="150"/>
      <c r="S86" s="150"/>
      <c r="T86" s="150"/>
      <c r="U86" s="150"/>
      <c r="V86" s="150"/>
      <c r="W86" s="150"/>
      <c r="X86" s="150"/>
      <c r="Y86" s="150"/>
      <c r="Z86" s="150"/>
      <c r="AA86" s="150"/>
      <c r="AB86" s="150"/>
    </row>
    <row r="87" spans="1:29" ht="14.4" thickBot="1" x14ac:dyDescent="0.3">
      <c r="A87" s="260"/>
      <c r="B87" s="220"/>
      <c r="C87" s="220"/>
      <c r="D87" s="3"/>
      <c r="E87" s="146"/>
      <c r="F87" s="26"/>
      <c r="G87" s="350"/>
      <c r="H87" s="26"/>
      <c r="I87" s="26"/>
      <c r="J87" s="150"/>
    </row>
    <row r="88" spans="1:29" ht="14.4" thickBot="1" x14ac:dyDescent="0.3">
      <c r="A88" s="262"/>
      <c r="B88" s="4"/>
      <c r="C88" s="4"/>
      <c r="D88" s="3"/>
      <c r="E88" s="322"/>
      <c r="F88" s="196"/>
      <c r="G88" s="350"/>
      <c r="H88" s="26"/>
      <c r="I88" s="217"/>
      <c r="J88" s="150"/>
    </row>
    <row r="89" spans="1:29" ht="14.4" thickBot="1" x14ac:dyDescent="0.3">
      <c r="A89" s="256" t="s">
        <v>268</v>
      </c>
      <c r="B89" s="304" t="s">
        <v>283</v>
      </c>
      <c r="C89" s="305"/>
      <c r="D89" s="3"/>
      <c r="E89" s="228"/>
      <c r="F89" s="196"/>
      <c r="G89" s="348" t="s">
        <v>148</v>
      </c>
      <c r="H89" s="552">
        <f>AVERAGE(K89:Z89)</f>
        <v>0</v>
      </c>
      <c r="I89" s="217"/>
      <c r="J89" s="150"/>
      <c r="K89" s="389">
        <f>K81</f>
        <v>0</v>
      </c>
      <c r="L89" s="389">
        <f t="shared" ref="L89:Z89" si="14">L81</f>
        <v>0</v>
      </c>
      <c r="M89" s="389">
        <f t="shared" si="14"/>
        <v>0</v>
      </c>
      <c r="N89" s="389">
        <f t="shared" si="14"/>
        <v>0</v>
      </c>
      <c r="O89" s="389">
        <f t="shared" si="14"/>
        <v>0</v>
      </c>
      <c r="P89" s="389">
        <f t="shared" si="14"/>
        <v>0</v>
      </c>
      <c r="Q89" s="389">
        <f t="shared" si="14"/>
        <v>0</v>
      </c>
      <c r="R89" s="389">
        <f t="shared" si="14"/>
        <v>0</v>
      </c>
      <c r="S89" s="389">
        <f t="shared" si="14"/>
        <v>0</v>
      </c>
      <c r="T89" s="389">
        <f t="shared" si="14"/>
        <v>0</v>
      </c>
      <c r="U89" s="389">
        <f t="shared" si="14"/>
        <v>0</v>
      </c>
      <c r="V89" s="389">
        <f t="shared" si="14"/>
        <v>0</v>
      </c>
      <c r="W89" s="389">
        <f t="shared" si="14"/>
        <v>0</v>
      </c>
      <c r="X89" s="389">
        <f t="shared" si="14"/>
        <v>0</v>
      </c>
      <c r="Y89" s="389">
        <f t="shared" si="14"/>
        <v>0</v>
      </c>
      <c r="Z89" s="389">
        <f t="shared" si="14"/>
        <v>0</v>
      </c>
      <c r="AA89" s="389">
        <f>AA81</f>
        <v>0</v>
      </c>
      <c r="AB89" s="389">
        <f>AB81</f>
        <v>0</v>
      </c>
    </row>
    <row r="90" spans="1:29" ht="14.4" thickBot="1" x14ac:dyDescent="0.3">
      <c r="A90" s="256" t="s">
        <v>269</v>
      </c>
      <c r="B90" s="304" t="s">
        <v>256</v>
      </c>
      <c r="C90" s="305"/>
      <c r="D90" s="3"/>
      <c r="E90" s="228"/>
      <c r="F90" s="196"/>
      <c r="G90" s="348" t="s">
        <v>148</v>
      </c>
      <c r="H90" s="552">
        <f>AVERAGE(K90:Z90)</f>
        <v>0</v>
      </c>
      <c r="I90" s="217"/>
      <c r="J90" s="150"/>
      <c r="K90" s="389">
        <f>+K79-K89</f>
        <v>0</v>
      </c>
      <c r="L90" s="389">
        <f t="shared" ref="L90:AB90" si="15">+L79-L89</f>
        <v>0</v>
      </c>
      <c r="M90" s="389">
        <f t="shared" si="15"/>
        <v>0</v>
      </c>
      <c r="N90" s="389">
        <f t="shared" si="15"/>
        <v>0</v>
      </c>
      <c r="O90" s="389">
        <f t="shared" si="15"/>
        <v>0</v>
      </c>
      <c r="P90" s="389">
        <f t="shared" si="15"/>
        <v>0</v>
      </c>
      <c r="Q90" s="389">
        <f t="shared" si="15"/>
        <v>0</v>
      </c>
      <c r="R90" s="389">
        <f t="shared" si="15"/>
        <v>0</v>
      </c>
      <c r="S90" s="389">
        <f t="shared" si="15"/>
        <v>0</v>
      </c>
      <c r="T90" s="389">
        <f t="shared" si="15"/>
        <v>0</v>
      </c>
      <c r="U90" s="389">
        <f t="shared" si="15"/>
        <v>0</v>
      </c>
      <c r="V90" s="389">
        <f t="shared" si="15"/>
        <v>0</v>
      </c>
      <c r="W90" s="389">
        <f t="shared" si="15"/>
        <v>0</v>
      </c>
      <c r="X90" s="389">
        <f t="shared" si="15"/>
        <v>0</v>
      </c>
      <c r="Y90" s="389">
        <f t="shared" si="15"/>
        <v>0</v>
      </c>
      <c r="Z90" s="389">
        <f t="shared" si="15"/>
        <v>0</v>
      </c>
      <c r="AA90" s="389">
        <f t="shared" si="15"/>
        <v>0</v>
      </c>
      <c r="AB90" s="389">
        <f t="shared" si="15"/>
        <v>0</v>
      </c>
    </row>
    <row r="91" spans="1:29" ht="14.4" thickBot="1" x14ac:dyDescent="0.3">
      <c r="A91" s="262">
        <v>53</v>
      </c>
      <c r="B91" s="304" t="s">
        <v>344</v>
      </c>
      <c r="C91" s="305"/>
      <c r="D91" s="3"/>
      <c r="E91" s="8"/>
      <c r="F91" s="207"/>
      <c r="G91" s="348" t="s">
        <v>148</v>
      </c>
      <c r="H91" s="552">
        <f>SUM($K91:$AB91)/$E$15</f>
        <v>0</v>
      </c>
      <c r="I91" s="549">
        <f>NPV($E$75,K91:AB91)*'Hulpberekeningen 2'!$E$36*'Hulpberekeningen 2'!$E$43*'Hulpberekeningen 2'!$E$54</f>
        <v>0</v>
      </c>
      <c r="J91" s="150"/>
      <c r="K91" s="339">
        <f>K90*(K20*80%)</f>
        <v>0</v>
      </c>
      <c r="L91" s="339">
        <f>L90*(L20*80%)+(K20*20%)*K90</f>
        <v>0</v>
      </c>
      <c r="M91" s="339">
        <f t="shared" ref="M91:Z91" si="16">M90*(M20*80%)+(L20*20%)*L90</f>
        <v>0</v>
      </c>
      <c r="N91" s="339">
        <f t="shared" si="16"/>
        <v>0</v>
      </c>
      <c r="O91" s="339">
        <f t="shared" si="16"/>
        <v>0</v>
      </c>
      <c r="P91" s="339">
        <f t="shared" si="16"/>
        <v>0</v>
      </c>
      <c r="Q91" s="339">
        <f t="shared" si="16"/>
        <v>0</v>
      </c>
      <c r="R91" s="339">
        <f t="shared" si="16"/>
        <v>0</v>
      </c>
      <c r="S91" s="339">
        <f t="shared" si="16"/>
        <v>0</v>
      </c>
      <c r="T91" s="339">
        <f t="shared" si="16"/>
        <v>0</v>
      </c>
      <c r="U91" s="339">
        <f t="shared" si="16"/>
        <v>0</v>
      </c>
      <c r="V91" s="339">
        <f t="shared" si="16"/>
        <v>0</v>
      </c>
      <c r="W91" s="339">
        <f t="shared" si="16"/>
        <v>0</v>
      </c>
      <c r="X91" s="339">
        <f t="shared" si="16"/>
        <v>0</v>
      </c>
      <c r="Y91" s="339">
        <f t="shared" si="16"/>
        <v>0</v>
      </c>
      <c r="Z91" s="339">
        <f t="shared" si="16"/>
        <v>0</v>
      </c>
      <c r="AA91" s="339">
        <f>AA90*(AA20*80%)+(Z20*20%)*Z90</f>
        <v>0</v>
      </c>
      <c r="AB91" s="339">
        <f>AB90*(AB20*80%)+(AA20*20%)*AA90</f>
        <v>0</v>
      </c>
    </row>
    <row r="92" spans="1:29" ht="14.4" thickBot="1" x14ac:dyDescent="0.3">
      <c r="A92" s="558" t="s">
        <v>458</v>
      </c>
      <c r="B92" s="304" t="s">
        <v>461</v>
      </c>
      <c r="C92" s="305"/>
      <c r="D92" s="3"/>
      <c r="E92" s="8"/>
      <c r="F92" s="207"/>
      <c r="G92" s="348"/>
      <c r="H92" s="552">
        <f>SUM($K92:$AB92)/$E$15</f>
        <v>0</v>
      </c>
      <c r="I92" s="549">
        <f>NPV($E$75,K92:AB92)*'Hulpberekeningen 2'!$E$36*'Hulpberekeningen 2'!$E$43*'Hulpberekeningen 2'!$E$54</f>
        <v>0</v>
      </c>
      <c r="J92" s="150"/>
      <c r="K92" s="339">
        <f>J21*(J79-J81)</f>
        <v>0</v>
      </c>
      <c r="L92" s="339">
        <f>K21*(K79-K81)</f>
        <v>0</v>
      </c>
      <c r="M92" s="339">
        <f t="shared" ref="M92:Y92" si="17">L21*(L79-L81)</f>
        <v>0</v>
      </c>
      <c r="N92" s="339">
        <f t="shared" si="17"/>
        <v>0</v>
      </c>
      <c r="O92" s="339">
        <f t="shared" si="17"/>
        <v>0</v>
      </c>
      <c r="P92" s="339">
        <f t="shared" si="17"/>
        <v>0</v>
      </c>
      <c r="Q92" s="339">
        <f t="shared" si="17"/>
        <v>0</v>
      </c>
      <c r="R92" s="339">
        <f t="shared" si="17"/>
        <v>0</v>
      </c>
      <c r="S92" s="339">
        <f t="shared" si="17"/>
        <v>0</v>
      </c>
      <c r="T92" s="339">
        <f t="shared" si="17"/>
        <v>0</v>
      </c>
      <c r="U92" s="339">
        <f t="shared" si="17"/>
        <v>0</v>
      </c>
      <c r="V92" s="339">
        <f t="shared" si="17"/>
        <v>0</v>
      </c>
      <c r="W92" s="339">
        <f t="shared" si="17"/>
        <v>0</v>
      </c>
      <c r="X92" s="339">
        <f t="shared" si="17"/>
        <v>0</v>
      </c>
      <c r="Y92" s="339">
        <f t="shared" si="17"/>
        <v>0</v>
      </c>
      <c r="Z92" s="339">
        <f>Y21*(Y79-Y81)</f>
        <v>0</v>
      </c>
      <c r="AA92" s="339">
        <f>Z21*(Z79-Z81)</f>
        <v>0</v>
      </c>
      <c r="AB92" s="339">
        <f>AA21*(AA79-AA81)</f>
        <v>0</v>
      </c>
    </row>
    <row r="93" spans="1:29" ht="14.4" thickBot="1" x14ac:dyDescent="0.3">
      <c r="A93" s="558" t="s">
        <v>459</v>
      </c>
      <c r="B93" s="304" t="s">
        <v>460</v>
      </c>
      <c r="C93" s="305"/>
      <c r="D93" s="3"/>
      <c r="E93" s="8"/>
      <c r="F93" s="207"/>
      <c r="G93" s="348"/>
      <c r="H93" s="552">
        <f>SUM($K93:$AB93)/$E$15</f>
        <v>0</v>
      </c>
      <c r="I93" s="549">
        <f>NPV($E$75,K93:AB93)*'Hulpberekeningen 2'!$E$36*'Hulpberekeningen 2'!$E$43*'Hulpberekeningen 2'!$E$54</f>
        <v>0</v>
      </c>
      <c r="J93" s="150"/>
      <c r="K93" s="339">
        <f>J22*(J79-J81)</f>
        <v>0</v>
      </c>
      <c r="L93" s="339">
        <f>K22*(K79-K81)</f>
        <v>0</v>
      </c>
      <c r="M93" s="339">
        <f t="shared" ref="M93:Y93" si="18">L22*(L79-L81)</f>
        <v>0</v>
      </c>
      <c r="N93" s="339">
        <f t="shared" si="18"/>
        <v>0</v>
      </c>
      <c r="O93" s="339">
        <f t="shared" si="18"/>
        <v>0</v>
      </c>
      <c r="P93" s="339">
        <f t="shared" si="18"/>
        <v>0</v>
      </c>
      <c r="Q93" s="339">
        <f t="shared" si="18"/>
        <v>0</v>
      </c>
      <c r="R93" s="339">
        <f t="shared" si="18"/>
        <v>0</v>
      </c>
      <c r="S93" s="339">
        <f t="shared" si="18"/>
        <v>0</v>
      </c>
      <c r="T93" s="339">
        <f t="shared" si="18"/>
        <v>0</v>
      </c>
      <c r="U93" s="339">
        <f t="shared" si="18"/>
        <v>0</v>
      </c>
      <c r="V93" s="339">
        <f t="shared" si="18"/>
        <v>0</v>
      </c>
      <c r="W93" s="339">
        <f t="shared" si="18"/>
        <v>0</v>
      </c>
      <c r="X93" s="339">
        <f t="shared" si="18"/>
        <v>0</v>
      </c>
      <c r="Y93" s="339">
        <f t="shared" si="18"/>
        <v>0</v>
      </c>
      <c r="Z93" s="339">
        <f>Y22*(Y79-Y81)</f>
        <v>0</v>
      </c>
      <c r="AA93" s="339">
        <f>Z22*(Z79-Z81)</f>
        <v>0</v>
      </c>
      <c r="AB93" s="339">
        <f>AA22*(AA79-AA81)</f>
        <v>0</v>
      </c>
    </row>
    <row r="94" spans="1:29" ht="14.4" thickBot="1" x14ac:dyDescent="0.3">
      <c r="A94" s="262"/>
      <c r="B94" s="220"/>
      <c r="C94" s="220"/>
      <c r="D94" s="3"/>
      <c r="E94" s="8"/>
      <c r="F94" s="207"/>
      <c r="G94" s="350"/>
      <c r="H94" s="26"/>
      <c r="I94" s="218"/>
      <c r="J94" s="150"/>
      <c r="K94" s="277"/>
      <c r="L94" s="277"/>
      <c r="M94" s="277"/>
      <c r="N94" s="277"/>
      <c r="O94" s="277"/>
      <c r="P94" s="277"/>
      <c r="Q94" s="277"/>
      <c r="R94" s="277"/>
      <c r="S94" s="277"/>
      <c r="T94" s="277"/>
      <c r="U94" s="277"/>
      <c r="V94" s="277"/>
      <c r="W94" s="277"/>
      <c r="X94" s="277"/>
      <c r="Y94" s="277"/>
      <c r="Z94" s="277"/>
      <c r="AA94" s="277"/>
      <c r="AB94" s="277"/>
    </row>
    <row r="95" spans="1:29" ht="15.6" x14ac:dyDescent="0.3">
      <c r="A95" s="227" t="s">
        <v>237</v>
      </c>
      <c r="B95" s="224"/>
      <c r="C95" s="224"/>
      <c r="D95" s="3"/>
      <c r="E95" s="363"/>
      <c r="G95" s="352"/>
      <c r="I95" s="34"/>
      <c r="J95" s="26"/>
      <c r="K95" s="85" t="s">
        <v>265</v>
      </c>
      <c r="L95" s="26"/>
      <c r="M95" s="26"/>
      <c r="N95" s="26"/>
      <c r="O95" s="26"/>
      <c r="P95" s="26"/>
      <c r="Q95" s="26"/>
      <c r="R95" s="26"/>
      <c r="S95" s="26"/>
      <c r="T95" s="26"/>
      <c r="U95" s="26"/>
      <c r="V95" s="26"/>
      <c r="W95" s="26"/>
      <c r="X95" s="26"/>
      <c r="Y95" s="26"/>
      <c r="Z95" s="26"/>
      <c r="AA95" s="26"/>
      <c r="AB95" s="26"/>
      <c r="AC95" s="26"/>
    </row>
    <row r="96" spans="1:29" ht="15.6" hidden="1" x14ac:dyDescent="0.3">
      <c r="A96" s="227"/>
      <c r="B96" s="363"/>
      <c r="C96" s="275"/>
      <c r="D96" s="3"/>
      <c r="E96" s="158"/>
      <c r="F96" s="226"/>
      <c r="G96" s="352"/>
      <c r="I96" s="34"/>
      <c r="J96" s="26"/>
      <c r="K96" s="2">
        <v>1</v>
      </c>
      <c r="L96" s="2">
        <v>2</v>
      </c>
      <c r="M96" s="154">
        <v>3</v>
      </c>
      <c r="N96" s="154">
        <v>4</v>
      </c>
      <c r="O96" s="154">
        <v>5</v>
      </c>
      <c r="P96" s="154">
        <v>6</v>
      </c>
      <c r="Q96" s="154">
        <v>7</v>
      </c>
      <c r="R96" s="154">
        <v>8</v>
      </c>
      <c r="S96" s="154">
        <v>9</v>
      </c>
      <c r="T96" s="154">
        <v>10</v>
      </c>
      <c r="U96" s="154">
        <v>11</v>
      </c>
      <c r="V96" s="154">
        <v>12</v>
      </c>
      <c r="W96" s="154">
        <v>13</v>
      </c>
      <c r="X96" s="338">
        <v>14</v>
      </c>
      <c r="Y96" s="338">
        <v>15</v>
      </c>
      <c r="Z96" s="338">
        <v>16</v>
      </c>
      <c r="AA96" s="338"/>
      <c r="AB96" s="338"/>
      <c r="AC96" s="26"/>
    </row>
    <row r="97" spans="1:29" ht="13.8" hidden="1" x14ac:dyDescent="0.25">
      <c r="A97" s="261"/>
      <c r="D97" s="3"/>
      <c r="E97" s="165"/>
      <c r="G97" s="352"/>
      <c r="I97" s="26"/>
      <c r="J97" s="26"/>
      <c r="K97" s="2"/>
      <c r="L97" s="2"/>
      <c r="M97" s="154"/>
      <c r="N97" s="154"/>
      <c r="O97" s="154"/>
      <c r="P97" s="154"/>
      <c r="Q97" s="154"/>
      <c r="R97" s="154"/>
      <c r="S97" s="154"/>
      <c r="T97" s="154"/>
      <c r="U97" s="154"/>
      <c r="V97" s="154"/>
      <c r="W97" s="154"/>
      <c r="X97" s="338"/>
      <c r="Y97" s="338"/>
      <c r="Z97" s="338"/>
      <c r="AA97" s="338"/>
      <c r="AB97" s="338"/>
      <c r="AC97" s="26"/>
    </row>
    <row r="98" spans="1:29" ht="14.4" thickBot="1" x14ac:dyDescent="0.3">
      <c r="A98" s="264"/>
      <c r="B98" s="159" t="s">
        <v>293</v>
      </c>
      <c r="C98" s="159"/>
      <c r="D98" s="3"/>
      <c r="E98" s="165"/>
      <c r="G98" s="352"/>
      <c r="I98" s="26"/>
      <c r="J98" s="26"/>
      <c r="K98" s="2">
        <f>K15</f>
        <v>1900</v>
      </c>
      <c r="L98" s="2">
        <f>+K98+1</f>
        <v>1901</v>
      </c>
      <c r="M98" s="2">
        <f t="shared" ref="M98:Z98" si="19">+L98+1</f>
        <v>1902</v>
      </c>
      <c r="N98" s="2">
        <f t="shared" si="19"/>
        <v>1903</v>
      </c>
      <c r="O98" s="2">
        <f t="shared" si="19"/>
        <v>1904</v>
      </c>
      <c r="P98" s="2">
        <f t="shared" si="19"/>
        <v>1905</v>
      </c>
      <c r="Q98" s="2">
        <f t="shared" si="19"/>
        <v>1906</v>
      </c>
      <c r="R98" s="2">
        <f t="shared" si="19"/>
        <v>1907</v>
      </c>
      <c r="S98" s="2">
        <f t="shared" si="19"/>
        <v>1908</v>
      </c>
      <c r="T98" s="2">
        <f t="shared" si="19"/>
        <v>1909</v>
      </c>
      <c r="U98" s="2">
        <f t="shared" si="19"/>
        <v>1910</v>
      </c>
      <c r="V98" s="2">
        <f t="shared" si="19"/>
        <v>1911</v>
      </c>
      <c r="W98" s="2">
        <f t="shared" si="19"/>
        <v>1912</v>
      </c>
      <c r="X98" s="2">
        <f t="shared" si="19"/>
        <v>1913</v>
      </c>
      <c r="Y98" s="2">
        <f t="shared" si="19"/>
        <v>1914</v>
      </c>
      <c r="Z98" s="2">
        <f t="shared" si="19"/>
        <v>1915</v>
      </c>
      <c r="AA98" s="2"/>
      <c r="AB98" s="2"/>
      <c r="AC98" s="26"/>
    </row>
    <row r="99" spans="1:29" ht="14.4" thickBot="1" x14ac:dyDescent="0.3">
      <c r="A99" s="259">
        <v>54</v>
      </c>
      <c r="B99" s="304" t="s">
        <v>295</v>
      </c>
      <c r="C99" s="364"/>
      <c r="D99" s="3"/>
      <c r="E99" s="153"/>
      <c r="F99" s="196"/>
      <c r="G99" s="348" t="s">
        <v>148</v>
      </c>
      <c r="H99" s="181">
        <f>SUM(K99:Z99)/15</f>
        <v>0</v>
      </c>
      <c r="I99" s="158"/>
      <c r="J99" s="26"/>
      <c r="K99" s="395">
        <f>K19</f>
        <v>0</v>
      </c>
      <c r="L99" s="395">
        <f t="shared" ref="L99:Z99" si="20">L19</f>
        <v>0</v>
      </c>
      <c r="M99" s="395">
        <f t="shared" si="20"/>
        <v>0</v>
      </c>
      <c r="N99" s="395">
        <f t="shared" si="20"/>
        <v>0</v>
      </c>
      <c r="O99" s="395">
        <f t="shared" si="20"/>
        <v>0</v>
      </c>
      <c r="P99" s="395">
        <f t="shared" si="20"/>
        <v>0</v>
      </c>
      <c r="Q99" s="395">
        <f t="shared" si="20"/>
        <v>0</v>
      </c>
      <c r="R99" s="395">
        <f t="shared" si="20"/>
        <v>0</v>
      </c>
      <c r="S99" s="395">
        <f t="shared" si="20"/>
        <v>0</v>
      </c>
      <c r="T99" s="395">
        <f t="shared" si="20"/>
        <v>0</v>
      </c>
      <c r="U99" s="395">
        <f t="shared" si="20"/>
        <v>0</v>
      </c>
      <c r="V99" s="395">
        <f t="shared" si="20"/>
        <v>0</v>
      </c>
      <c r="W99" s="395">
        <f t="shared" si="20"/>
        <v>0</v>
      </c>
      <c r="X99" s="395">
        <f t="shared" si="20"/>
        <v>0</v>
      </c>
      <c r="Y99" s="395">
        <f t="shared" si="20"/>
        <v>0</v>
      </c>
      <c r="Z99" s="395">
        <f t="shared" si="20"/>
        <v>0</v>
      </c>
      <c r="AA99" s="395">
        <f>AA19</f>
        <v>0</v>
      </c>
      <c r="AB99" s="395">
        <f>AB19</f>
        <v>0</v>
      </c>
      <c r="AC99" s="26"/>
    </row>
    <row r="100" spans="1:29" ht="13.8" x14ac:dyDescent="0.25">
      <c r="B100" s="220"/>
      <c r="C100" s="220"/>
      <c r="D100" s="3"/>
      <c r="G100" s="352"/>
      <c r="I100" s="26"/>
      <c r="J100" s="26"/>
      <c r="K100" s="85"/>
      <c r="L100" s="26"/>
      <c r="M100" s="26"/>
      <c r="N100" s="26"/>
      <c r="O100" s="26"/>
      <c r="P100" s="26"/>
      <c r="Q100" s="26"/>
      <c r="R100" s="26"/>
      <c r="S100" s="26"/>
      <c r="T100" s="26"/>
      <c r="U100" s="26"/>
      <c r="V100" s="26"/>
      <c r="W100" s="26"/>
      <c r="X100" s="26"/>
      <c r="Y100" s="26"/>
      <c r="Z100" s="26"/>
      <c r="AA100" s="26"/>
      <c r="AB100" s="26"/>
    </row>
    <row r="101" spans="1:29" ht="14.4" thickBot="1" x14ac:dyDescent="0.3">
      <c r="B101" s="145" t="s">
        <v>356</v>
      </c>
      <c r="C101" s="145"/>
      <c r="D101" s="3"/>
      <c r="F101" s="4"/>
      <c r="G101" s="353"/>
      <c r="H101" s="5"/>
      <c r="I101" s="26"/>
      <c r="J101" s="26"/>
      <c r="K101" s="2"/>
      <c r="L101" s="2"/>
      <c r="M101" s="2"/>
      <c r="N101" s="2"/>
      <c r="O101" s="2"/>
      <c r="P101" s="2"/>
      <c r="Q101" s="2"/>
      <c r="R101" s="2"/>
      <c r="S101" s="2"/>
      <c r="T101" s="2"/>
      <c r="U101" s="2"/>
      <c r="V101" s="2"/>
      <c r="W101" s="2"/>
      <c r="X101" s="2"/>
      <c r="Y101" s="2"/>
      <c r="Z101" s="2"/>
      <c r="AA101" s="2"/>
      <c r="AB101" s="2"/>
    </row>
    <row r="102" spans="1:29" ht="14.4" thickBot="1" x14ac:dyDescent="0.3">
      <c r="A102" s="263">
        <v>55</v>
      </c>
      <c r="B102" s="372" t="s">
        <v>339</v>
      </c>
      <c r="C102" s="269"/>
      <c r="D102" s="150"/>
      <c r="E102" s="38"/>
      <c r="F102" s="220"/>
      <c r="G102" s="375"/>
      <c r="H102" s="552">
        <f>AVERAGE(K102:Z102)</f>
        <v>0</v>
      </c>
      <c r="I102" s="26"/>
      <c r="J102" s="26"/>
      <c r="K102" s="359">
        <f>K89</f>
        <v>0</v>
      </c>
      <c r="L102" s="359">
        <f t="shared" ref="L102:Z102" si="21">L89</f>
        <v>0</v>
      </c>
      <c r="M102" s="359">
        <f t="shared" si="21"/>
        <v>0</v>
      </c>
      <c r="N102" s="359">
        <f t="shared" si="21"/>
        <v>0</v>
      </c>
      <c r="O102" s="359">
        <f t="shared" si="21"/>
        <v>0</v>
      </c>
      <c r="P102" s="359">
        <f t="shared" si="21"/>
        <v>0</v>
      </c>
      <c r="Q102" s="359">
        <f t="shared" si="21"/>
        <v>0</v>
      </c>
      <c r="R102" s="359">
        <f t="shared" si="21"/>
        <v>0</v>
      </c>
      <c r="S102" s="359">
        <f t="shared" si="21"/>
        <v>0</v>
      </c>
      <c r="T102" s="359">
        <f t="shared" si="21"/>
        <v>0</v>
      </c>
      <c r="U102" s="359">
        <f t="shared" si="21"/>
        <v>0</v>
      </c>
      <c r="V102" s="359">
        <f t="shared" si="21"/>
        <v>0</v>
      </c>
      <c r="W102" s="359">
        <f t="shared" si="21"/>
        <v>0</v>
      </c>
      <c r="X102" s="359">
        <f t="shared" si="21"/>
        <v>0</v>
      </c>
      <c r="Y102" s="359">
        <f t="shared" si="21"/>
        <v>0</v>
      </c>
      <c r="Z102" s="359">
        <f t="shared" si="21"/>
        <v>0</v>
      </c>
      <c r="AA102" s="359">
        <f>AA89</f>
        <v>0</v>
      </c>
      <c r="AB102" s="359">
        <f>AB89</f>
        <v>0</v>
      </c>
    </row>
    <row r="103" spans="1:29" ht="14.4" thickBot="1" x14ac:dyDescent="0.3">
      <c r="A103" s="262">
        <v>56</v>
      </c>
      <c r="B103" s="304" t="s">
        <v>297</v>
      </c>
      <c r="C103" s="305"/>
      <c r="D103" s="3"/>
      <c r="E103" s="168"/>
      <c r="F103" s="196"/>
      <c r="G103" s="348" t="s">
        <v>148</v>
      </c>
      <c r="H103" s="552">
        <f>AVERAGE(K103:Z103)</f>
        <v>0</v>
      </c>
      <c r="I103" s="26"/>
      <c r="J103" s="26"/>
      <c r="K103" s="359">
        <f>K89</f>
        <v>0</v>
      </c>
      <c r="L103" s="359">
        <f t="shared" ref="L103:AB103" si="22">L89</f>
        <v>0</v>
      </c>
      <c r="M103" s="359">
        <f t="shared" si="22"/>
        <v>0</v>
      </c>
      <c r="N103" s="359">
        <f t="shared" si="22"/>
        <v>0</v>
      </c>
      <c r="O103" s="359">
        <f t="shared" si="22"/>
        <v>0</v>
      </c>
      <c r="P103" s="359">
        <f t="shared" si="22"/>
        <v>0</v>
      </c>
      <c r="Q103" s="359">
        <f t="shared" si="22"/>
        <v>0</v>
      </c>
      <c r="R103" s="359">
        <f t="shared" si="22"/>
        <v>0</v>
      </c>
      <c r="S103" s="359">
        <f t="shared" si="22"/>
        <v>0</v>
      </c>
      <c r="T103" s="359">
        <f t="shared" si="22"/>
        <v>0</v>
      </c>
      <c r="U103" s="359">
        <f t="shared" si="22"/>
        <v>0</v>
      </c>
      <c r="V103" s="359">
        <f t="shared" si="22"/>
        <v>0</v>
      </c>
      <c r="W103" s="359">
        <f t="shared" si="22"/>
        <v>0</v>
      </c>
      <c r="X103" s="359">
        <f t="shared" si="22"/>
        <v>0</v>
      </c>
      <c r="Y103" s="359">
        <f t="shared" si="22"/>
        <v>0</v>
      </c>
      <c r="Z103" s="359">
        <f t="shared" si="22"/>
        <v>0</v>
      </c>
      <c r="AA103" s="359">
        <f t="shared" si="22"/>
        <v>0</v>
      </c>
      <c r="AB103" s="359">
        <f t="shared" si="22"/>
        <v>0</v>
      </c>
    </row>
    <row r="104" spans="1:29" ht="13.8" x14ac:dyDescent="0.25">
      <c r="B104" s="85"/>
      <c r="C104" s="85"/>
      <c r="D104" s="3"/>
      <c r="E104" s="26"/>
      <c r="G104" s="352"/>
      <c r="H104" s="4"/>
      <c r="I104" s="85"/>
      <c r="J104" s="26"/>
      <c r="K104" s="2"/>
      <c r="L104" s="2"/>
      <c r="M104" s="2"/>
      <c r="N104" s="2"/>
      <c r="O104" s="2"/>
      <c r="P104" s="2"/>
      <c r="Q104" s="2"/>
      <c r="R104" s="2"/>
      <c r="S104" s="2"/>
      <c r="T104" s="2"/>
      <c r="U104" s="2"/>
      <c r="V104" s="2"/>
      <c r="W104" s="2"/>
      <c r="X104" s="2"/>
      <c r="Y104" s="2"/>
      <c r="Z104" s="2"/>
      <c r="AA104" s="2"/>
      <c r="AB104" s="2"/>
    </row>
    <row r="105" spans="1:29" ht="14.4" thickBot="1" x14ac:dyDescent="0.3">
      <c r="B105" s="85" t="s">
        <v>112</v>
      </c>
      <c r="C105" s="85"/>
      <c r="D105" s="3"/>
      <c r="E105" s="26"/>
      <c r="F105" s="4"/>
      <c r="G105" s="353"/>
      <c r="I105" s="26"/>
      <c r="J105" s="26"/>
      <c r="K105" s="2"/>
      <c r="L105" s="2"/>
      <c r="M105" s="2"/>
      <c r="N105" s="2"/>
      <c r="O105" s="2"/>
      <c r="P105" s="2"/>
      <c r="Q105" s="2"/>
      <c r="R105" s="2"/>
      <c r="S105" s="2"/>
      <c r="T105" s="2"/>
      <c r="U105" s="2"/>
      <c r="V105" s="2"/>
      <c r="W105" s="2"/>
      <c r="X105" s="2"/>
      <c r="Y105" s="2"/>
      <c r="Z105" s="2"/>
      <c r="AA105" s="2"/>
      <c r="AB105" s="2"/>
    </row>
    <row r="106" spans="1:29" ht="14.4" thickBot="1" x14ac:dyDescent="0.3">
      <c r="A106" s="265">
        <v>57</v>
      </c>
      <c r="B106" s="304" t="s">
        <v>294</v>
      </c>
      <c r="C106" s="305"/>
      <c r="D106" s="3"/>
      <c r="E106" s="26"/>
      <c r="F106" s="4"/>
      <c r="G106" s="348" t="s">
        <v>148</v>
      </c>
      <c r="H106" s="552">
        <f>SUM($K106:$AB106)/$E$15</f>
        <v>0</v>
      </c>
      <c r="I106" s="549">
        <f>NPV($E$75,K106:AB106)*'Hulpberekeningen 2'!$E$36*'Hulpberekeningen 2'!$E$43*'Hulpberekeningen 2'!$E$54</f>
        <v>0</v>
      </c>
      <c r="J106" s="137"/>
      <c r="K106" s="297">
        <f>K99*K103</f>
        <v>0</v>
      </c>
      <c r="L106" s="297">
        <f t="shared" ref="L106:Y106" si="23">L99*L103</f>
        <v>0</v>
      </c>
      <c r="M106" s="297">
        <f t="shared" si="23"/>
        <v>0</v>
      </c>
      <c r="N106" s="297">
        <f t="shared" si="23"/>
        <v>0</v>
      </c>
      <c r="O106" s="297">
        <f t="shared" si="23"/>
        <v>0</v>
      </c>
      <c r="P106" s="297">
        <f t="shared" si="23"/>
        <v>0</v>
      </c>
      <c r="Q106" s="297">
        <f t="shared" si="23"/>
        <v>0</v>
      </c>
      <c r="R106" s="297">
        <f t="shared" si="23"/>
        <v>0</v>
      </c>
      <c r="S106" s="297">
        <f t="shared" si="23"/>
        <v>0</v>
      </c>
      <c r="T106" s="297">
        <f t="shared" si="23"/>
        <v>0</v>
      </c>
      <c r="U106" s="297">
        <f t="shared" si="23"/>
        <v>0</v>
      </c>
      <c r="V106" s="297">
        <f t="shared" si="23"/>
        <v>0</v>
      </c>
      <c r="W106" s="297">
        <f t="shared" si="23"/>
        <v>0</v>
      </c>
      <c r="X106" s="297">
        <f t="shared" si="23"/>
        <v>0</v>
      </c>
      <c r="Y106" s="297">
        <f t="shared" si="23"/>
        <v>0</v>
      </c>
      <c r="Z106" s="297">
        <f>Z99*Z103</f>
        <v>0</v>
      </c>
      <c r="AA106" s="297">
        <f>AA99*AA103</f>
        <v>0</v>
      </c>
      <c r="AB106" s="297">
        <f>AB99*AB103</f>
        <v>0</v>
      </c>
    </row>
    <row r="107" spans="1:29" ht="13.8" x14ac:dyDescent="0.25">
      <c r="A107" s="266"/>
      <c r="B107" s="276"/>
      <c r="C107" s="276"/>
      <c r="D107" s="3"/>
      <c r="E107" s="26"/>
      <c r="F107" s="4"/>
      <c r="G107" s="353"/>
      <c r="H107" s="4"/>
      <c r="I107" s="218"/>
      <c r="J107" s="26"/>
    </row>
    <row r="108" spans="1:29" ht="13.8" x14ac:dyDescent="0.25">
      <c r="A108" s="266"/>
      <c r="B108" s="276"/>
      <c r="C108" s="276"/>
      <c r="D108" s="3"/>
      <c r="E108" s="26"/>
      <c r="F108" s="26"/>
      <c r="G108" s="350"/>
      <c r="H108" s="26"/>
      <c r="I108" s="26"/>
      <c r="J108" s="26"/>
      <c r="K108" s="8"/>
      <c r="L108" s="8"/>
    </row>
    <row r="109" spans="1:29" ht="14.4" thickBot="1" x14ac:dyDescent="0.3">
      <c r="A109" s="267"/>
      <c r="B109" s="145" t="s">
        <v>296</v>
      </c>
      <c r="C109" s="145"/>
      <c r="D109" s="3"/>
      <c r="E109" s="26"/>
      <c r="F109" s="26"/>
      <c r="G109" s="350"/>
      <c r="H109" s="26"/>
      <c r="I109" s="26"/>
      <c r="J109" s="26"/>
      <c r="K109" s="7"/>
      <c r="L109" s="7"/>
    </row>
    <row r="110" spans="1:29" ht="14.4" thickBot="1" x14ac:dyDescent="0.3">
      <c r="A110" s="265">
        <v>69</v>
      </c>
      <c r="B110" s="304" t="s">
        <v>266</v>
      </c>
      <c r="C110" s="305"/>
      <c r="D110" s="3"/>
      <c r="E110" s="168"/>
      <c r="F110" s="196"/>
      <c r="G110" s="348" t="s">
        <v>148</v>
      </c>
      <c r="H110" s="552">
        <f>SUM($K110:$AB110)/$E$15</f>
        <v>0</v>
      </c>
      <c r="I110" s="549">
        <f>NPV($E$75,K110:AB110)*'Hulpberekeningen 2'!$E$36*'Hulpberekeningen 2'!$E$43*'Hulpberekeningen 2'!$E$54</f>
        <v>0</v>
      </c>
      <c r="J110" s="26"/>
      <c r="K110" s="470">
        <f>SUMPRODUCT((Stamblad!$J$9:$J$12=Invoerblad!$E$9)*(Stamblad!$K$8:$AA$8=LEFT(Invoerblad!$E$8,5))*Stamblad!$K$9:$AA$12)*$E$13*'Hulpberekeningen 2'!E30</f>
        <v>0</v>
      </c>
      <c r="L110" s="470">
        <f>SUMPRODUCT((Stamblad!$J$9:$J$12=Invoerblad!$E$9)*(Stamblad!$K$8:$AA$8=LEFT(Invoerblad!$E$8,5))*Stamblad!$K$9:$AA$12)*$E$13*'Hulpberekeningen 2'!F30*1.02</f>
        <v>0</v>
      </c>
      <c r="M110" s="470">
        <f>SUMPRODUCT((Stamblad!$J$9:$J$12=Invoerblad!$E$9)*(Stamblad!$K$8:$AA$8=LEFT(Invoerblad!$E$8,5))*Stamblad!$K$9:$AA$12)*$E$13*'Hulpberekeningen 2'!G30*POWER(1.02,2)</f>
        <v>0</v>
      </c>
      <c r="N110" s="470">
        <f>SUMPRODUCT((Stamblad!$J$9:$J$12=Invoerblad!$E$9)*(Stamblad!$K$8:$AA$8=LEFT(Invoerblad!$E$8,5))*Stamblad!$K$9:$AA$12)*$E$13*'Hulpberekeningen 2'!H30*POWER(1.02,3)</f>
        <v>0</v>
      </c>
      <c r="O110" s="470">
        <f>SUMPRODUCT((Stamblad!$J$9:$J$12=Invoerblad!$E$9)*(Stamblad!$K$8:$AA$8=LEFT(Invoerblad!$E$8,5))*Stamblad!$K$9:$AA$12)*$E$13*'Hulpberekeningen 2'!I30*POWER(1.02,4)</f>
        <v>0</v>
      </c>
      <c r="P110" s="470">
        <f>SUMPRODUCT((Stamblad!$J$9:$J$12=Invoerblad!$E$9)*(Stamblad!$K$8:$AA$8=LEFT(Invoerblad!$E$8,5))*Stamblad!$K$9:$AA$12)*$E$13*'Hulpberekeningen 2'!J30*POWER(1.02,5)</f>
        <v>0</v>
      </c>
      <c r="Q110" s="470">
        <f>SUMPRODUCT((Stamblad!$J$9:$J$12=Invoerblad!$E$9)*(Stamblad!$K$8:$AA$8=LEFT(Invoerblad!$E$8,5))*Stamblad!$K$9:$AA$12)*$E$13*'Hulpberekeningen 2'!K30*POWER(1.02,6)</f>
        <v>0</v>
      </c>
      <c r="R110" s="470">
        <f>SUMPRODUCT((Stamblad!$J$9:$J$12=Invoerblad!$E$9)*(Stamblad!$K$8:$AA$8=LEFT(Invoerblad!$E$8,5))*Stamblad!$K$9:$AA$12)*$E$13*'Hulpberekeningen 2'!L30*POWER(1.02,7)</f>
        <v>0</v>
      </c>
      <c r="S110" s="470">
        <f>SUMPRODUCT((Stamblad!$J$9:$J$12=Invoerblad!$E$9)*(Stamblad!$K$8:$AA$8=LEFT(Invoerblad!$E$8,5))*Stamblad!$K$9:$AA$12)*$E$13*'Hulpberekeningen 2'!M30*POWER(1.02,8)</f>
        <v>0</v>
      </c>
      <c r="T110" s="470">
        <f>SUMPRODUCT((Stamblad!$J$9:$J$12=Invoerblad!$E$9)*(Stamblad!$K$8:$AA$8=LEFT(Invoerblad!$E$8,5))*Stamblad!$K$9:$AA$12)*$E$13*'Hulpberekeningen 2'!N30*POWER(1.02,9)</f>
        <v>0</v>
      </c>
      <c r="U110" s="470">
        <f>SUMPRODUCT((Stamblad!$J$9:$J$12=Invoerblad!$E$9)*(Stamblad!$K$8:$AA$8=LEFT(Invoerblad!$E$8,5))*Stamblad!$K$9:$AA$12)*$E$13*'Hulpberekeningen 2'!O30*POWER(1.02,10)</f>
        <v>0</v>
      </c>
      <c r="V110" s="470">
        <f>SUMPRODUCT((Stamblad!$J$9:$J$12=Invoerblad!$E$9)*(Stamblad!$K$8:$AA$8=LEFT(Invoerblad!$E$8,5))*Stamblad!$K$9:$AA$12)*$E$13*'Hulpberekeningen 2'!P30*POWER(1.02,11)</f>
        <v>0</v>
      </c>
      <c r="W110" s="470">
        <f>SUMPRODUCT((Stamblad!$J$9:$J$12=Invoerblad!$E$9)*(Stamblad!$K$8:$AA$8=LEFT(Invoerblad!$E$8,5))*Stamblad!$K$9:$AA$12)*$E$13*'Hulpberekeningen 2'!Q30*POWER(1.02,12)</f>
        <v>0</v>
      </c>
      <c r="X110" s="470">
        <f>SUMPRODUCT((Stamblad!$J$9:$J$12=Invoerblad!$E$9)*(Stamblad!$K$8:$AA$8=LEFT(Invoerblad!$E$8,5))*Stamblad!$K$9:$AA$12)*$E$13*'Hulpberekeningen 2'!R30*POWER(1.02,13)</f>
        <v>0</v>
      </c>
      <c r="Y110" s="470">
        <f>SUMPRODUCT((Stamblad!$J$9:$J$12=Invoerblad!$E$9)*(Stamblad!$K$8:$AA$8=LEFT(Invoerblad!$E$8,5))*Stamblad!$K$9:$AA$12)*$E$13*'Hulpberekeningen 2'!S30*POWER(1.02,14)</f>
        <v>0</v>
      </c>
      <c r="Z110" s="470">
        <f>SUMPRODUCT((Stamblad!$J$9:$J$12=Invoerblad!$E$9)*(Stamblad!$K$8:$AA$8=LEFT(Invoerblad!$E$8,5))*Stamblad!$K$9:$AA$12)*$E$13*'Hulpberekeningen 2'!T30*POWER(1.02,15)</f>
        <v>0</v>
      </c>
      <c r="AA110" s="470">
        <f>SUMPRODUCT((Stamblad!$J$9:$J$12=Invoerblad!$E$9)*(Stamblad!$K$8:$AA$8=LEFT(Invoerblad!$E$8,5))*Stamblad!$K$9:$AA$12)*$E$13*'Hulpberekeningen 2'!U30*POWER(1.02,16)</f>
        <v>0</v>
      </c>
      <c r="AB110" s="470">
        <f>SUMPRODUCT((Stamblad!$J$9:$J$12=Invoerblad!$E$9)*(Stamblad!$K$8:$AA$8=LEFT(Invoerblad!$E$8,5))*Stamblad!$K$9:$AA$12)*$E$13*'Hulpberekeningen 2'!V30*POWER(1.02,17)</f>
        <v>0</v>
      </c>
    </row>
    <row r="111" spans="1:29" ht="14.4" thickBot="1" x14ac:dyDescent="0.3">
      <c r="A111" s="265">
        <v>70</v>
      </c>
      <c r="B111" s="304" t="s">
        <v>264</v>
      </c>
      <c r="C111" s="305"/>
      <c r="D111" s="3"/>
      <c r="E111" s="168"/>
      <c r="F111" s="196"/>
      <c r="G111" s="348" t="s">
        <v>148</v>
      </c>
      <c r="H111" s="552">
        <f>SUM($K111:$AB111)/$E$15</f>
        <v>0</v>
      </c>
      <c r="I111" s="549">
        <f>NPV($E$75,K111:AB111)*'Hulpberekeningen 2'!$E$36*'Hulpberekeningen 2'!$E$43*'Hulpberekeningen 2'!$E$54</f>
        <v>0</v>
      </c>
      <c r="J111" s="26"/>
      <c r="K111" s="470">
        <f>SUMPRODUCT((Stamblad!$J$17:$J$21=Invoerblad!$E$9)*(Stamblad!$K$16:$AA$16=LEFT(Invoerblad!$E$8,5))*Stamblad!$K$17:$AA$21)*K99</f>
        <v>0</v>
      </c>
      <c r="L111" s="470">
        <f>SUMPRODUCT((Stamblad!$J$17:$J$21=Invoerblad!$E$9)*(Stamblad!$K$16:$AA$16=LEFT(Invoerblad!$E$8,5))*Stamblad!$K$17:$AA$21)*L99</f>
        <v>0</v>
      </c>
      <c r="M111" s="470">
        <f>SUMPRODUCT((Stamblad!$J$17:$J$21=Invoerblad!$E$9)*(Stamblad!$K$16:$AA$16=LEFT(Invoerblad!$E$8,5))*Stamblad!$K$17:$AA$21)*M99</f>
        <v>0</v>
      </c>
      <c r="N111" s="470">
        <f>SUMPRODUCT((Stamblad!$J$17:$J$21=Invoerblad!$E$9)*(Stamblad!$K$16:$AA$16=LEFT(Invoerblad!$E$8,5))*Stamblad!$K$17:$AA$21)*N99</f>
        <v>0</v>
      </c>
      <c r="O111" s="470">
        <f>SUMPRODUCT((Stamblad!$J$17:$J$21=Invoerblad!$E$9)*(Stamblad!$K$16:$AA$16=LEFT(Invoerblad!$E$8,5))*Stamblad!$K$17:$AA$21)*O99</f>
        <v>0</v>
      </c>
      <c r="P111" s="470">
        <f>SUMPRODUCT((Stamblad!$J$17:$J$21=Invoerblad!$E$9)*(Stamblad!$K$16:$AA$16=LEFT(Invoerblad!$E$8,5))*Stamblad!$K$17:$AA$21)*P99</f>
        <v>0</v>
      </c>
      <c r="Q111" s="470">
        <f>SUMPRODUCT((Stamblad!$J$17:$J$21=Invoerblad!$E$9)*(Stamblad!$K$16:$AA$16=LEFT(Invoerblad!$E$8,5))*Stamblad!$K$17:$AA$21)*Q99</f>
        <v>0</v>
      </c>
      <c r="R111" s="470">
        <f>SUMPRODUCT((Stamblad!$J$17:$J$21=Invoerblad!$E$9)*(Stamblad!$K$16:$AA$16=LEFT(Invoerblad!$E$8,5))*Stamblad!$K$17:$AA$21)*R99</f>
        <v>0</v>
      </c>
      <c r="S111" s="470">
        <f>SUMPRODUCT((Stamblad!$J$17:$J$21=Invoerblad!$E$9)*(Stamblad!$K$16:$AA$16=LEFT(Invoerblad!$E$8,5))*Stamblad!$K$17:$AA$21)*S99</f>
        <v>0</v>
      </c>
      <c r="T111" s="470">
        <f>SUMPRODUCT((Stamblad!$J$17:$J$21=Invoerblad!$E$9)*(Stamblad!$K$16:$AA$16=LEFT(Invoerblad!$E$8,5))*Stamblad!$K$17:$AA$21)*T99</f>
        <v>0</v>
      </c>
      <c r="U111" s="470">
        <f>SUMPRODUCT((Stamblad!$J$17:$J$21=Invoerblad!$E$9)*(Stamblad!$K$16:$AA$16=LEFT(Invoerblad!$E$8,5))*Stamblad!$K$17:$AA$21)*U99</f>
        <v>0</v>
      </c>
      <c r="V111" s="470">
        <f>SUMPRODUCT((Stamblad!$J$17:$J$21=Invoerblad!$E$9)*(Stamblad!$K$16:$AA$16=LEFT(Invoerblad!$E$8,5))*Stamblad!$K$17:$AA$21)*V99</f>
        <v>0</v>
      </c>
      <c r="W111" s="470">
        <f>SUMPRODUCT((Stamblad!$J$17:$J$21=Invoerblad!$E$9)*(Stamblad!$K$16:$AA$16=LEFT(Invoerblad!$E$8,5))*Stamblad!$K$17:$AA$21)*W99</f>
        <v>0</v>
      </c>
      <c r="X111" s="470">
        <f>SUMPRODUCT((Stamblad!$J$17:$J$21=Invoerblad!$E$9)*(Stamblad!$K$16:$AA$16=LEFT(Invoerblad!$E$8,5))*Stamblad!$K$17:$AA$21)*X99</f>
        <v>0</v>
      </c>
      <c r="Y111" s="470">
        <f>SUMPRODUCT((Stamblad!$J$17:$J$21=Invoerblad!$E$9)*(Stamblad!$K$16:$AA$16=LEFT(Invoerblad!$E$8,5))*Stamblad!$K$17:$AA$21)*Y99</f>
        <v>0</v>
      </c>
      <c r="Z111" s="470">
        <f>SUMPRODUCT((Stamblad!$J$17:$J$21=Invoerblad!$E$9)*(Stamblad!$K$16:$AA$16=LEFT(Invoerblad!$E$8,5))*Stamblad!$K$17:$AA$21)*Z99</f>
        <v>0</v>
      </c>
      <c r="AA111" s="470">
        <f>SUMPRODUCT((Stamblad!$J$17:$J$21=Invoerblad!$E$9)*(Stamblad!$K$16:$AA$16=LEFT(Invoerblad!$E$8,5))*Stamblad!$K$17:$AA$21)*AA99</f>
        <v>0</v>
      </c>
      <c r="AB111" s="470">
        <f>SUMPRODUCT((Stamblad!$J$17:$J$21=Invoerblad!$E$9)*(Stamblad!$K$16:$AA$16=LEFT(Invoerblad!$E$8,5))*Stamblad!$K$17:$AA$21)*AB99</f>
        <v>0</v>
      </c>
    </row>
    <row r="112" spans="1:29" s="38" customFormat="1" ht="14.4" thickBot="1" x14ac:dyDescent="0.3">
      <c r="A112" s="265">
        <v>71</v>
      </c>
      <c r="B112" s="372"/>
      <c r="C112" s="364"/>
      <c r="D112" s="150"/>
      <c r="E112" s="373"/>
      <c r="F112" s="216"/>
      <c r="G112" s="374" t="s">
        <v>148</v>
      </c>
      <c r="H112" s="26"/>
      <c r="I112" s="149">
        <f>NPV($E$75,K112:AB112)*'Hulpberekeningen 2'!$E$36*'Hulpberekeningen 2'!$E$43*'Hulpberekeningen 2'!$E$54</f>
        <v>0</v>
      </c>
      <c r="J112" s="26"/>
      <c r="K112" s="369"/>
      <c r="L112" s="369"/>
      <c r="M112" s="369"/>
      <c r="N112" s="369"/>
      <c r="O112" s="369"/>
      <c r="P112" s="369"/>
      <c r="Q112" s="369"/>
      <c r="R112" s="369"/>
      <c r="S112" s="369"/>
      <c r="T112" s="369"/>
      <c r="U112" s="369"/>
      <c r="V112" s="369"/>
      <c r="W112" s="369"/>
      <c r="X112" s="369"/>
      <c r="Y112" s="369"/>
      <c r="Z112" s="369"/>
      <c r="AA112" s="369"/>
      <c r="AB112" s="369"/>
    </row>
    <row r="113" spans="1:28" ht="14.4" thickBot="1" x14ac:dyDescent="0.3">
      <c r="A113" s="265">
        <v>72</v>
      </c>
      <c r="B113" s="304"/>
      <c r="C113" s="305"/>
      <c r="D113" s="3"/>
      <c r="E113" s="168"/>
      <c r="F113" s="196"/>
      <c r="G113" s="348" t="s">
        <v>148</v>
      </c>
      <c r="H113" s="26"/>
      <c r="I113" s="149">
        <f>NPV($E$75,K113:AB113)*'Hulpberekeningen 2'!$E$36*'Hulpberekeningen 2'!$E$43*'Hulpberekeningen 2'!$E$54</f>
        <v>0</v>
      </c>
      <c r="J113" s="26"/>
      <c r="K113" s="388"/>
      <c r="L113" s="388"/>
      <c r="M113" s="388"/>
      <c r="N113" s="388"/>
      <c r="O113" s="388"/>
      <c r="P113" s="388"/>
      <c r="Q113" s="388"/>
      <c r="R113" s="388"/>
      <c r="S113" s="388"/>
      <c r="T113" s="388"/>
      <c r="U113" s="388"/>
      <c r="V113" s="388"/>
      <c r="W113" s="388"/>
      <c r="X113" s="388"/>
      <c r="Y113" s="388"/>
      <c r="Z113" s="388"/>
      <c r="AA113" s="388"/>
      <c r="AB113" s="388"/>
    </row>
    <row r="114" spans="1:28" ht="13.8" x14ac:dyDescent="0.25">
      <c r="B114" s="220"/>
      <c r="C114" s="220"/>
      <c r="D114" s="220"/>
      <c r="E114" s="153"/>
      <c r="F114" s="26"/>
      <c r="G114" s="350"/>
      <c r="H114" s="26"/>
      <c r="I114" s="26"/>
      <c r="J114" s="26"/>
      <c r="K114" s="26"/>
      <c r="L114" s="150"/>
    </row>
    <row r="115" spans="1:28" ht="13.8" x14ac:dyDescent="0.25">
      <c r="B115" s="220"/>
      <c r="C115" s="220"/>
      <c r="D115" s="220"/>
      <c r="E115" s="153"/>
      <c r="F115" s="26"/>
      <c r="G115" s="350"/>
      <c r="H115" s="26"/>
      <c r="I115" s="26"/>
      <c r="J115" s="26"/>
      <c r="K115" s="26"/>
      <c r="L115" s="150"/>
      <c r="M115" s="579"/>
    </row>
    <row r="116" spans="1:28" ht="13.8" hidden="1" x14ac:dyDescent="0.25">
      <c r="F116" s="26"/>
      <c r="G116" s="350"/>
      <c r="H116" s="26"/>
      <c r="I116" s="164"/>
      <c r="J116" s="150"/>
      <c r="K116" s="181"/>
      <c r="T116" s="8"/>
    </row>
    <row r="117" spans="1:28" ht="13.8" hidden="1" x14ac:dyDescent="0.25">
      <c r="F117" s="26"/>
      <c r="G117" s="358"/>
      <c r="H117" s="26"/>
      <c r="I117" s="222"/>
      <c r="J117" s="150"/>
      <c r="K117" s="169"/>
      <c r="L117" s="169"/>
      <c r="M117" s="169"/>
      <c r="N117" s="169"/>
      <c r="O117" s="169"/>
      <c r="P117" s="169"/>
      <c r="T117" s="8"/>
    </row>
    <row r="118" spans="1:28" ht="13.8" hidden="1" x14ac:dyDescent="0.25">
      <c r="E118" s="172"/>
      <c r="F118" s="26"/>
      <c r="G118" s="358"/>
      <c r="H118" s="26"/>
      <c r="I118" s="223"/>
      <c r="J118" s="150"/>
      <c r="K118" s="81"/>
      <c r="L118" s="169"/>
      <c r="M118" s="169"/>
      <c r="N118" s="169"/>
      <c r="O118" s="169"/>
      <c r="P118" s="169"/>
      <c r="T118" s="8"/>
    </row>
    <row r="119" spans="1:28" ht="13.8" hidden="1" x14ac:dyDescent="0.25">
      <c r="E119" s="172"/>
      <c r="F119" s="26"/>
      <c r="G119" s="358"/>
      <c r="H119" s="26"/>
      <c r="I119" s="223"/>
      <c r="J119" s="150"/>
    </row>
    <row r="120" spans="1:28" ht="13.8" hidden="1" x14ac:dyDescent="0.25">
      <c r="E120" s="173"/>
      <c r="F120" s="26"/>
      <c r="G120" s="358"/>
      <c r="H120" s="26"/>
      <c r="I120" s="222"/>
      <c r="J120" s="150"/>
    </row>
    <row r="121" spans="1:28" x14ac:dyDescent="0.25"/>
    <row r="122" spans="1:28" x14ac:dyDescent="0.25">
      <c r="K122" s="8"/>
    </row>
    <row r="123" spans="1:28" x14ac:dyDescent="0.25">
      <c r="B123" s="488" t="s">
        <v>422</v>
      </c>
      <c r="K123" s="8"/>
    </row>
    <row r="124" spans="1:28" x14ac:dyDescent="0.25">
      <c r="B124" s="605" t="s">
        <v>510</v>
      </c>
      <c r="K124" s="8"/>
    </row>
    <row r="125" spans="1:28" x14ac:dyDescent="0.25">
      <c r="B125" s="605" t="s">
        <v>511</v>
      </c>
    </row>
    <row r="126" spans="1:28" x14ac:dyDescent="0.25">
      <c r="B126" s="605" t="s">
        <v>512</v>
      </c>
      <c r="E126" s="6"/>
    </row>
    <row r="127" spans="1:28" x14ac:dyDescent="0.25">
      <c r="B127" s="20"/>
      <c r="E127" s="6"/>
    </row>
    <row r="128" spans="1:28" x14ac:dyDescent="0.25">
      <c r="B128" s="20"/>
      <c r="E128" s="6"/>
    </row>
    <row r="129" spans="2:5" x14ac:dyDescent="0.25">
      <c r="E129" s="6"/>
    </row>
    <row r="130" spans="2:5" x14ac:dyDescent="0.25">
      <c r="E130" s="6"/>
    </row>
    <row r="131" spans="2:5" x14ac:dyDescent="0.25">
      <c r="E131" s="6"/>
    </row>
    <row r="132" spans="2:5" x14ac:dyDescent="0.25">
      <c r="E132" s="6"/>
    </row>
    <row r="133" spans="2:5" x14ac:dyDescent="0.25">
      <c r="E133" s="6"/>
    </row>
    <row r="134" spans="2:5" x14ac:dyDescent="0.25">
      <c r="E134" s="6"/>
    </row>
    <row r="135" spans="2:5" x14ac:dyDescent="0.25">
      <c r="E135" s="6"/>
    </row>
    <row r="136" spans="2:5" x14ac:dyDescent="0.25">
      <c r="E136" s="6"/>
    </row>
    <row r="137" spans="2:5" x14ac:dyDescent="0.25">
      <c r="E137" s="6"/>
    </row>
    <row r="138" spans="2:5" x14ac:dyDescent="0.25">
      <c r="E138" s="6"/>
    </row>
    <row r="139" spans="2:5" x14ac:dyDescent="0.25">
      <c r="B139" s="105"/>
      <c r="E139" s="6"/>
    </row>
    <row r="140" spans="2:5" x14ac:dyDescent="0.25">
      <c r="B140" s="466"/>
      <c r="E140" s="6"/>
    </row>
    <row r="141" spans="2:5" x14ac:dyDescent="0.25">
      <c r="B141" s="466"/>
      <c r="E141" s="6"/>
    </row>
    <row r="142" spans="2:5" x14ac:dyDescent="0.25">
      <c r="B142" s="466"/>
      <c r="E142" s="6"/>
    </row>
    <row r="143" spans="2:5" x14ac:dyDescent="0.25">
      <c r="B143" s="466"/>
      <c r="E143" s="6"/>
    </row>
    <row r="144" spans="2:5" x14ac:dyDescent="0.25">
      <c r="B144" s="466"/>
      <c r="E144" s="6"/>
    </row>
    <row r="145" spans="2:5" x14ac:dyDescent="0.25">
      <c r="B145" s="466"/>
      <c r="E145" s="6"/>
    </row>
    <row r="146" spans="2:5" x14ac:dyDescent="0.25">
      <c r="B146" s="466"/>
    </row>
    <row r="147" spans="2:5" x14ac:dyDescent="0.25"/>
    <row r="148" spans="2:5" x14ac:dyDescent="0.25"/>
    <row r="149" spans="2:5" x14ac:dyDescent="0.25"/>
    <row r="150" spans="2:5" x14ac:dyDescent="0.25"/>
    <row r="151" spans="2:5" x14ac:dyDescent="0.25"/>
    <row r="152" spans="2:5" x14ac:dyDescent="0.25"/>
  </sheetData>
  <sheetProtection selectLockedCells="1"/>
  <customSheetViews>
    <customSheetView guid="{D98A0717-74D0-4F54-BB8F-A337A1A9E4DF}" scale="75" showGridLines="0" fitToPage="1" hiddenRows="1" hiddenColumns="1" showRuler="0">
      <selection activeCell="E4" sqref="E4"/>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5D986420-B83B-47C8-8160-784F77FFC196}" scale="75" showGridLines="0" fitToPage="1" hiddenRows="1" hiddenColumns="1" showRuler="0">
      <selection activeCell="K20" sqref="K20"/>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C9029B8D-126A-43F1-8BE9-BB8A7DE12FBF}" scale="75" showGridLines="0" fitToPage="1" hiddenRows="1" hiddenColumns="1" showRuler="0" topLeftCell="A40">
      <selection activeCell="K87" sqref="K87"/>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4284377C-91E6-4152-887E-8DA87560FDD6}" scale="75" showGridLines="0" fitToPage="1" hiddenRows="1" hiddenColumns="1" showRuler="0">
      <selection activeCell="K12" sqref="K12"/>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546B9E27-05F9-47A7-B161-BCC56D613799}" scale="75" showGridLines="0" fitToPage="1" hiddenRows="1" hiddenColumns="1" showRuler="0">
      <selection activeCell="E17" sqref="E17"/>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s>
  <phoneticPr fontId="0" type="noConversion"/>
  <dataValidations disablePrompts="1" xWindow="693" yWindow="394" count="6">
    <dataValidation allowBlank="1" showInputMessage="1" showErrorMessage="1" prompt="De onkostenvergoeding OV MEP hoeft niet opgevoerd te worden. Deze dient terugbetaald te worden bij verkrijging van SDE." sqref="E42" xr:uid="{00000000-0002-0000-0000-000000000000}"/>
    <dataValidation type="custom" errorStyle="warning" allowBlank="1" showErrorMessage="1" error="de draaiuren / vollasturen kunnen niet hoger zijn dan 8760 per jaar. pas de produktie (regel 5) of het vermogen aan (regel 2)" sqref="K16:AB17" xr:uid="{00000000-0002-0000-0000-000001000000}">
      <formula1>K16&lt;8761</formula1>
    </dataValidation>
    <dataValidation allowBlank="1" showErrorMessage="1" prompt="Let op MIA kan niet in combinatie met EIA op dezelfde voorziening" sqref="E57" xr:uid="{00000000-0002-0000-0000-000002000000}"/>
    <dataValidation type="custom" allowBlank="1" showErrorMessage="1" error="draaiuren / vollasturen kunnen niet meer dan 8760 bedragen (zie regel 4)_x000a_" prompt="vul in hoeveel produktie er is in het eerste  kalenderjaar voor dat deel dat in de SDE periode valt." sqref="K19:AB19" xr:uid="{00000000-0002-0000-0000-000003000000}">
      <formula1>IF(VALUE($E14)=0,0,K19/$E14)&lt;8761</formula1>
    </dataValidation>
    <dataValidation type="decimal" operator="greaterThan" allowBlank="1" showInputMessage="1" showErrorMessage="1" sqref="E13:E14" xr:uid="{00000000-0002-0000-0000-000004000000}">
      <formula1>0</formula1>
    </dataValidation>
    <dataValidation type="list" allowBlank="1" showInputMessage="1" showErrorMessage="1" sqref="E9" xr:uid="{00000000-0002-0000-0000-000005000000}">
      <formula1>$B$124:$B$128</formula1>
    </dataValidation>
  </dataValidations>
  <hyperlinks>
    <hyperlink ref="G26" location="Toelichting!A33" display="Info" xr:uid="{00000000-0004-0000-0000-000000000000}"/>
    <hyperlink ref="G14" location="Toelichting!A29" display="Info" xr:uid="{00000000-0004-0000-0000-000001000000}"/>
    <hyperlink ref="G24" location="Toelichting!A31" display="Info" xr:uid="{00000000-0004-0000-0000-000002000000}"/>
    <hyperlink ref="G25" location="Toelichting!A32" display="Info" xr:uid="{00000000-0004-0000-0000-000003000000}"/>
    <hyperlink ref="G35" location="Toelichting!A45" display="Info" xr:uid="{00000000-0004-0000-0000-000004000000}"/>
    <hyperlink ref="G34" location="Toelichting!A35" display="Info" xr:uid="{00000000-0004-0000-0000-000005000000}"/>
    <hyperlink ref="G39" location="Toelichting!A54" display="Info" xr:uid="{00000000-0004-0000-0000-000006000000}"/>
    <hyperlink ref="G8" location="Toelichting!A25" display="Info" xr:uid="{00000000-0004-0000-0000-000007000000}"/>
    <hyperlink ref="G48:G50" location="Toelichting!A32" display="Info" xr:uid="{00000000-0004-0000-0000-000008000000}"/>
    <hyperlink ref="G54" location="Toelichting!A70" display="Info" xr:uid="{00000000-0004-0000-0000-000009000000}"/>
    <hyperlink ref="G57:G58" location="Toelichting!A32" display="Info" xr:uid="{00000000-0004-0000-0000-00000A000000}"/>
    <hyperlink ref="G89" location="Toelichting!A142" display="Info" xr:uid="{00000000-0004-0000-0000-00000B000000}"/>
    <hyperlink ref="G48" location="Toelichting!A60" display="Info" xr:uid="{00000000-0004-0000-0000-00000C000000}"/>
    <hyperlink ref="G49" location="Toelichting!A69" display="Info" xr:uid="{00000000-0004-0000-0000-00000D000000}"/>
    <hyperlink ref="G50" location="Toelichting!A70" display="Info" xr:uid="{00000000-0004-0000-0000-00000E000000}"/>
    <hyperlink ref="G57" location="Toelichting!A70" display="Info" xr:uid="{00000000-0004-0000-0000-00000F000000}"/>
    <hyperlink ref="G58" location="Toelichting!A81" display="Info" xr:uid="{00000000-0004-0000-0000-000010000000}"/>
    <hyperlink ref="G67" location="Toelichting!A89" display="Info" xr:uid="{00000000-0004-0000-0000-000011000000}"/>
    <hyperlink ref="G78" location="Toelichting!A141" display="Info" xr:uid="{00000000-0004-0000-0000-000012000000}"/>
    <hyperlink ref="G90" location="Toelichting!A144" display="Info" xr:uid="{00000000-0004-0000-0000-000013000000}"/>
    <hyperlink ref="G91" location="Toelichting!A145" display="Info" xr:uid="{00000000-0004-0000-0000-000014000000}"/>
    <hyperlink ref="G110" location="Toelichting!A161" display="Info" xr:uid="{00000000-0004-0000-0000-000015000000}"/>
    <hyperlink ref="G71" location="Toelichting!A98" display="Info" xr:uid="{00000000-0004-0000-0000-000016000000}"/>
    <hyperlink ref="G30" location="Toelichting!A34" display="Info" xr:uid="{00000000-0004-0000-0000-000017000000}"/>
    <hyperlink ref="G51" location="Toelichting!A72" display="Info" xr:uid="{00000000-0004-0000-0000-000018000000}"/>
    <hyperlink ref="G55" location="Toelichting!A76" display="Info" xr:uid="{00000000-0004-0000-0000-000019000000}"/>
    <hyperlink ref="G59" location="Toelichting!A82" display="Info" xr:uid="{00000000-0004-0000-0000-00001A000000}"/>
    <hyperlink ref="G65" location="Toelichting!A86" display="Info" xr:uid="{00000000-0004-0000-0000-00001B000000}"/>
    <hyperlink ref="G66" location="Toelichting!A87" display="Info" xr:uid="{00000000-0004-0000-0000-00001C000000}"/>
    <hyperlink ref="G73" location="Toelichting!A110" display="Info" xr:uid="{00000000-0004-0000-0000-00001D000000}"/>
    <hyperlink ref="G74:G75" location="Toelichting!A103" display="Info" xr:uid="{00000000-0004-0000-0000-00001E000000}"/>
    <hyperlink ref="G74" location="Toelichting!A111" display="Info" xr:uid="{00000000-0004-0000-0000-00001F000000}"/>
    <hyperlink ref="G75" location="Toelichting!A112" display="Info" xr:uid="{00000000-0004-0000-0000-000020000000}"/>
    <hyperlink ref="G99" location="Toelichting!A150" display="Info" xr:uid="{00000000-0004-0000-0000-000021000000}"/>
    <hyperlink ref="G103" location="Toelichting!A152" display="Info" xr:uid="{00000000-0004-0000-0000-000022000000}"/>
    <hyperlink ref="G106" location="Toelichting!A155" display="Info" xr:uid="{00000000-0004-0000-0000-000023000000}"/>
    <hyperlink ref="G40" location="Toelichting!A54" display="Info" xr:uid="{00000000-0004-0000-0000-000024000000}"/>
    <hyperlink ref="G41" location="Toelichting!A54" display="Info" xr:uid="{00000000-0004-0000-0000-000025000000}"/>
    <hyperlink ref="G42" location="Toelichting!A54" display="Info" xr:uid="{00000000-0004-0000-0000-000026000000}"/>
    <hyperlink ref="G43" location="Toelichting!A54" display="Info" xr:uid="{00000000-0004-0000-0000-000027000000}"/>
    <hyperlink ref="G52" location="Toelichting!A72" display="Info" xr:uid="{00000000-0004-0000-0000-000028000000}"/>
    <hyperlink ref="G60" location="Toelichting!A82" display="Info" xr:uid="{00000000-0004-0000-0000-000029000000}"/>
    <hyperlink ref="G68" location="Toelichting!A89" display="Info" xr:uid="{00000000-0004-0000-0000-00002A000000}"/>
    <hyperlink ref="G72" location="Toelichting!A98" display="Info" xr:uid="{00000000-0004-0000-0000-00002B000000}"/>
    <hyperlink ref="G111" location="Toelichting!A162" display="Info" xr:uid="{00000000-0004-0000-0000-00002C000000}"/>
    <hyperlink ref="B4" location="Toelichting!A1" display="Lees ook de toelichting." xr:uid="{00000000-0004-0000-0000-00002D000000}"/>
    <hyperlink ref="G13" location="Toelichting!A29" display="Info" xr:uid="{00000000-0004-0000-0000-00002E000000}"/>
  </hyperlinks>
  <pageMargins left="0.35433070866141736" right="0.39370078740157483" top="0.42" bottom="0.68" header="0.51181102362204722" footer="0.51181102362204722"/>
  <pageSetup paperSize="8" scale="30" orientation="portrait" r:id="rId1"/>
  <headerFooter alignWithMargins="0">
    <oddFooter>&amp;L&amp;D,&amp;T,&amp;Z&amp;F,&amp;F,&amp;A</oddFooter>
  </headerFooter>
  <rowBreaks count="1" manualBreakCount="1">
    <brk id="114" max="16383" man="1"/>
  </rowBreaks>
  <cellWatches>
    <cellWatch r="N19"/>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pageSetUpPr fitToPage="1"/>
  </sheetPr>
  <dimension ref="A1:AA60"/>
  <sheetViews>
    <sheetView workbookViewId="0">
      <selection activeCell="E36" sqref="E36"/>
    </sheetView>
  </sheetViews>
  <sheetFormatPr defaultRowHeight="13.2" x14ac:dyDescent="0.25"/>
  <cols>
    <col min="1" max="1" width="43" customWidth="1"/>
    <col min="2" max="2" width="15" customWidth="1"/>
    <col min="3" max="3" width="14.77734375" customWidth="1"/>
    <col min="4" max="4" width="15" bestFit="1" customWidth="1"/>
    <col min="5" max="5" width="17.44140625" customWidth="1"/>
    <col min="6" max="6" width="16" customWidth="1"/>
    <col min="7" max="8" width="16.33203125" bestFit="1" customWidth="1"/>
    <col min="9" max="9" width="16" customWidth="1"/>
    <col min="10" max="10" width="16.33203125" bestFit="1" customWidth="1"/>
    <col min="11" max="11" width="15.6640625" customWidth="1"/>
    <col min="12" max="12" width="13" customWidth="1"/>
    <col min="13" max="13" width="12.77734375" bestFit="1" customWidth="1"/>
    <col min="14" max="14" width="14.77734375" customWidth="1"/>
    <col min="15" max="15" width="14.33203125" bestFit="1" customWidth="1"/>
    <col min="16" max="17" width="12.77734375" bestFit="1" customWidth="1"/>
  </cols>
  <sheetData>
    <row r="1" spans="1:19" ht="13.8" thickBot="1" x14ac:dyDescent="0.3">
      <c r="A1" s="119" t="s">
        <v>205</v>
      </c>
      <c r="B1" s="51"/>
      <c r="C1" s="51"/>
      <c r="D1" s="51"/>
      <c r="E1" s="51"/>
      <c r="F1" s="51"/>
      <c r="G1" s="51"/>
      <c r="H1" s="51"/>
      <c r="I1" s="51"/>
      <c r="J1" s="51"/>
      <c r="K1" s="51"/>
      <c r="L1" s="52"/>
      <c r="M1" s="53"/>
      <c r="N1" s="52"/>
      <c r="O1" s="52"/>
      <c r="P1" s="52"/>
      <c r="Q1" s="52"/>
      <c r="R1" s="49"/>
      <c r="S1" s="49"/>
    </row>
    <row r="2" spans="1:19" ht="13.5" customHeight="1" thickBot="1" x14ac:dyDescent="0.3">
      <c r="A2" s="54" t="s">
        <v>212</v>
      </c>
      <c r="B2" s="55"/>
      <c r="C2" s="56">
        <f>SUM(C3:C5)</f>
        <v>0</v>
      </c>
      <c r="D2" s="57"/>
      <c r="E2" s="57"/>
      <c r="F2" s="57"/>
      <c r="G2" s="57"/>
      <c r="H2" s="57"/>
      <c r="I2" s="57"/>
      <c r="J2" s="57"/>
      <c r="K2" s="57"/>
      <c r="L2" s="57"/>
      <c r="M2" s="54"/>
      <c r="N2" s="57"/>
      <c r="O2" s="57"/>
      <c r="P2" s="57"/>
      <c r="Q2" s="58"/>
      <c r="R2" s="49"/>
      <c r="S2" s="49"/>
    </row>
    <row r="3" spans="1:19" ht="13.8" thickTop="1" x14ac:dyDescent="0.25">
      <c r="A3" s="59" t="s">
        <v>215</v>
      </c>
      <c r="B3" s="64">
        <f>+Invoerblad!E67</f>
        <v>0</v>
      </c>
      <c r="C3" s="60">
        <f>B3*Invoerblad!$E$66</f>
        <v>0</v>
      </c>
      <c r="D3" s="61"/>
      <c r="E3" s="61"/>
      <c r="F3" s="61"/>
      <c r="G3" s="61"/>
      <c r="H3" s="61"/>
      <c r="I3" s="61"/>
      <c r="J3" s="61"/>
      <c r="K3" s="61"/>
      <c r="L3" s="61"/>
      <c r="M3" s="59"/>
      <c r="N3" s="61"/>
      <c r="O3" s="61"/>
      <c r="P3" s="61"/>
      <c r="Q3" s="62"/>
      <c r="R3" s="49"/>
      <c r="S3" s="49"/>
    </row>
    <row r="4" spans="1:19" ht="12.75" customHeight="1" x14ac:dyDescent="0.25">
      <c r="A4" s="63"/>
      <c r="B4" s="64"/>
      <c r="C4" s="60"/>
      <c r="D4" s="65"/>
      <c r="E4" s="61"/>
      <c r="F4" s="61"/>
      <c r="G4" s="61"/>
      <c r="H4" s="61"/>
      <c r="I4" s="61"/>
      <c r="J4" s="61"/>
      <c r="K4" s="61"/>
      <c r="L4" s="61"/>
      <c r="M4" s="59"/>
      <c r="N4" s="61"/>
      <c r="O4" s="61"/>
      <c r="P4" s="61"/>
      <c r="Q4" s="62"/>
      <c r="R4" s="49"/>
      <c r="S4" s="49"/>
    </row>
    <row r="5" spans="1:19" x14ac:dyDescent="0.25">
      <c r="A5" s="59" t="s">
        <v>216</v>
      </c>
      <c r="B5" s="64">
        <f>+Invoerblad!E68</f>
        <v>1</v>
      </c>
      <c r="C5" s="60">
        <f>B5*Invoerblad!$E$66</f>
        <v>0</v>
      </c>
      <c r="D5" s="61"/>
      <c r="E5" s="61"/>
      <c r="F5" s="61"/>
      <c r="G5" s="61"/>
      <c r="H5" s="61"/>
      <c r="I5" s="61"/>
      <c r="J5" s="61"/>
      <c r="K5" s="61"/>
      <c r="L5" s="61"/>
      <c r="M5" s="59"/>
      <c r="N5" s="61"/>
      <c r="O5" s="61"/>
      <c r="P5" s="61"/>
      <c r="Q5" s="62"/>
      <c r="R5" s="49"/>
      <c r="S5" s="49"/>
    </row>
    <row r="6" spans="1:19" x14ac:dyDescent="0.25">
      <c r="A6" s="44"/>
      <c r="B6" s="82"/>
      <c r="C6" s="37"/>
      <c r="D6" s="37"/>
      <c r="E6" s="37"/>
      <c r="F6" s="37"/>
      <c r="G6" s="37"/>
      <c r="H6" s="37"/>
      <c r="I6" s="37"/>
      <c r="J6" s="37"/>
      <c r="K6" s="37"/>
      <c r="L6" s="37"/>
      <c r="M6" s="44"/>
      <c r="N6" s="37"/>
      <c r="O6" s="37"/>
      <c r="P6" s="37"/>
      <c r="Q6" s="45"/>
      <c r="R6" s="49"/>
      <c r="S6" s="49"/>
    </row>
    <row r="7" spans="1:19" x14ac:dyDescent="0.25">
      <c r="A7" s="59" t="s">
        <v>222</v>
      </c>
      <c r="B7" s="66">
        <f>+Invoerblad!E74</f>
        <v>15</v>
      </c>
      <c r="C7" s="66"/>
      <c r="D7" s="70"/>
      <c r="E7" s="61"/>
      <c r="F7" s="61"/>
      <c r="G7" s="61"/>
      <c r="H7" s="61"/>
      <c r="I7" s="61"/>
      <c r="J7" s="61"/>
      <c r="K7" s="61"/>
      <c r="L7" s="61"/>
      <c r="M7" s="59"/>
      <c r="N7" s="61"/>
      <c r="O7" s="61"/>
      <c r="P7" s="61"/>
      <c r="Q7" s="62"/>
      <c r="R7" s="49"/>
      <c r="S7" s="49"/>
    </row>
    <row r="8" spans="1:19" x14ac:dyDescent="0.25">
      <c r="A8" s="59" t="s">
        <v>223</v>
      </c>
      <c r="B8" s="64">
        <v>0.15</v>
      </c>
      <c r="C8" s="66"/>
      <c r="D8" s="61"/>
      <c r="E8" s="61"/>
      <c r="F8" s="61"/>
      <c r="G8" s="61"/>
      <c r="H8" s="61"/>
      <c r="I8" s="61"/>
      <c r="J8" s="61"/>
      <c r="K8" s="61"/>
      <c r="L8" s="61"/>
      <c r="M8" s="59"/>
      <c r="N8" s="61"/>
      <c r="O8" s="61"/>
      <c r="P8" s="61"/>
      <c r="Q8" s="62"/>
      <c r="R8" s="49"/>
      <c r="S8" s="49"/>
    </row>
    <row r="9" spans="1:19" x14ac:dyDescent="0.25">
      <c r="A9" s="116" t="s">
        <v>224</v>
      </c>
      <c r="B9" s="64">
        <v>0.06</v>
      </c>
      <c r="C9" s="66"/>
      <c r="D9" s="141"/>
      <c r="E9" s="61"/>
      <c r="F9" s="61"/>
      <c r="G9" s="61"/>
      <c r="H9" s="61"/>
      <c r="I9" s="61"/>
      <c r="J9" s="61"/>
      <c r="K9" s="61"/>
      <c r="L9" s="61"/>
      <c r="M9" s="59"/>
      <c r="N9" s="61"/>
      <c r="O9" s="61"/>
      <c r="P9" s="61"/>
      <c r="Q9" s="62"/>
      <c r="R9" s="49"/>
      <c r="S9" s="49"/>
    </row>
    <row r="10" spans="1:19" x14ac:dyDescent="0.25">
      <c r="A10" s="59"/>
      <c r="B10" s="61"/>
      <c r="C10" s="61"/>
      <c r="D10" s="61"/>
      <c r="E10" s="61"/>
      <c r="F10" s="61"/>
      <c r="G10" s="61"/>
      <c r="H10" s="61"/>
      <c r="I10" s="61"/>
      <c r="J10" s="61"/>
      <c r="K10" s="61"/>
      <c r="L10" s="61"/>
      <c r="M10" s="59"/>
      <c r="N10" s="61"/>
      <c r="O10" s="61"/>
      <c r="P10" s="61"/>
      <c r="Q10" s="62"/>
      <c r="R10" s="49"/>
      <c r="S10" s="49"/>
    </row>
    <row r="11" spans="1:19" x14ac:dyDescent="0.25">
      <c r="A11" s="59" t="s">
        <v>172</v>
      </c>
      <c r="B11" s="67">
        <v>0</v>
      </c>
      <c r="C11" s="67">
        <v>1</v>
      </c>
      <c r="D11" s="67">
        <v>2</v>
      </c>
      <c r="E11" s="67">
        <v>3</v>
      </c>
      <c r="F11" s="67">
        <v>4</v>
      </c>
      <c r="G11" s="67">
        <v>5</v>
      </c>
      <c r="H11" s="67">
        <v>6</v>
      </c>
      <c r="I11" s="67">
        <v>7</v>
      </c>
      <c r="J11" s="67">
        <v>8</v>
      </c>
      <c r="K11" s="67">
        <v>9</v>
      </c>
      <c r="L11" s="67">
        <v>10</v>
      </c>
      <c r="M11" s="68">
        <v>11</v>
      </c>
      <c r="N11" s="67">
        <v>12</v>
      </c>
      <c r="O11" s="67">
        <v>13</v>
      </c>
      <c r="P11" s="67">
        <v>14</v>
      </c>
      <c r="Q11" s="69">
        <v>15</v>
      </c>
      <c r="R11" s="49"/>
      <c r="S11" s="49"/>
    </row>
    <row r="12" spans="1:19" x14ac:dyDescent="0.25">
      <c r="A12" s="59" t="s">
        <v>217</v>
      </c>
      <c r="B12" s="70">
        <f>C5</f>
        <v>0</v>
      </c>
      <c r="C12" s="70">
        <f>+IF(B12-($C$5/$B$7)&gt;0,B12-($C$5/$B$7),0)</f>
        <v>0</v>
      </c>
      <c r="D12" s="70">
        <f t="shared" ref="D12:K12" si="0">+IF(C12-($C$5/$B$7)&gt;0,C12-($C$5/$B$7),0)</f>
        <v>0</v>
      </c>
      <c r="E12" s="70">
        <f t="shared" si="0"/>
        <v>0</v>
      </c>
      <c r="F12" s="70">
        <f t="shared" si="0"/>
        <v>0</v>
      </c>
      <c r="G12" s="70">
        <f t="shared" si="0"/>
        <v>0</v>
      </c>
      <c r="H12" s="70">
        <f t="shared" si="0"/>
        <v>0</v>
      </c>
      <c r="I12" s="70">
        <f t="shared" si="0"/>
        <v>0</v>
      </c>
      <c r="J12" s="70">
        <f t="shared" si="0"/>
        <v>0</v>
      </c>
      <c r="K12" s="70">
        <f t="shared" si="0"/>
        <v>0</v>
      </c>
      <c r="L12" s="70">
        <f t="shared" ref="L12:Q12" si="1">+IF(K12-($C$5/$B$7)&gt;0,K12-($C$5/$B$7),0)</f>
        <v>0</v>
      </c>
      <c r="M12" s="70">
        <f t="shared" si="1"/>
        <v>0</v>
      </c>
      <c r="N12" s="70">
        <f t="shared" si="1"/>
        <v>0</v>
      </c>
      <c r="O12" s="70">
        <f t="shared" si="1"/>
        <v>0</v>
      </c>
      <c r="P12" s="70">
        <f t="shared" si="1"/>
        <v>0</v>
      </c>
      <c r="Q12" s="70">
        <f t="shared" si="1"/>
        <v>0</v>
      </c>
      <c r="R12" s="49"/>
      <c r="S12" s="49"/>
    </row>
    <row r="13" spans="1:19" x14ac:dyDescent="0.25">
      <c r="A13" s="59" t="s">
        <v>218</v>
      </c>
      <c r="B13" s="70">
        <f>$C$3</f>
        <v>0</v>
      </c>
      <c r="C13" s="70">
        <f>+IF(B13-($C$3/$B$7)&gt;0,B13-($C$3/$B$7),0)</f>
        <v>0</v>
      </c>
      <c r="D13" s="70">
        <f>+IF(C13-($C$3/$B$7)&gt;0,C13-($C$3/$B$7),0)</f>
        <v>0</v>
      </c>
      <c r="E13" s="70">
        <f t="shared" ref="E13:Q13" si="2">+IF(D13-($C$3/$B$7)&gt;0,D13-($C$3/$B$7),0)</f>
        <v>0</v>
      </c>
      <c r="F13" s="70">
        <f t="shared" si="2"/>
        <v>0</v>
      </c>
      <c r="G13" s="70">
        <f t="shared" si="2"/>
        <v>0</v>
      </c>
      <c r="H13" s="70">
        <f t="shared" si="2"/>
        <v>0</v>
      </c>
      <c r="I13" s="70">
        <f t="shared" si="2"/>
        <v>0</v>
      </c>
      <c r="J13" s="70">
        <f t="shared" si="2"/>
        <v>0</v>
      </c>
      <c r="K13" s="70">
        <f t="shared" si="2"/>
        <v>0</v>
      </c>
      <c r="L13" s="70">
        <f t="shared" si="2"/>
        <v>0</v>
      </c>
      <c r="M13" s="70">
        <f t="shared" si="2"/>
        <v>0</v>
      </c>
      <c r="N13" s="70">
        <f t="shared" si="2"/>
        <v>0</v>
      </c>
      <c r="O13" s="70">
        <f t="shared" si="2"/>
        <v>0</v>
      </c>
      <c r="P13" s="70">
        <f t="shared" si="2"/>
        <v>0</v>
      </c>
      <c r="Q13" s="70">
        <f t="shared" si="2"/>
        <v>0</v>
      </c>
      <c r="R13" s="49"/>
      <c r="S13" s="49"/>
    </row>
    <row r="14" spans="1:19" x14ac:dyDescent="0.25">
      <c r="A14" s="59" t="s">
        <v>219</v>
      </c>
      <c r="B14" s="61"/>
      <c r="C14" s="60">
        <f>$B$9*B12</f>
        <v>0</v>
      </c>
      <c r="D14" s="60">
        <f>$B$9*C12</f>
        <v>0</v>
      </c>
      <c r="E14" s="60">
        <f>$B$9*D12</f>
        <v>0</v>
      </c>
      <c r="F14" s="60">
        <f t="shared" ref="F14:L14" si="3">$B$9*E12</f>
        <v>0</v>
      </c>
      <c r="G14" s="60">
        <f t="shared" si="3"/>
        <v>0</v>
      </c>
      <c r="H14" s="60">
        <f t="shared" si="3"/>
        <v>0</v>
      </c>
      <c r="I14" s="60">
        <f t="shared" si="3"/>
        <v>0</v>
      </c>
      <c r="J14" s="60">
        <f t="shared" si="3"/>
        <v>0</v>
      </c>
      <c r="K14" s="60">
        <f t="shared" si="3"/>
        <v>0</v>
      </c>
      <c r="L14" s="60">
        <f t="shared" si="3"/>
        <v>0</v>
      </c>
      <c r="M14" s="70">
        <f>$B$9*L12</f>
        <v>0</v>
      </c>
      <c r="N14" s="60">
        <f>$B$9*M12</f>
        <v>0</v>
      </c>
      <c r="O14" s="60">
        <f>$B$9*N12</f>
        <v>0</v>
      </c>
      <c r="P14" s="60">
        <f>$B$9*O12</f>
        <v>0</v>
      </c>
      <c r="Q14" s="60">
        <f>$B$9*P12</f>
        <v>0</v>
      </c>
      <c r="R14" s="49"/>
      <c r="S14" s="49"/>
    </row>
    <row r="15" spans="1:19" x14ac:dyDescent="0.25">
      <c r="A15" s="59" t="s">
        <v>213</v>
      </c>
      <c r="B15" s="61"/>
      <c r="C15" s="60">
        <f>$B$8*B13</f>
        <v>0</v>
      </c>
      <c r="D15" s="60">
        <f t="shared" ref="D15:L15" si="4">$B$8*C13</f>
        <v>0</v>
      </c>
      <c r="E15" s="60">
        <f>$B$8*D13</f>
        <v>0</v>
      </c>
      <c r="F15" s="60">
        <f t="shared" si="4"/>
        <v>0</v>
      </c>
      <c r="G15" s="60">
        <f t="shared" si="4"/>
        <v>0</v>
      </c>
      <c r="H15" s="60">
        <f t="shared" si="4"/>
        <v>0</v>
      </c>
      <c r="I15" s="60">
        <f t="shared" si="4"/>
        <v>0</v>
      </c>
      <c r="J15" s="60">
        <f t="shared" si="4"/>
        <v>0</v>
      </c>
      <c r="K15" s="60">
        <f t="shared" si="4"/>
        <v>0</v>
      </c>
      <c r="L15" s="60">
        <f t="shared" si="4"/>
        <v>0</v>
      </c>
      <c r="M15" s="60">
        <f>$B$8*L13</f>
        <v>0</v>
      </c>
      <c r="N15" s="60">
        <f>$B$8*M13</f>
        <v>0</v>
      </c>
      <c r="O15" s="60">
        <f>$B$8*N13</f>
        <v>0</v>
      </c>
      <c r="P15" s="60">
        <f>$B$8*O13</f>
        <v>0</v>
      </c>
      <c r="Q15" s="60">
        <f>$B$8*P13</f>
        <v>0</v>
      </c>
      <c r="R15" s="49"/>
      <c r="S15" s="49"/>
    </row>
    <row r="16" spans="1:19" x14ac:dyDescent="0.25">
      <c r="A16" s="59"/>
      <c r="B16" s="61"/>
      <c r="C16" s="61"/>
      <c r="D16" s="61"/>
      <c r="E16" s="61"/>
      <c r="F16" s="61"/>
      <c r="G16" s="61"/>
      <c r="H16" s="61"/>
      <c r="I16" s="61"/>
      <c r="J16" s="61"/>
      <c r="K16" s="61"/>
      <c r="L16" s="61"/>
      <c r="M16" s="59"/>
      <c r="N16" s="61"/>
      <c r="O16" s="61"/>
      <c r="P16" s="61"/>
      <c r="Q16" s="62"/>
      <c r="R16" s="49"/>
      <c r="S16" s="49"/>
    </row>
    <row r="17" spans="1:27" x14ac:dyDescent="0.25">
      <c r="A17" s="117" t="s">
        <v>221</v>
      </c>
      <c r="B17" s="71"/>
      <c r="C17" s="72"/>
      <c r="D17" s="61"/>
      <c r="E17" s="61"/>
      <c r="F17" s="61"/>
      <c r="G17" s="61"/>
      <c r="H17" s="61"/>
      <c r="I17" s="61"/>
      <c r="J17" s="61"/>
      <c r="K17" s="61"/>
      <c r="L17" s="61"/>
      <c r="M17" s="59"/>
      <c r="N17" s="61"/>
      <c r="O17" s="61"/>
      <c r="P17" s="61"/>
      <c r="Q17" s="62"/>
      <c r="R17" s="49"/>
      <c r="S17" s="49"/>
    </row>
    <row r="18" spans="1:27" x14ac:dyDescent="0.25">
      <c r="A18" s="59" t="s">
        <v>214</v>
      </c>
      <c r="B18" s="60">
        <f>NPV(+Invoerblad!E75,C14:Q14)*'Hulpberekeningen 2'!E36</f>
        <v>0</v>
      </c>
      <c r="C18" s="60"/>
      <c r="D18" s="61"/>
      <c r="E18" s="61"/>
      <c r="F18" s="61"/>
      <c r="G18" s="61"/>
      <c r="H18" s="61"/>
      <c r="I18" s="61"/>
      <c r="J18" s="61"/>
      <c r="K18" s="61"/>
      <c r="L18" s="61"/>
      <c r="M18" s="59"/>
      <c r="N18" s="61"/>
      <c r="O18" s="61"/>
      <c r="P18" s="61"/>
      <c r="Q18" s="62"/>
      <c r="R18" s="49"/>
      <c r="S18" s="49"/>
    </row>
    <row r="19" spans="1:27" x14ac:dyDescent="0.25">
      <c r="A19" s="59" t="s">
        <v>213</v>
      </c>
      <c r="B19" s="60">
        <f>NPV(+Invoerblad!E75,C15:Q15)*'Hulpberekeningen 2'!E36</f>
        <v>0</v>
      </c>
      <c r="C19" s="60"/>
      <c r="D19" s="61"/>
      <c r="E19" s="61"/>
      <c r="F19" s="61"/>
      <c r="G19" s="61"/>
      <c r="H19" s="61"/>
      <c r="I19" s="61"/>
      <c r="J19" s="61"/>
      <c r="K19" s="61"/>
      <c r="L19" s="61"/>
      <c r="M19" s="59"/>
      <c r="N19" s="61"/>
      <c r="O19" s="61"/>
      <c r="P19" s="61"/>
      <c r="Q19" s="62"/>
      <c r="R19" s="49"/>
      <c r="S19" s="49"/>
    </row>
    <row r="20" spans="1:27" ht="13.8" thickBot="1" x14ac:dyDescent="0.3">
      <c r="A20" s="73" t="s">
        <v>220</v>
      </c>
      <c r="B20" s="74">
        <f>SUM(B18:B19)</f>
        <v>0</v>
      </c>
      <c r="C20" s="75"/>
      <c r="D20" s="76"/>
      <c r="E20" s="76"/>
      <c r="F20" s="76"/>
      <c r="G20" s="76"/>
      <c r="H20" s="76"/>
      <c r="I20" s="76"/>
      <c r="J20" s="76"/>
      <c r="K20" s="76"/>
      <c r="L20" s="76"/>
      <c r="M20" s="73"/>
      <c r="N20" s="29"/>
      <c r="O20" s="29"/>
      <c r="P20" s="29"/>
      <c r="Q20" s="50"/>
      <c r="R20" s="49"/>
      <c r="S20" s="49"/>
    </row>
    <row r="21" spans="1:27" s="29" customFormat="1" ht="13.8" thickBot="1" x14ac:dyDescent="0.3">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row>
    <row r="22" spans="1:27" s="6" customFormat="1" x14ac:dyDescent="0.25">
      <c r="A22" s="118" t="s">
        <v>97</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row>
    <row r="23" spans="1:27" s="6" customFormat="1" x14ac:dyDescent="0.25">
      <c r="A23" s="230" t="s">
        <v>33</v>
      </c>
      <c r="B23" s="93">
        <v>10</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row>
    <row r="24" spans="1:27" s="6" customFormat="1" x14ac:dyDescent="0.25">
      <c r="A24" s="93" t="s">
        <v>225</v>
      </c>
      <c r="B24" s="97">
        <v>0.01</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row>
    <row r="25" spans="1:27" ht="26.4" x14ac:dyDescent="0.25">
      <c r="A25" s="487" t="s">
        <v>98</v>
      </c>
      <c r="B25" s="94">
        <f>+Invoerblad!E71</f>
        <v>0</v>
      </c>
      <c r="C25" s="70">
        <f>+IF(B25-(Invoerblad!$E$71/$B$23)&gt;0,B25-(Invoerblad!$E$71/$B$23),0)</f>
        <v>0</v>
      </c>
      <c r="D25" s="70">
        <f>+IF(C25-(Invoerblad!$E$71/$B$23)&gt;0,C25-(Invoerblad!$E$71/$B$23),0)</f>
        <v>0</v>
      </c>
      <c r="E25" s="70">
        <f>+IF(D25-(Invoerblad!$E$71/$B$23)&gt;0,D25-(Invoerblad!$E$71/$B$23),0)</f>
        <v>0</v>
      </c>
      <c r="F25" s="70">
        <f>+IF(E25-(Invoerblad!$E$71/$B$23)&gt;0,E25-(Invoerblad!$E$71/$B$23),0)</f>
        <v>0</v>
      </c>
      <c r="G25" s="70">
        <f>+IF(F25-(Invoerblad!$E$71/$B$23)&gt;0,F25-(Invoerblad!$E$71/$B$23),0)</f>
        <v>0</v>
      </c>
      <c r="H25" s="70">
        <f>+IF(G25-(Invoerblad!$E$71/$B$23)&gt;0,G25-(Invoerblad!$E$71/$B$23),0)</f>
        <v>0</v>
      </c>
      <c r="I25" s="70">
        <f>+IF(H25-(Invoerblad!$E$71/$B$23)&gt;0,H25-(Invoerblad!$E$71/$B$23),0)</f>
        <v>0</v>
      </c>
      <c r="J25" s="70">
        <f>+IF(I25-(Invoerblad!$E$71/$B$23)&gt;0,I25-(Invoerblad!$E$71/$B$23),0)</f>
        <v>0</v>
      </c>
      <c r="K25" s="70">
        <f>+IF(J25-(Invoerblad!$E$71/$B$23)&gt;0,J25-(Invoerblad!$E$71/$B$23),0)</f>
        <v>0</v>
      </c>
      <c r="L25" s="70">
        <f>+IF(K25-(Invoerblad!$E$71/$B$23)&gt;0,K25-(Invoerblad!$E$71/$B$23),0)</f>
        <v>0</v>
      </c>
      <c r="M25" s="70">
        <f>+IF(L25-(Invoerblad!$E$71/$B$23)&gt;0,L25-(Invoerblad!$E$71/$B$23),0)</f>
        <v>0</v>
      </c>
      <c r="N25" s="70">
        <f>+IF(M25-(Invoerblad!$E$71/$B$23)&gt;0,M25-(Invoerblad!$E$71/$B$23),0)</f>
        <v>0</v>
      </c>
      <c r="O25" s="70">
        <f>+IF(N25-(Invoerblad!$E$71/$B$23)&gt;0,N25-(Invoerblad!$E$71/$B$23),0)</f>
        <v>0</v>
      </c>
      <c r="P25" s="70">
        <f>+IF(O25-(Invoerblad!$E$71/$B$23)&gt;0,O25-(Invoerblad!$E$71/$B$23),0)</f>
        <v>0</v>
      </c>
      <c r="Q25" s="70">
        <f>+IF(P25-(Invoerblad!$E$71/$B$23)&gt;0,P25-(Invoerblad!$E$71/$B$23),0)</f>
        <v>0</v>
      </c>
      <c r="R25" s="77"/>
      <c r="S25" s="77"/>
      <c r="T25" s="77"/>
      <c r="U25" s="77"/>
      <c r="V25" s="77"/>
      <c r="W25" s="77"/>
      <c r="X25" s="77"/>
      <c r="Y25" s="77"/>
      <c r="Z25" s="77"/>
      <c r="AA25" s="77"/>
    </row>
    <row r="26" spans="1:27" x14ac:dyDescent="0.25">
      <c r="A26" s="93" t="s">
        <v>210</v>
      </c>
      <c r="B26" s="93"/>
      <c r="C26" s="317">
        <f>+C25*$B$24</f>
        <v>0</v>
      </c>
      <c r="D26" s="318">
        <f t="shared" ref="D26:L26" si="5">+D25*$B$24</f>
        <v>0</v>
      </c>
      <c r="E26" s="318">
        <f t="shared" si="5"/>
        <v>0</v>
      </c>
      <c r="F26" s="318">
        <f t="shared" si="5"/>
        <v>0</v>
      </c>
      <c r="G26" s="318">
        <f t="shared" si="5"/>
        <v>0</v>
      </c>
      <c r="H26" s="318">
        <f t="shared" si="5"/>
        <v>0</v>
      </c>
      <c r="I26" s="318">
        <f t="shared" si="5"/>
        <v>0</v>
      </c>
      <c r="J26" s="318">
        <f t="shared" si="5"/>
        <v>0</v>
      </c>
      <c r="K26" s="318">
        <f t="shared" si="5"/>
        <v>0</v>
      </c>
      <c r="L26" s="319">
        <f t="shared" si="5"/>
        <v>0</v>
      </c>
      <c r="M26" s="94"/>
      <c r="N26" s="94"/>
      <c r="O26" s="94"/>
      <c r="P26" s="94"/>
      <c r="Q26" s="94"/>
      <c r="R26" s="77"/>
      <c r="S26" s="77"/>
      <c r="T26" s="77"/>
      <c r="U26" s="77"/>
      <c r="V26" s="77"/>
      <c r="W26" s="77"/>
      <c r="X26" s="77"/>
      <c r="Y26" s="77"/>
      <c r="Z26" s="77"/>
      <c r="AA26" s="77"/>
    </row>
    <row r="27" spans="1:27" x14ac:dyDescent="0.25">
      <c r="A27" s="93"/>
      <c r="B27" s="93"/>
      <c r="C27" s="94"/>
      <c r="D27" s="94"/>
      <c r="E27" s="94"/>
      <c r="F27" s="94"/>
      <c r="G27" s="94"/>
      <c r="H27" s="94"/>
      <c r="I27" s="94"/>
      <c r="J27" s="94"/>
      <c r="K27" s="94"/>
      <c r="L27" s="94"/>
      <c r="M27" s="94"/>
      <c r="N27" s="94"/>
      <c r="O27" s="94"/>
      <c r="P27" s="94"/>
      <c r="Q27" s="94"/>
      <c r="R27" s="77"/>
      <c r="S27" s="77"/>
      <c r="T27" s="77"/>
      <c r="U27" s="77"/>
      <c r="V27" s="77"/>
      <c r="W27" s="77"/>
      <c r="X27" s="77"/>
      <c r="Y27" s="77"/>
      <c r="Z27" s="77"/>
      <c r="AA27" s="77"/>
    </row>
    <row r="28" spans="1:27" x14ac:dyDescent="0.25">
      <c r="A28" s="93"/>
      <c r="B28" s="95"/>
      <c r="C28" s="93"/>
      <c r="D28" s="93"/>
      <c r="E28" s="93"/>
      <c r="F28" s="93"/>
      <c r="G28" s="93"/>
      <c r="H28" s="93"/>
      <c r="I28" s="93"/>
      <c r="J28" s="93"/>
      <c r="K28" s="93"/>
      <c r="L28" s="93"/>
      <c r="M28" s="93"/>
      <c r="N28" s="93"/>
      <c r="O28" s="93"/>
      <c r="P28" s="93"/>
      <c r="Q28" s="93"/>
      <c r="R28" s="77"/>
      <c r="S28" s="77"/>
      <c r="T28" s="77"/>
      <c r="U28" s="77"/>
      <c r="V28" s="77"/>
      <c r="W28" s="77"/>
      <c r="X28" s="77"/>
      <c r="Y28" s="77"/>
      <c r="Z28" s="77"/>
      <c r="AA28" s="77"/>
    </row>
    <row r="29" spans="1:27" x14ac:dyDescent="0.25">
      <c r="A29" s="118" t="s">
        <v>221</v>
      </c>
      <c r="B29" s="96">
        <f>NPV(Invoerblad!$E$75,C26:L26)</f>
        <v>0</v>
      </c>
      <c r="C29" s="118" t="s">
        <v>96</v>
      </c>
      <c r="D29" s="320"/>
      <c r="E29" s="93"/>
      <c r="F29" s="93"/>
      <c r="G29" s="93"/>
      <c r="H29" s="93"/>
      <c r="I29" s="93"/>
      <c r="J29" s="93"/>
      <c r="K29" s="93"/>
      <c r="L29" s="93"/>
      <c r="M29" s="93"/>
      <c r="N29" s="93"/>
      <c r="O29" s="93"/>
      <c r="P29" s="93"/>
      <c r="Q29" s="93"/>
      <c r="R29" s="77"/>
      <c r="S29" s="77"/>
      <c r="T29" s="77"/>
      <c r="U29" s="77"/>
      <c r="V29" s="77"/>
      <c r="W29" s="77"/>
      <c r="X29" s="77"/>
      <c r="Y29" s="77"/>
      <c r="Z29" s="77"/>
      <c r="AA29" s="77"/>
    </row>
    <row r="30" spans="1:27" x14ac:dyDescent="0.25">
      <c r="A30" s="93"/>
      <c r="B30" s="93"/>
      <c r="C30" s="320"/>
      <c r="D30" s="320"/>
      <c r="E30" s="93"/>
      <c r="F30" s="93"/>
      <c r="G30" s="93"/>
      <c r="H30" s="93"/>
      <c r="I30" s="93"/>
      <c r="J30" s="93"/>
      <c r="K30" s="93"/>
      <c r="L30" s="93"/>
      <c r="M30" s="93"/>
      <c r="N30" s="93"/>
      <c r="O30" s="93"/>
      <c r="P30" s="93"/>
      <c r="Q30" s="93"/>
      <c r="R30" s="77"/>
      <c r="S30" s="77"/>
      <c r="T30" s="77"/>
      <c r="U30" s="77"/>
      <c r="V30" s="77"/>
      <c r="W30" s="77"/>
      <c r="X30" s="77"/>
      <c r="Y30" s="77"/>
      <c r="Z30" s="77"/>
      <c r="AA30" s="77"/>
    </row>
    <row r="31" spans="1:27" x14ac:dyDescent="0.25">
      <c r="A31" s="77"/>
      <c r="B31" s="77"/>
      <c r="C31" s="320"/>
      <c r="D31" s="320"/>
      <c r="E31" s="77"/>
      <c r="F31" s="77"/>
      <c r="G31" s="77"/>
      <c r="H31" s="77"/>
      <c r="I31" s="77"/>
      <c r="J31" s="77"/>
      <c r="K31" s="77"/>
      <c r="L31" s="77"/>
      <c r="M31" s="77"/>
      <c r="N31" s="77"/>
      <c r="O31" s="77"/>
      <c r="P31" s="77"/>
      <c r="Q31" s="77"/>
      <c r="R31" s="77"/>
      <c r="S31" s="77"/>
      <c r="T31" s="77"/>
      <c r="U31" s="77"/>
      <c r="V31" s="77"/>
      <c r="W31" s="77"/>
      <c r="X31" s="77"/>
      <c r="Y31" s="77"/>
      <c r="Z31" s="77"/>
      <c r="AA31" s="77"/>
    </row>
    <row r="32" spans="1:27" x14ac:dyDescent="0.25">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row>
    <row r="33" spans="1:27" x14ac:dyDescent="0.25">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row>
    <row r="34" spans="1:27" x14ac:dyDescent="0.2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row>
    <row r="35" spans="1:27" x14ac:dyDescent="0.25">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row>
    <row r="36" spans="1:27" x14ac:dyDescent="0.25">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row>
    <row r="37" spans="1:27" x14ac:dyDescent="0.25">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row>
    <row r="38" spans="1:27" x14ac:dyDescent="0.25">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row>
    <row r="39" spans="1:27" x14ac:dyDescent="0.25">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row>
    <row r="40" spans="1:27" x14ac:dyDescent="0.25">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row>
    <row r="41" spans="1:27" x14ac:dyDescent="0.25">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row>
    <row r="42" spans="1:27" x14ac:dyDescent="0.25">
      <c r="A42" s="77"/>
      <c r="B42" s="77"/>
      <c r="C42" s="60"/>
      <c r="D42" s="60"/>
      <c r="E42" s="60"/>
      <c r="F42" s="60"/>
      <c r="G42" s="60"/>
      <c r="H42" s="60"/>
      <c r="I42" s="60"/>
      <c r="J42" s="60"/>
      <c r="K42" s="60"/>
      <c r="L42" s="60"/>
      <c r="M42" s="60"/>
      <c r="N42" s="37"/>
      <c r="O42" s="37"/>
      <c r="P42" s="38"/>
      <c r="Q42" s="38"/>
      <c r="R42" s="38"/>
      <c r="S42" s="38"/>
    </row>
    <row r="43" spans="1:27" x14ac:dyDescent="0.25">
      <c r="A43" s="77"/>
      <c r="B43" s="77"/>
      <c r="C43" s="60"/>
      <c r="D43" s="60"/>
      <c r="E43" s="60"/>
      <c r="F43" s="60"/>
      <c r="G43" s="60"/>
      <c r="H43" s="60"/>
      <c r="I43" s="60"/>
      <c r="J43" s="60"/>
      <c r="K43" s="60"/>
      <c r="L43" s="60"/>
      <c r="M43" s="60"/>
      <c r="N43" s="37"/>
      <c r="O43" s="6"/>
    </row>
    <row r="44" spans="1:27" x14ac:dyDescent="0.25">
      <c r="A44" s="77"/>
      <c r="B44" s="77"/>
      <c r="C44" s="60"/>
      <c r="D44" s="60"/>
      <c r="E44" s="60"/>
      <c r="F44" s="60"/>
      <c r="G44" s="60"/>
      <c r="H44" s="60"/>
      <c r="I44" s="60"/>
      <c r="J44" s="60"/>
      <c r="K44" s="60"/>
      <c r="L44" s="60"/>
      <c r="M44" s="60"/>
      <c r="N44" s="37"/>
      <c r="O44" s="6"/>
    </row>
    <row r="45" spans="1:27" x14ac:dyDescent="0.25">
      <c r="A45" s="77"/>
      <c r="B45" s="77"/>
      <c r="C45" s="60"/>
      <c r="D45" s="60"/>
      <c r="E45" s="60"/>
      <c r="F45" s="60"/>
      <c r="G45" s="60"/>
      <c r="H45" s="60"/>
      <c r="I45" s="60"/>
      <c r="J45" s="60"/>
      <c r="K45" s="60"/>
      <c r="L45" s="60"/>
      <c r="M45" s="60"/>
      <c r="N45" s="37"/>
      <c r="O45" s="6"/>
    </row>
    <row r="46" spans="1:27" x14ac:dyDescent="0.25">
      <c r="A46" s="61"/>
      <c r="B46" s="60"/>
      <c r="C46" s="60"/>
      <c r="D46" s="60"/>
      <c r="E46" s="60"/>
      <c r="F46" s="60"/>
      <c r="G46" s="60"/>
      <c r="H46" s="60"/>
      <c r="I46" s="60"/>
      <c r="J46" s="60"/>
      <c r="K46" s="60"/>
      <c r="L46" s="78"/>
      <c r="M46" s="60"/>
      <c r="N46" s="37"/>
      <c r="O46" s="6"/>
    </row>
    <row r="47" spans="1:27" x14ac:dyDescent="0.25">
      <c r="A47" s="61"/>
      <c r="B47" s="60"/>
      <c r="C47" s="60"/>
      <c r="D47" s="60"/>
      <c r="E47" s="60"/>
      <c r="F47" s="60"/>
      <c r="G47" s="60"/>
      <c r="H47" s="60"/>
      <c r="I47" s="60"/>
      <c r="J47" s="60"/>
      <c r="K47" s="60"/>
      <c r="L47" s="60"/>
      <c r="M47" s="60"/>
      <c r="N47" s="37"/>
      <c r="O47" s="6"/>
    </row>
    <row r="48" spans="1:27" x14ac:dyDescent="0.25">
      <c r="A48" s="61"/>
      <c r="B48" s="60"/>
      <c r="C48" s="60"/>
      <c r="D48" s="60"/>
      <c r="E48" s="60"/>
      <c r="F48" s="60"/>
      <c r="G48" s="60"/>
      <c r="H48" s="60"/>
      <c r="I48" s="60"/>
      <c r="J48" s="60"/>
      <c r="K48" s="60"/>
      <c r="L48" s="60"/>
      <c r="M48" s="60"/>
      <c r="N48" s="37"/>
      <c r="O48" s="6"/>
    </row>
    <row r="49" spans="1:15" x14ac:dyDescent="0.25">
      <c r="A49" s="61"/>
      <c r="B49" s="60"/>
      <c r="C49" s="60"/>
      <c r="D49" s="60"/>
      <c r="E49" s="60"/>
      <c r="F49" s="60"/>
      <c r="G49" s="60"/>
      <c r="H49" s="60"/>
      <c r="I49" s="60"/>
      <c r="J49" s="60"/>
      <c r="K49" s="60"/>
      <c r="L49" s="60"/>
      <c r="M49" s="60"/>
      <c r="N49" s="37"/>
      <c r="O49" s="6"/>
    </row>
    <row r="50" spans="1:15" x14ac:dyDescent="0.25">
      <c r="A50" s="61"/>
      <c r="B50" s="60"/>
      <c r="C50" s="60"/>
      <c r="D50" s="60"/>
      <c r="E50" s="60"/>
      <c r="F50" s="60"/>
      <c r="G50" s="60"/>
      <c r="H50" s="60"/>
      <c r="I50" s="60"/>
      <c r="J50" s="60"/>
      <c r="K50" s="60"/>
      <c r="L50" s="60"/>
      <c r="M50" s="60"/>
      <c r="N50" s="37"/>
      <c r="O50" s="6"/>
    </row>
    <row r="51" spans="1:15" x14ac:dyDescent="0.25">
      <c r="A51" s="61"/>
      <c r="B51" s="60"/>
      <c r="C51" s="60"/>
      <c r="D51" s="60"/>
      <c r="E51" s="60"/>
      <c r="F51" s="60"/>
      <c r="G51" s="60"/>
      <c r="H51" s="60"/>
      <c r="I51" s="60"/>
      <c r="J51" s="60"/>
      <c r="K51" s="60"/>
      <c r="L51" s="60"/>
      <c r="M51" s="60"/>
      <c r="N51" s="37"/>
      <c r="O51" s="6"/>
    </row>
    <row r="52" spans="1:15" x14ac:dyDescent="0.25">
      <c r="A52" s="61"/>
      <c r="B52" s="60"/>
      <c r="C52" s="60"/>
      <c r="D52" s="60"/>
      <c r="E52" s="60"/>
      <c r="F52" s="60"/>
      <c r="G52" s="60"/>
      <c r="H52" s="60"/>
      <c r="I52" s="60"/>
      <c r="J52" s="60"/>
      <c r="K52" s="60"/>
      <c r="L52" s="60"/>
      <c r="M52" s="60"/>
      <c r="N52" s="37"/>
      <c r="O52" s="6"/>
    </row>
    <row r="53" spans="1:15" x14ac:dyDescent="0.25">
      <c r="A53" s="61"/>
      <c r="B53" s="60"/>
      <c r="C53" s="60"/>
      <c r="D53" s="60"/>
      <c r="E53" s="60"/>
      <c r="F53" s="60"/>
      <c r="G53" s="60"/>
      <c r="H53" s="60"/>
      <c r="I53" s="60"/>
      <c r="J53" s="60"/>
      <c r="K53" s="60"/>
      <c r="L53" s="60"/>
      <c r="M53" s="60"/>
      <c r="N53" s="37"/>
      <c r="O53" s="6"/>
    </row>
    <row r="54" spans="1:15" x14ac:dyDescent="0.25">
      <c r="A54" s="61"/>
      <c r="B54" s="60"/>
      <c r="C54" s="60"/>
      <c r="D54" s="60"/>
      <c r="E54" s="60"/>
      <c r="F54" s="60"/>
      <c r="G54" s="60"/>
      <c r="H54" s="60"/>
      <c r="I54" s="60"/>
      <c r="J54" s="60"/>
      <c r="K54" s="60"/>
      <c r="L54" s="60"/>
      <c r="M54" s="60"/>
      <c r="N54" s="37"/>
      <c r="O54" s="6"/>
    </row>
    <row r="55" spans="1:15" x14ac:dyDescent="0.25">
      <c r="A55" s="61"/>
      <c r="B55" s="60"/>
      <c r="C55" s="60"/>
      <c r="D55" s="60"/>
      <c r="E55" s="60"/>
      <c r="F55" s="60"/>
      <c r="G55" s="60"/>
      <c r="H55" s="60"/>
      <c r="I55" s="60"/>
      <c r="J55" s="60"/>
      <c r="K55" s="60"/>
      <c r="L55" s="60"/>
      <c r="M55" s="60"/>
      <c r="N55" s="37"/>
      <c r="O55" s="6"/>
    </row>
    <row r="56" spans="1:15" x14ac:dyDescent="0.25">
      <c r="A56" s="61"/>
      <c r="B56" s="60"/>
      <c r="C56" s="60"/>
      <c r="D56" s="60"/>
      <c r="E56" s="60"/>
      <c r="F56" s="60"/>
      <c r="G56" s="60"/>
      <c r="H56" s="60"/>
      <c r="I56" s="60"/>
      <c r="J56" s="60"/>
      <c r="K56" s="60"/>
      <c r="L56" s="60"/>
      <c r="M56" s="60"/>
      <c r="N56" s="37"/>
      <c r="O56" s="6"/>
    </row>
    <row r="57" spans="1:15" x14ac:dyDescent="0.25">
      <c r="A57" s="61"/>
      <c r="B57" s="60"/>
      <c r="C57" s="60"/>
      <c r="D57" s="60"/>
      <c r="E57" s="60"/>
      <c r="F57" s="60"/>
      <c r="G57" s="60"/>
      <c r="H57" s="60"/>
      <c r="I57" s="60"/>
      <c r="J57" s="60"/>
      <c r="K57" s="60"/>
      <c r="L57" s="60"/>
      <c r="M57" s="60"/>
      <c r="N57" s="37"/>
      <c r="O57" s="6"/>
    </row>
    <row r="58" spans="1:15" x14ac:dyDescent="0.25">
      <c r="A58" s="61"/>
      <c r="B58" s="79"/>
      <c r="C58" s="79"/>
      <c r="D58" s="79"/>
      <c r="E58" s="79"/>
      <c r="F58" s="79"/>
      <c r="G58" s="79"/>
      <c r="H58" s="79"/>
      <c r="I58" s="79"/>
      <c r="J58" s="79"/>
      <c r="K58" s="79"/>
      <c r="L58" s="78"/>
      <c r="M58" s="79"/>
      <c r="N58" s="37"/>
      <c r="O58" s="6"/>
    </row>
    <row r="59" spans="1:15" x14ac:dyDescent="0.25">
      <c r="A59" s="61"/>
      <c r="B59" s="61"/>
      <c r="C59" s="61"/>
      <c r="D59" s="61"/>
      <c r="E59" s="61"/>
      <c r="F59" s="61"/>
      <c r="G59" s="61"/>
      <c r="H59" s="61"/>
      <c r="I59" s="61"/>
      <c r="J59" s="61"/>
      <c r="K59" s="61"/>
      <c r="L59" s="80"/>
      <c r="M59" s="61"/>
      <c r="N59" s="37"/>
      <c r="O59" s="6"/>
    </row>
    <row r="60" spans="1:15" x14ac:dyDescent="0.25">
      <c r="A60" s="37"/>
      <c r="B60" s="37"/>
      <c r="C60" s="37"/>
      <c r="D60" s="37"/>
      <c r="E60" s="37"/>
      <c r="F60" s="37"/>
      <c r="G60" s="37"/>
      <c r="H60" s="37"/>
      <c r="I60" s="37"/>
      <c r="J60" s="37"/>
      <c r="K60" s="37"/>
      <c r="L60" s="37"/>
      <c r="M60" s="37"/>
      <c r="N60" s="37"/>
      <c r="O60" s="6"/>
    </row>
  </sheetData>
  <customSheetViews>
    <customSheetView guid="{D98A0717-74D0-4F54-BB8F-A337A1A9E4DF}" fitToPage="1" showRuler="0">
      <selection activeCell="E20" sqref="E20"/>
      <pageMargins left="0.75" right="0.75" top="1" bottom="1" header="0.5" footer="0.5"/>
      <pageSetup paperSize="9" scale="47" orientation="landscape"/>
      <headerFooter alignWithMargins="0"/>
    </customSheetView>
    <customSheetView guid="{5D986420-B83B-47C8-8160-784F77FFC196}" fitToPage="1" showRuler="0" topLeftCell="A4">
      <selection activeCell="C31" sqref="C31"/>
      <pageMargins left="0.75" right="0.75" top="1" bottom="1" header="0.5" footer="0.5"/>
      <pageSetup paperSize="9" scale="47" orientation="landscape"/>
      <headerFooter alignWithMargins="0"/>
    </customSheetView>
    <customSheetView guid="{C9029B8D-126A-43F1-8BE9-BB8A7DE12FBF}" fitToPage="1" showRuler="0">
      <selection activeCell="E20" sqref="E20"/>
      <pageMargins left="0.75" right="0.75" top="1" bottom="1" header="0.5" footer="0.5"/>
      <pageSetup paperSize="9" scale="47" orientation="landscape"/>
      <headerFooter alignWithMargins="0"/>
    </customSheetView>
    <customSheetView guid="{4284377C-91E6-4152-887E-8DA87560FDD6}" fitToPage="1" showRuler="0">
      <selection activeCell="E20" sqref="E20"/>
      <pageMargins left="0.75" right="0.75" top="1" bottom="1" header="0.5" footer="0.5"/>
      <pageSetup paperSize="9" scale="47" orientation="landscape"/>
      <headerFooter alignWithMargins="0"/>
    </customSheetView>
    <customSheetView guid="{546B9E27-05F9-47A7-B161-BCC56D613799}" fitToPage="1" showRuler="0">
      <selection activeCell="E20" sqref="E20"/>
      <pageMargins left="0.75" right="0.75" top="1" bottom="1" header="0.5" footer="0.5"/>
      <pageSetup paperSize="9" scale="47" orientation="landscape"/>
      <headerFooter alignWithMargins="0"/>
    </customSheetView>
  </customSheetViews>
  <phoneticPr fontId="0" type="noConversion"/>
  <pageMargins left="0.75" right="0.75" top="1" bottom="1" header="0.5" footer="0.5"/>
  <pageSetup paperSize="9" scale="47"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A1:R15"/>
  <sheetViews>
    <sheetView workbookViewId="0">
      <selection activeCell="C17" sqref="C17"/>
    </sheetView>
  </sheetViews>
  <sheetFormatPr defaultRowHeight="13.2" x14ac:dyDescent="0.25"/>
  <cols>
    <col min="1" max="1" width="63.6640625" bestFit="1" customWidth="1"/>
    <col min="3" max="3" width="14.109375" bestFit="1" customWidth="1"/>
    <col min="4" max="18" width="13" bestFit="1" customWidth="1"/>
  </cols>
  <sheetData>
    <row r="1" spans="1:18" ht="17.399999999999999" x14ac:dyDescent="0.3">
      <c r="A1" s="302" t="s">
        <v>35</v>
      </c>
    </row>
    <row r="3" spans="1:18" x14ac:dyDescent="0.25">
      <c r="A3" t="s">
        <v>191</v>
      </c>
    </row>
    <row r="4" spans="1:18" x14ac:dyDescent="0.25">
      <c r="A4" t="s">
        <v>333</v>
      </c>
      <c r="B4" s="189">
        <f>Invoerblad!E48</f>
        <v>0</v>
      </c>
    </row>
    <row r="5" spans="1:18" x14ac:dyDescent="0.25">
      <c r="C5" t="s">
        <v>189</v>
      </c>
    </row>
    <row r="6" spans="1:18" x14ac:dyDescent="0.25">
      <c r="C6">
        <v>1</v>
      </c>
      <c r="D6">
        <v>2</v>
      </c>
      <c r="E6">
        <v>3</v>
      </c>
      <c r="F6">
        <v>4</v>
      </c>
      <c r="G6">
        <v>5</v>
      </c>
      <c r="H6">
        <v>6</v>
      </c>
      <c r="I6">
        <v>7</v>
      </c>
      <c r="J6">
        <v>8</v>
      </c>
      <c r="K6">
        <v>9</v>
      </c>
      <c r="L6">
        <v>10</v>
      </c>
      <c r="M6">
        <v>11</v>
      </c>
      <c r="N6">
        <v>12</v>
      </c>
      <c r="O6">
        <v>13</v>
      </c>
      <c r="P6">
        <v>14</v>
      </c>
      <c r="Q6">
        <v>15</v>
      </c>
      <c r="R6">
        <v>16</v>
      </c>
    </row>
    <row r="7" spans="1:18" x14ac:dyDescent="0.25">
      <c r="A7" t="s">
        <v>211</v>
      </c>
      <c r="C7" s="7">
        <f>Invoerblad!$E$54/'Hulpberekeningen 2'!$E$1*'Hulpberekeningen 2'!E24</f>
        <v>0</v>
      </c>
      <c r="D7" s="7">
        <f>Invoerblad!$E$54/'Hulpberekeningen 2'!$E$1*'Hulpberekeningen 2'!F24</f>
        <v>0</v>
      </c>
      <c r="E7" s="7">
        <f>Invoerblad!$E$54/'Hulpberekeningen 2'!$E$1*'Hulpberekeningen 2'!G24</f>
        <v>0</v>
      </c>
      <c r="F7" s="7">
        <f>Invoerblad!$E$54/'Hulpberekeningen 2'!$E$1*'Hulpberekeningen 2'!H24</f>
        <v>0</v>
      </c>
      <c r="G7" s="7">
        <f>Invoerblad!$E$54/'Hulpberekeningen 2'!$E$1*'Hulpberekeningen 2'!I24</f>
        <v>0</v>
      </c>
      <c r="H7" s="7">
        <f>Invoerblad!$E$54/'Hulpberekeningen 2'!$E$1*'Hulpberekeningen 2'!J24</f>
        <v>0</v>
      </c>
      <c r="I7" s="7">
        <f>Invoerblad!$E$54/'Hulpberekeningen 2'!$E$1*'Hulpberekeningen 2'!K24</f>
        <v>0</v>
      </c>
      <c r="J7" s="7">
        <f>Invoerblad!$E$54/'Hulpberekeningen 2'!$E$1*'Hulpberekeningen 2'!L24</f>
        <v>0</v>
      </c>
      <c r="K7" s="7">
        <f>Invoerblad!$E$54/'Hulpberekeningen 2'!$E$1*'Hulpberekeningen 2'!M24</f>
        <v>0</v>
      </c>
      <c r="L7" s="7">
        <f>Invoerblad!$E$54/'Hulpberekeningen 2'!$E$1*'Hulpberekeningen 2'!N24</f>
        <v>0</v>
      </c>
      <c r="M7" s="7">
        <f>Invoerblad!$E$54/'Hulpberekeningen 2'!$E$1*'Hulpberekeningen 2'!O24</f>
        <v>0</v>
      </c>
      <c r="N7" s="7">
        <f>Invoerblad!$E$54/'Hulpberekeningen 2'!$E$1*'Hulpberekeningen 2'!P24</f>
        <v>0</v>
      </c>
      <c r="O7" s="7">
        <f>Invoerblad!$E$54/'Hulpberekeningen 2'!$E$1*'Hulpberekeningen 2'!Q24</f>
        <v>0</v>
      </c>
      <c r="P7" s="7">
        <f>Invoerblad!$E$54/'Hulpberekeningen 2'!$E$1*'Hulpberekeningen 2'!R24</f>
        <v>0</v>
      </c>
      <c r="Q7" s="7">
        <f>Invoerblad!$E$54/'Hulpberekeningen 2'!$E$1*'Hulpberekeningen 2'!S24</f>
        <v>0</v>
      </c>
      <c r="R7" s="7">
        <f>Invoerblad!$E$54/'Hulpberekeningen 2'!$E$1*'Hulpberekeningen 2'!T24</f>
        <v>0</v>
      </c>
    </row>
    <row r="8" spans="1:18" x14ac:dyDescent="0.25">
      <c r="A8" t="s">
        <v>190</v>
      </c>
      <c r="C8" s="7">
        <f>+Invoerblad!K54</f>
        <v>0</v>
      </c>
      <c r="D8" s="7">
        <f>+Invoerblad!L54</f>
        <v>0</v>
      </c>
      <c r="E8" s="7">
        <f>+Invoerblad!M54</f>
        <v>0</v>
      </c>
      <c r="F8" s="7">
        <f>+Invoerblad!N54</f>
        <v>0</v>
      </c>
      <c r="G8" s="7">
        <f>+Invoerblad!O54</f>
        <v>0</v>
      </c>
      <c r="H8" s="7">
        <f>+Invoerblad!P54</f>
        <v>0</v>
      </c>
      <c r="I8" s="7">
        <f>+Invoerblad!Q54</f>
        <v>0</v>
      </c>
      <c r="J8" s="7">
        <f>+Invoerblad!R54</f>
        <v>0</v>
      </c>
      <c r="K8" s="7">
        <f>+Invoerblad!S54</f>
        <v>0</v>
      </c>
      <c r="L8" s="7">
        <f>+Invoerblad!T54</f>
        <v>0</v>
      </c>
      <c r="M8" s="7">
        <f>+Invoerblad!U54</f>
        <v>0</v>
      </c>
      <c r="N8" s="7">
        <f>+Invoerblad!V54</f>
        <v>0</v>
      </c>
      <c r="O8" s="7">
        <f>+Invoerblad!W54</f>
        <v>0</v>
      </c>
      <c r="P8" s="7">
        <f>+Invoerblad!X54</f>
        <v>0</v>
      </c>
      <c r="Q8" s="7">
        <f>+Invoerblad!Y54</f>
        <v>0</v>
      </c>
      <c r="R8" s="7">
        <f>+Invoerblad!Z54</f>
        <v>0</v>
      </c>
    </row>
    <row r="9" spans="1:18" x14ac:dyDescent="0.25">
      <c r="C9" s="7"/>
      <c r="D9" s="7"/>
      <c r="E9" s="7"/>
      <c r="F9" s="7"/>
      <c r="G9" s="7"/>
      <c r="H9" s="7"/>
      <c r="I9" s="7"/>
      <c r="J9" s="7"/>
      <c r="K9" s="7"/>
      <c r="L9" s="7"/>
      <c r="M9" s="7"/>
      <c r="N9" s="7"/>
      <c r="O9" s="7"/>
      <c r="P9" s="7"/>
      <c r="Q9" s="7"/>
      <c r="R9" s="7"/>
    </row>
    <row r="10" spans="1:18" x14ac:dyDescent="0.25">
      <c r="A10" t="s">
        <v>192</v>
      </c>
      <c r="C10" s="7">
        <f>+C8-C7</f>
        <v>0</v>
      </c>
      <c r="D10" s="7">
        <f t="shared" ref="D10:L10" si="0">+D8-D7</f>
        <v>0</v>
      </c>
      <c r="E10" s="7">
        <f t="shared" si="0"/>
        <v>0</v>
      </c>
      <c r="F10" s="7">
        <f t="shared" si="0"/>
        <v>0</v>
      </c>
      <c r="G10" s="7">
        <f t="shared" si="0"/>
        <v>0</v>
      </c>
      <c r="H10" s="7">
        <f t="shared" si="0"/>
        <v>0</v>
      </c>
      <c r="I10" s="7">
        <f t="shared" si="0"/>
        <v>0</v>
      </c>
      <c r="J10" s="7">
        <f t="shared" si="0"/>
        <v>0</v>
      </c>
      <c r="K10" s="7">
        <f t="shared" si="0"/>
        <v>0</v>
      </c>
      <c r="L10" s="7">
        <f t="shared" si="0"/>
        <v>0</v>
      </c>
      <c r="M10" s="7">
        <f t="shared" ref="M10:R10" si="1">+M8-M7</f>
        <v>0</v>
      </c>
      <c r="N10" s="7">
        <f t="shared" si="1"/>
        <v>0</v>
      </c>
      <c r="O10" s="7">
        <f t="shared" si="1"/>
        <v>0</v>
      </c>
      <c r="P10" s="7">
        <f t="shared" si="1"/>
        <v>0</v>
      </c>
      <c r="Q10" s="7">
        <f t="shared" si="1"/>
        <v>0</v>
      </c>
      <c r="R10" s="7">
        <f t="shared" si="1"/>
        <v>0</v>
      </c>
    </row>
    <row r="11" spans="1:18" x14ac:dyDescent="0.25">
      <c r="C11" s="7"/>
      <c r="D11" s="7"/>
      <c r="E11" s="7"/>
      <c r="F11" s="7"/>
      <c r="G11" s="7"/>
      <c r="H11" s="7"/>
      <c r="I11" s="7"/>
      <c r="J11" s="7"/>
      <c r="K11" s="7"/>
      <c r="L11" s="7"/>
      <c r="M11" s="7"/>
      <c r="N11" s="7"/>
      <c r="O11" s="7"/>
      <c r="P11" s="7"/>
      <c r="Q11" s="7"/>
      <c r="R11" s="7"/>
    </row>
    <row r="12" spans="1:18" x14ac:dyDescent="0.25">
      <c r="A12" t="s">
        <v>193</v>
      </c>
      <c r="C12" s="7">
        <f>+C10*Invoerblad!$E$48</f>
        <v>0</v>
      </c>
      <c r="D12" s="7">
        <f>+D10*Invoerblad!$E$48</f>
        <v>0</v>
      </c>
      <c r="E12" s="7">
        <f>+E10*Invoerblad!$E$48</f>
        <v>0</v>
      </c>
      <c r="F12" s="7">
        <f>+F10*Invoerblad!$E$48</f>
        <v>0</v>
      </c>
      <c r="G12" s="7">
        <f>+G10*Invoerblad!$E$48</f>
        <v>0</v>
      </c>
      <c r="H12" s="7">
        <f>+H10*Invoerblad!$E$48</f>
        <v>0</v>
      </c>
      <c r="I12" s="7">
        <f>+I10*Invoerblad!$E$48</f>
        <v>0</v>
      </c>
      <c r="J12" s="7">
        <f>+J10*Invoerblad!$E$48</f>
        <v>0</v>
      </c>
      <c r="K12" s="7">
        <f>+K10*Invoerblad!$E$48</f>
        <v>0</v>
      </c>
      <c r="L12" s="7">
        <f>+L10*Invoerblad!$E$48</f>
        <v>0</v>
      </c>
      <c r="M12" s="7">
        <f>+M10*Invoerblad!$E$48</f>
        <v>0</v>
      </c>
      <c r="N12" s="7">
        <f>+N10*Invoerblad!$E$48</f>
        <v>0</v>
      </c>
      <c r="O12" s="7">
        <f>+O10*Invoerblad!$E$48</f>
        <v>0</v>
      </c>
      <c r="P12" s="7">
        <f>+P10*Invoerblad!$E$48</f>
        <v>0</v>
      </c>
      <c r="Q12" s="7">
        <f>+Q10*Invoerblad!$E$48</f>
        <v>0</v>
      </c>
      <c r="R12" s="7">
        <f>+R10*Invoerblad!$E$48</f>
        <v>0</v>
      </c>
    </row>
    <row r="13" spans="1:18" ht="13.8" thickBot="1" x14ac:dyDescent="0.3"/>
    <row r="14" spans="1:18" ht="13.8" thickBot="1" x14ac:dyDescent="0.3">
      <c r="A14" t="s">
        <v>168</v>
      </c>
      <c r="C14" s="48">
        <f>NPV(Invoerblad!$E$75,C12:R12)*'Hulpberekeningen 2'!E36</f>
        <v>0</v>
      </c>
    </row>
    <row r="15" spans="1:18" x14ac:dyDescent="0.25">
      <c r="A15" t="s">
        <v>230</v>
      </c>
      <c r="C15" s="84" t="e">
        <f>+C14/(Invoerblad!$E$54-Invoerblad!$E$44)</f>
        <v>#DIV/0!</v>
      </c>
    </row>
  </sheetData>
  <customSheetViews>
    <customSheetView guid="{D98A0717-74D0-4F54-BB8F-A337A1A9E4DF}" fitToPage="1" showRuler="0">
      <selection activeCell="A20" sqref="A20:A21"/>
      <pageMargins left="0.75" right="0.75" top="1" bottom="1" header="0.5" footer="0.5"/>
      <pageSetup paperSize="9" scale="70" orientation="landscape"/>
      <headerFooter alignWithMargins="0"/>
    </customSheetView>
    <customSheetView guid="{5D986420-B83B-47C8-8160-784F77FFC196}" fitToPage="1" showRuler="0">
      <selection activeCell="A20" sqref="A20:A21"/>
      <pageMargins left="0.75" right="0.75" top="1" bottom="1" header="0.5" footer="0.5"/>
      <pageSetup paperSize="9" scale="70" orientation="landscape"/>
      <headerFooter alignWithMargins="0"/>
    </customSheetView>
    <customSheetView guid="{C9029B8D-126A-43F1-8BE9-BB8A7DE12FBF}" fitToPage="1" showRuler="0">
      <selection activeCell="A20" sqref="A20:A21"/>
      <pageMargins left="0.75" right="0.75" top="1" bottom="1" header="0.5" footer="0.5"/>
      <pageSetup paperSize="9" scale="70" orientation="landscape"/>
      <headerFooter alignWithMargins="0"/>
    </customSheetView>
    <customSheetView guid="{4284377C-91E6-4152-887E-8DA87560FDD6}" fitToPage="1" showRuler="0">
      <selection activeCell="A20" sqref="A20:A21"/>
      <pageMargins left="0.75" right="0.75" top="1" bottom="1" header="0.5" footer="0.5"/>
      <pageSetup paperSize="9" scale="70" orientation="landscape"/>
      <headerFooter alignWithMargins="0"/>
    </customSheetView>
    <customSheetView guid="{546B9E27-05F9-47A7-B161-BCC56D613799}" fitToPage="1" showRuler="0">
      <selection activeCell="A20" sqref="A20:A21"/>
      <pageMargins left="0.75" right="0.75" top="1" bottom="1" header="0.5" footer="0.5"/>
      <pageSetup paperSize="9" scale="70" orientation="landscape"/>
      <headerFooter alignWithMargins="0"/>
    </customSheetView>
  </customSheetViews>
  <phoneticPr fontId="0" type="noConversion"/>
  <pageMargins left="0.75" right="0.75" top="1" bottom="1" header="0.5" footer="0.5"/>
  <pageSetup paperSize="9" scale="70"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pageSetUpPr fitToPage="1"/>
  </sheetPr>
  <dimension ref="A1:G40"/>
  <sheetViews>
    <sheetView topLeftCell="A4" workbookViewId="0">
      <selection activeCell="F44" sqref="F44"/>
    </sheetView>
  </sheetViews>
  <sheetFormatPr defaultRowHeight="13.2" x14ac:dyDescent="0.25"/>
  <cols>
    <col min="2" max="2" width="49.109375" customWidth="1"/>
    <col min="3" max="3" width="14.6640625" bestFit="1" customWidth="1"/>
    <col min="6" max="6" width="11.33203125" customWidth="1"/>
  </cols>
  <sheetData>
    <row r="1" spans="1:7" ht="17.399999999999999" x14ac:dyDescent="0.3">
      <c r="A1" s="302" t="s">
        <v>36</v>
      </c>
      <c r="B1" s="2"/>
      <c r="F1" s="197">
        <f>+Invoerblad!N3</f>
        <v>0</v>
      </c>
    </row>
    <row r="2" spans="1:7" ht="17.399999999999999" x14ac:dyDescent="0.3">
      <c r="A2" s="100"/>
      <c r="B2" s="2"/>
      <c r="F2" s="202"/>
    </row>
    <row r="3" spans="1:7" ht="13.8" x14ac:dyDescent="0.25">
      <c r="A3" s="3" t="s">
        <v>118</v>
      </c>
      <c r="B3" s="3"/>
      <c r="C3" s="3"/>
      <c r="D3" s="3"/>
    </row>
    <row r="4" spans="1:7" x14ac:dyDescent="0.25">
      <c r="A4" s="1"/>
      <c r="B4" s="2"/>
    </row>
    <row r="5" spans="1:7" x14ac:dyDescent="0.25">
      <c r="A5" s="1" t="s">
        <v>119</v>
      </c>
      <c r="B5" s="2"/>
    </row>
    <row r="6" spans="1:7" x14ac:dyDescent="0.25">
      <c r="B6" s="2"/>
    </row>
    <row r="7" spans="1:7" x14ac:dyDescent="0.25">
      <c r="A7" s="148" t="s">
        <v>120</v>
      </c>
      <c r="B7" s="2" t="s">
        <v>121</v>
      </c>
      <c r="C7" s="185" t="s">
        <v>122</v>
      </c>
    </row>
    <row r="8" spans="1:7" x14ac:dyDescent="0.25">
      <c r="A8">
        <v>1</v>
      </c>
      <c r="B8" t="s">
        <v>123</v>
      </c>
      <c r="C8" s="186">
        <v>0.06</v>
      </c>
      <c r="D8" s="7"/>
      <c r="E8" s="7"/>
      <c r="F8" s="7"/>
      <c r="G8" s="7"/>
    </row>
    <row r="9" spans="1:7" hidden="1" x14ac:dyDescent="0.25">
      <c r="B9" t="s">
        <v>124</v>
      </c>
      <c r="C9" s="187">
        <f>POWER((C8+1),1/12)-1</f>
        <v>4.8675505653430484E-3</v>
      </c>
      <c r="D9" s="188"/>
      <c r="E9" s="81"/>
      <c r="F9" s="81"/>
      <c r="G9" s="7"/>
    </row>
    <row r="10" spans="1:7" hidden="1" x14ac:dyDescent="0.25">
      <c r="C10" s="189"/>
      <c r="D10" s="189"/>
      <c r="E10" s="35"/>
      <c r="G10" s="7"/>
    </row>
    <row r="11" spans="1:7" x14ac:dyDescent="0.25">
      <c r="A11">
        <v>2</v>
      </c>
      <c r="B11" t="s">
        <v>125</v>
      </c>
      <c r="C11" s="190">
        <f>339777/12</f>
        <v>28314.75</v>
      </c>
      <c r="E11" s="8"/>
      <c r="F11" s="81"/>
    </row>
    <row r="12" spans="1:7" x14ac:dyDescent="0.25">
      <c r="A12">
        <v>3</v>
      </c>
      <c r="B12" t="s">
        <v>126</v>
      </c>
      <c r="C12" s="190">
        <f>12*15</f>
        <v>180</v>
      </c>
      <c r="E12" s="8"/>
      <c r="F12" s="81"/>
    </row>
    <row r="13" spans="1:7" x14ac:dyDescent="0.25">
      <c r="A13">
        <v>4</v>
      </c>
      <c r="B13" t="s">
        <v>127</v>
      </c>
      <c r="C13" s="190">
        <v>0</v>
      </c>
      <c r="E13" s="8"/>
      <c r="F13" s="81"/>
    </row>
    <row r="14" spans="1:7" x14ac:dyDescent="0.25">
      <c r="A14">
        <v>5</v>
      </c>
      <c r="B14" t="s">
        <v>128</v>
      </c>
      <c r="C14" s="190"/>
      <c r="E14" s="8"/>
      <c r="F14" s="81"/>
    </row>
    <row r="15" spans="1:7" x14ac:dyDescent="0.25">
      <c r="A15">
        <v>6</v>
      </c>
      <c r="B15" t="s">
        <v>129</v>
      </c>
      <c r="C15" s="191"/>
    </row>
    <row r="17" spans="1:7" x14ac:dyDescent="0.25">
      <c r="A17" s="148" t="s">
        <v>145</v>
      </c>
    </row>
    <row r="18" spans="1:7" x14ac:dyDescent="0.25">
      <c r="A18">
        <v>7</v>
      </c>
      <c r="B18" t="s">
        <v>130</v>
      </c>
      <c r="C18" s="169">
        <f>-PV(C9,C12,C11,,C15)</f>
        <v>3389794.0863765017</v>
      </c>
    </row>
    <row r="19" spans="1:7" ht="13.8" thickBot="1" x14ac:dyDescent="0.3">
      <c r="A19">
        <v>8</v>
      </c>
      <c r="B19" t="s">
        <v>131</v>
      </c>
      <c r="C19" s="169">
        <f>C13/POWER((1+C9),C14)</f>
        <v>0</v>
      </c>
    </row>
    <row r="20" spans="1:7" ht="13.8" thickBot="1" x14ac:dyDescent="0.3">
      <c r="A20" s="2">
        <v>9</v>
      </c>
      <c r="B20" s="2" t="s">
        <v>132</v>
      </c>
      <c r="C20" s="192">
        <f>+C18+C19</f>
        <v>3389794.0863765017</v>
      </c>
    </row>
    <row r="23" spans="1:7" x14ac:dyDescent="0.25">
      <c r="A23" s="2" t="s">
        <v>133</v>
      </c>
    </row>
    <row r="24" spans="1:7" x14ac:dyDescent="0.25">
      <c r="C24" s="193"/>
      <c r="D24" s="7"/>
      <c r="E24" s="7"/>
      <c r="F24" s="7"/>
      <c r="G24" s="7"/>
    </row>
    <row r="25" spans="1:7" x14ac:dyDescent="0.25">
      <c r="A25">
        <v>1</v>
      </c>
      <c r="B25" t="s">
        <v>375</v>
      </c>
      <c r="C25" s="193"/>
      <c r="D25" s="194"/>
      <c r="E25" s="7"/>
      <c r="F25" s="7"/>
      <c r="G25" s="7"/>
    </row>
    <row r="26" spans="1:7" x14ac:dyDescent="0.25">
      <c r="B26" t="s">
        <v>371</v>
      </c>
      <c r="C26" s="193"/>
      <c r="D26" s="194"/>
      <c r="E26" s="7"/>
      <c r="F26" s="7"/>
      <c r="G26" s="7"/>
    </row>
    <row r="27" spans="1:7" x14ac:dyDescent="0.25">
      <c r="B27" s="336" t="s">
        <v>254</v>
      </c>
      <c r="C27" s="193"/>
      <c r="D27" s="194"/>
      <c r="E27" s="7"/>
      <c r="F27" s="7"/>
      <c r="G27" s="7"/>
    </row>
    <row r="28" spans="1:7" x14ac:dyDescent="0.25">
      <c r="A28">
        <v>2</v>
      </c>
      <c r="B28" s="1" t="s">
        <v>134</v>
      </c>
      <c r="C28" s="193"/>
      <c r="D28" s="194"/>
      <c r="E28" s="7"/>
      <c r="F28" s="7"/>
      <c r="G28" s="7"/>
    </row>
    <row r="29" spans="1:7" x14ac:dyDescent="0.25">
      <c r="A29">
        <v>4</v>
      </c>
      <c r="B29" t="s">
        <v>141</v>
      </c>
      <c r="C29" s="7"/>
      <c r="D29" s="7"/>
      <c r="E29" s="7"/>
      <c r="F29" s="7"/>
      <c r="G29" s="7"/>
    </row>
    <row r="30" spans="1:7" x14ac:dyDescent="0.25">
      <c r="A30">
        <v>5</v>
      </c>
      <c r="B30" t="s">
        <v>372</v>
      </c>
      <c r="C30" s="7"/>
      <c r="D30" s="7"/>
      <c r="E30" s="7"/>
      <c r="F30" s="7"/>
      <c r="G30" s="7"/>
    </row>
    <row r="31" spans="1:7" x14ac:dyDescent="0.25">
      <c r="B31" t="s">
        <v>373</v>
      </c>
      <c r="C31" s="7"/>
      <c r="D31" s="7"/>
      <c r="E31" s="7"/>
      <c r="F31" s="7"/>
      <c r="G31" s="7"/>
    </row>
    <row r="32" spans="1:7" x14ac:dyDescent="0.25">
      <c r="A32">
        <v>6</v>
      </c>
      <c r="B32" t="s">
        <v>142</v>
      </c>
      <c r="C32" s="7"/>
      <c r="D32" s="7"/>
      <c r="E32" s="7"/>
      <c r="F32" s="7"/>
      <c r="G32" s="7"/>
    </row>
    <row r="33" spans="1:7" x14ac:dyDescent="0.25">
      <c r="A33">
        <v>9</v>
      </c>
      <c r="B33" t="s">
        <v>144</v>
      </c>
      <c r="C33" s="7"/>
      <c r="D33" s="7"/>
      <c r="E33" s="7"/>
      <c r="F33" s="7"/>
      <c r="G33" s="7"/>
    </row>
    <row r="34" spans="1:7" x14ac:dyDescent="0.25">
      <c r="C34" s="7"/>
      <c r="D34" s="7"/>
      <c r="E34" s="7"/>
      <c r="F34" s="7"/>
      <c r="G34" s="7"/>
    </row>
    <row r="36" spans="1:7" x14ac:dyDescent="0.25">
      <c r="B36" s="1"/>
    </row>
    <row r="37" spans="1:7" x14ac:dyDescent="0.25">
      <c r="B37" s="1"/>
    </row>
    <row r="38" spans="1:7" x14ac:dyDescent="0.25">
      <c r="B38" s="1"/>
    </row>
    <row r="39" spans="1:7" x14ac:dyDescent="0.25">
      <c r="B39" s="1"/>
    </row>
    <row r="40" spans="1:7" x14ac:dyDescent="0.25">
      <c r="B40" s="1"/>
    </row>
  </sheetData>
  <customSheetViews>
    <customSheetView guid="{D98A0717-74D0-4F54-BB8F-A337A1A9E4DF}" fitToPage="1" hiddenRows="1" showRuler="0">
      <selection activeCell="H39" sqref="H39"/>
      <pageMargins left="0.75" right="0.75" top="1" bottom="1" header="0.5" footer="0.5"/>
      <pageSetup paperSize="9" orientation="landscape"/>
      <headerFooter alignWithMargins="0"/>
    </customSheetView>
    <customSheetView guid="{5D986420-B83B-47C8-8160-784F77FFC196}" fitToPage="1" hiddenRows="1" showRuler="0">
      <selection activeCell="H39" sqref="H39"/>
      <pageMargins left="0.75" right="0.75" top="1" bottom="1" header="0.5" footer="0.5"/>
      <pageSetup paperSize="9" orientation="landscape"/>
      <headerFooter alignWithMargins="0"/>
    </customSheetView>
    <customSheetView guid="{C9029B8D-126A-43F1-8BE9-BB8A7DE12FBF}" fitToPage="1" hiddenRows="1" showRuler="0">
      <selection activeCell="H39" sqref="H39"/>
      <pageMargins left="0.75" right="0.75" top="1" bottom="1" header="0.5" footer="0.5"/>
      <pageSetup paperSize="9" orientation="landscape"/>
      <headerFooter alignWithMargins="0"/>
    </customSheetView>
    <customSheetView guid="{4284377C-91E6-4152-887E-8DA87560FDD6}" fitToPage="1" hiddenRows="1" showRuler="0">
      <selection activeCell="H39" sqref="H39"/>
      <pageMargins left="0.75" right="0.75" top="1" bottom="1" header="0.5" footer="0.5"/>
      <pageSetup paperSize="9" orientation="landscape"/>
      <headerFooter alignWithMargins="0"/>
    </customSheetView>
    <customSheetView guid="{546B9E27-05F9-47A7-B161-BCC56D613799}" fitToPage="1" hiddenRows="1" showRuler="0">
      <selection activeCell="H39" sqref="H39"/>
      <pageMargins left="0.75" right="0.75" top="1" bottom="1" header="0.5" footer="0.5"/>
      <pageSetup paperSize="9" orientation="landscape"/>
      <headerFooter alignWithMargins="0"/>
    </customSheetView>
  </customSheetViews>
  <phoneticPr fontId="34" type="noConversion"/>
  <hyperlinks>
    <hyperlink ref="B27" r:id="rId1" xr:uid="{00000000-0004-0000-0B00-000000000000}"/>
  </hyperlinks>
  <pageMargins left="0.75"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A1:IV47"/>
  <sheetViews>
    <sheetView showGridLines="0" zoomScale="60" workbookViewId="0">
      <selection activeCell="H55" sqref="H55"/>
    </sheetView>
  </sheetViews>
  <sheetFormatPr defaultRowHeight="13.2" x14ac:dyDescent="0.25"/>
  <cols>
    <col min="1" max="1" width="46.109375" customWidth="1"/>
    <col min="2" max="2" width="21.33203125" customWidth="1"/>
    <col min="3" max="3" width="24.109375" customWidth="1"/>
    <col min="4" max="4" width="22.6640625" customWidth="1"/>
    <col min="5" max="5" width="19.77734375" bestFit="1" customWidth="1"/>
    <col min="6" max="6" width="19.109375" customWidth="1"/>
    <col min="7" max="7" width="19" bestFit="1" customWidth="1"/>
    <col min="8" max="9" width="18.77734375" bestFit="1" customWidth="1"/>
    <col min="10" max="10" width="19.33203125" bestFit="1" customWidth="1"/>
    <col min="11" max="11" width="19" customWidth="1"/>
    <col min="12" max="12" width="19.33203125" bestFit="1" customWidth="1"/>
    <col min="13" max="13" width="17.109375" bestFit="1" customWidth="1"/>
    <col min="14" max="14" width="15.6640625" customWidth="1"/>
    <col min="15" max="15" width="16.44140625" bestFit="1" customWidth="1"/>
    <col min="16" max="16" width="16.33203125" bestFit="1" customWidth="1"/>
    <col min="17" max="17" width="15.109375" bestFit="1" customWidth="1"/>
    <col min="18" max="18" width="16.44140625" bestFit="1" customWidth="1"/>
    <col min="19" max="19" width="15.109375" bestFit="1" customWidth="1"/>
    <col min="20" max="20" width="14.77734375" bestFit="1" customWidth="1"/>
    <col min="21" max="22" width="17.33203125" bestFit="1" customWidth="1"/>
    <col min="23" max="23" width="16.44140625" bestFit="1" customWidth="1"/>
    <col min="24" max="24" width="14.77734375" bestFit="1" customWidth="1"/>
    <col min="25" max="25" width="17.109375" bestFit="1" customWidth="1"/>
    <col min="26" max="26" width="14.77734375" bestFit="1" customWidth="1"/>
    <col min="27" max="27" width="15.109375" bestFit="1" customWidth="1"/>
  </cols>
  <sheetData>
    <row r="1" spans="1:256" s="205" customFormat="1" ht="21" x14ac:dyDescent="0.4">
      <c r="A1" s="204" t="s">
        <v>357</v>
      </c>
      <c r="B1" s="139" t="s">
        <v>348</v>
      </c>
      <c r="C1" s="206"/>
      <c r="D1" s="206"/>
      <c r="E1" s="206"/>
      <c r="F1" s="206"/>
      <c r="G1" s="206"/>
      <c r="H1" s="206"/>
      <c r="I1" s="206"/>
    </row>
    <row r="2" spans="1:256" x14ac:dyDescent="0.25">
      <c r="A2" s="2" t="s">
        <v>349</v>
      </c>
      <c r="B2" s="2"/>
    </row>
    <row r="3" spans="1:256" x14ac:dyDescent="0.25">
      <c r="A3" s="2"/>
      <c r="B3" s="46"/>
    </row>
    <row r="4" spans="1:256" x14ac:dyDescent="0.25">
      <c r="A4" s="2"/>
      <c r="B4" s="46"/>
    </row>
    <row r="5" spans="1:256" s="1" customFormat="1" ht="13.8" thickBot="1" x14ac:dyDescent="0.3">
      <c r="A5"/>
      <c r="B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3.5" customHeight="1" thickBot="1" x14ac:dyDescent="0.3">
      <c r="A6" s="32" t="s">
        <v>165</v>
      </c>
      <c r="B6" s="30" t="s">
        <v>151</v>
      </c>
      <c r="C6" s="12">
        <v>1</v>
      </c>
      <c r="D6" s="12">
        <v>2</v>
      </c>
      <c r="E6" s="12">
        <v>3</v>
      </c>
      <c r="F6" s="12">
        <v>4</v>
      </c>
      <c r="G6" s="12">
        <v>5</v>
      </c>
      <c r="H6" s="12">
        <v>6</v>
      </c>
      <c r="I6" s="12">
        <v>7</v>
      </c>
      <c r="J6" s="12">
        <v>8</v>
      </c>
      <c r="K6" s="12">
        <v>9</v>
      </c>
      <c r="L6" s="12">
        <v>10</v>
      </c>
      <c r="M6" s="12">
        <v>11</v>
      </c>
      <c r="N6" s="12">
        <v>12</v>
      </c>
      <c r="O6" s="12">
        <v>13</v>
      </c>
      <c r="P6" s="12">
        <v>14</v>
      </c>
      <c r="Q6" s="12">
        <v>15</v>
      </c>
    </row>
    <row r="7" spans="1:256" ht="13.5" customHeight="1" x14ac:dyDescent="0.25">
      <c r="A7" s="31"/>
      <c r="B7" s="13"/>
      <c r="C7" s="17"/>
      <c r="D7" s="17"/>
      <c r="E7" s="17"/>
      <c r="F7" s="17"/>
      <c r="G7" s="17"/>
      <c r="H7" s="17"/>
      <c r="I7" s="17"/>
      <c r="J7" s="17"/>
      <c r="K7" s="17"/>
      <c r="L7" s="17"/>
      <c r="M7" s="17"/>
      <c r="N7" s="17"/>
      <c r="O7" s="17"/>
    </row>
    <row r="8" spans="1:256" ht="13.5" customHeight="1" x14ac:dyDescent="0.25">
      <c r="A8" s="9" t="s">
        <v>167</v>
      </c>
      <c r="B8" s="13"/>
      <c r="C8" s="28">
        <f>+Invoerblad!K106</f>
        <v>0</v>
      </c>
      <c r="D8" s="28">
        <f>+Invoerblad!L106</f>
        <v>0</v>
      </c>
      <c r="E8" s="28">
        <f>+Invoerblad!M106</f>
        <v>0</v>
      </c>
      <c r="F8" s="28">
        <f>+Invoerblad!N106</f>
        <v>0</v>
      </c>
      <c r="G8" s="28">
        <f>+Invoerblad!O106</f>
        <v>0</v>
      </c>
      <c r="H8" s="28">
        <f>+Invoerblad!P106</f>
        <v>0</v>
      </c>
      <c r="I8" s="28">
        <f>+Invoerblad!Q106</f>
        <v>0</v>
      </c>
      <c r="J8" s="28">
        <f>+Invoerblad!R106</f>
        <v>0</v>
      </c>
      <c r="K8" s="28">
        <f>+Invoerblad!S106</f>
        <v>0</v>
      </c>
      <c r="L8" s="28">
        <f>+Invoerblad!T106</f>
        <v>0</v>
      </c>
      <c r="M8" s="28">
        <f>+Invoerblad!U106</f>
        <v>0</v>
      </c>
      <c r="N8" s="28">
        <f>+Invoerblad!V106</f>
        <v>0</v>
      </c>
      <c r="O8" s="28">
        <f>+Invoerblad!W106</f>
        <v>0</v>
      </c>
    </row>
    <row r="9" spans="1:256" ht="13.5" customHeight="1" x14ac:dyDescent="0.25">
      <c r="A9" s="9" t="s">
        <v>197</v>
      </c>
      <c r="B9" s="13"/>
      <c r="C9" s="28" t="e">
        <f>+Invoerblad!#REF!</f>
        <v>#REF!</v>
      </c>
      <c r="D9" s="28" t="e">
        <f>+Invoerblad!#REF!</f>
        <v>#REF!</v>
      </c>
      <c r="E9" s="28" t="e">
        <f>+Invoerblad!#REF!</f>
        <v>#REF!</v>
      </c>
      <c r="F9" s="28" t="e">
        <f>+Invoerblad!#REF!</f>
        <v>#REF!</v>
      </c>
      <c r="G9" s="28" t="e">
        <f>+Invoerblad!#REF!</f>
        <v>#REF!</v>
      </c>
      <c r="H9" s="28" t="e">
        <f>+Invoerblad!#REF!</f>
        <v>#REF!</v>
      </c>
      <c r="I9" s="28" t="e">
        <f>+Invoerblad!#REF!</f>
        <v>#REF!</v>
      </c>
      <c r="J9" s="28" t="e">
        <f>+Invoerblad!#REF!</f>
        <v>#REF!</v>
      </c>
      <c r="K9" s="28" t="e">
        <f>+Invoerblad!#REF!</f>
        <v>#REF!</v>
      </c>
      <c r="L9" s="28" t="e">
        <f>+Invoerblad!#REF!</f>
        <v>#REF!</v>
      </c>
      <c r="M9" s="28" t="e">
        <f>+Invoerblad!#REF!+Invoerblad!#REF!</f>
        <v>#REF!</v>
      </c>
      <c r="N9" s="28" t="e">
        <f>+Invoerblad!#REF!+Invoerblad!#REF!</f>
        <v>#REF!</v>
      </c>
      <c r="O9" s="28" t="e">
        <f>+Invoerblad!#REF!+Invoerblad!#REF!</f>
        <v>#REF!</v>
      </c>
    </row>
    <row r="10" spans="1:256" ht="13.8" x14ac:dyDescent="0.25">
      <c r="A10" s="19"/>
      <c r="B10" s="13"/>
      <c r="C10" s="20"/>
      <c r="D10" s="20"/>
      <c r="E10" s="20"/>
      <c r="F10" s="20"/>
      <c r="G10" s="20"/>
      <c r="H10" s="20"/>
      <c r="I10" s="20"/>
      <c r="J10" s="20"/>
      <c r="K10" s="20"/>
      <c r="L10" s="20"/>
      <c r="M10" s="20"/>
      <c r="N10" s="20"/>
      <c r="O10" s="20"/>
    </row>
    <row r="11" spans="1:256" ht="13.8" x14ac:dyDescent="0.25">
      <c r="A11" s="9" t="s">
        <v>198</v>
      </c>
      <c r="B11" s="13"/>
      <c r="C11" s="28" t="e">
        <f>+Invoerblad!#REF!+Invoerblad!#REF!+Invoerblad!#REF!+Invoerblad!#REF!+Invoerblad!#REF!</f>
        <v>#REF!</v>
      </c>
      <c r="D11" s="28" t="e">
        <f>+Invoerblad!#REF!+Invoerblad!#REF!+Invoerblad!#REF!+Invoerblad!#REF!+Invoerblad!#REF!</f>
        <v>#REF!</v>
      </c>
      <c r="E11" s="28" t="e">
        <f>+Invoerblad!#REF!+Invoerblad!#REF!+Invoerblad!#REF!+Invoerblad!#REF!+Invoerblad!#REF!</f>
        <v>#REF!</v>
      </c>
      <c r="F11" s="28" t="e">
        <f>+Invoerblad!#REF!+Invoerblad!#REF!+Invoerblad!#REF!+Invoerblad!#REF!+Invoerblad!#REF!</f>
        <v>#REF!</v>
      </c>
      <c r="G11" s="28" t="e">
        <f>+Invoerblad!#REF!+Invoerblad!#REF!+Invoerblad!#REF!+Invoerblad!#REF!+Invoerblad!#REF!</f>
        <v>#REF!</v>
      </c>
      <c r="H11" s="28" t="e">
        <f>+Invoerblad!#REF!+Invoerblad!#REF!+Invoerblad!#REF!+Invoerblad!#REF!+Invoerblad!#REF!</f>
        <v>#REF!</v>
      </c>
      <c r="I11" s="28" t="e">
        <f>+Invoerblad!#REF!+Invoerblad!#REF!+Invoerblad!#REF!+Invoerblad!#REF!+Invoerblad!#REF!</f>
        <v>#REF!</v>
      </c>
      <c r="J11" s="28" t="e">
        <f>+Invoerblad!#REF!+Invoerblad!#REF!+Invoerblad!#REF!+Invoerblad!#REF!+Invoerblad!#REF!</f>
        <v>#REF!</v>
      </c>
      <c r="K11" s="28" t="e">
        <f>+Invoerblad!#REF!+Invoerblad!#REF!+Invoerblad!#REF!+Invoerblad!#REF!+Invoerblad!#REF!</f>
        <v>#REF!</v>
      </c>
      <c r="L11" s="28" t="e">
        <f>+Invoerblad!#REF!+Invoerblad!#REF!+Invoerblad!#REF!+Invoerblad!#REF!+Invoerblad!#REF!</f>
        <v>#REF!</v>
      </c>
      <c r="M11" s="28" t="e">
        <f>+Invoerblad!#REF!+Invoerblad!#REF!+Invoerblad!#REF!+Invoerblad!#REF!+Invoerblad!#REF!</f>
        <v>#REF!</v>
      </c>
      <c r="N11" s="28" t="e">
        <f>+Invoerblad!#REF!+Invoerblad!#REF!+Invoerblad!#REF!+Invoerblad!#REF!+Invoerblad!#REF!</f>
        <v>#REF!</v>
      </c>
      <c r="O11" s="28" t="e">
        <f>+Invoerblad!#REF!+Invoerblad!#REF!+Invoerblad!#REF!+Invoerblad!#REF!+Invoerblad!#REF!</f>
        <v>#REF!</v>
      </c>
    </row>
    <row r="12" spans="1:256" ht="13.5" customHeight="1" x14ac:dyDescent="0.25">
      <c r="A12" s="19"/>
      <c r="B12" s="13"/>
      <c r="C12" s="20"/>
      <c r="D12" s="20"/>
      <c r="E12" s="20"/>
      <c r="F12" s="20"/>
      <c r="G12" s="20"/>
      <c r="H12" s="20"/>
      <c r="I12" s="20"/>
      <c r="J12" s="20"/>
      <c r="K12" s="20"/>
      <c r="L12" s="20"/>
      <c r="M12" s="20"/>
      <c r="N12" s="20"/>
      <c r="O12" s="20"/>
    </row>
    <row r="13" spans="1:256" ht="13.5" customHeight="1" x14ac:dyDescent="0.25">
      <c r="A13" s="9"/>
      <c r="B13" s="13"/>
      <c r="C13" s="43"/>
      <c r="D13" s="43"/>
      <c r="E13" s="43"/>
      <c r="F13" s="43"/>
      <c r="G13" s="43"/>
      <c r="H13" s="43"/>
      <c r="I13" s="43"/>
      <c r="J13" s="43"/>
      <c r="K13" s="43"/>
      <c r="L13" s="43"/>
      <c r="M13" s="43"/>
      <c r="N13" s="43"/>
      <c r="O13" s="43"/>
    </row>
    <row r="14" spans="1:256" ht="13.5" customHeight="1" x14ac:dyDescent="0.25">
      <c r="A14" s="9"/>
      <c r="B14" s="13"/>
      <c r="C14" s="20"/>
      <c r="D14" s="20"/>
      <c r="E14" s="20"/>
      <c r="F14" s="20"/>
      <c r="G14" s="20"/>
      <c r="H14" s="20"/>
      <c r="I14" s="20"/>
      <c r="J14" s="20"/>
      <c r="K14" s="20"/>
      <c r="L14" s="20"/>
      <c r="M14" s="20"/>
      <c r="N14" s="20"/>
      <c r="O14" s="20"/>
    </row>
    <row r="15" spans="1:256" ht="13.5" customHeight="1" x14ac:dyDescent="0.25">
      <c r="A15" s="9"/>
      <c r="B15" s="13"/>
      <c r="C15" s="20"/>
      <c r="D15" s="20"/>
      <c r="E15" s="20"/>
      <c r="F15" s="20"/>
      <c r="G15" s="20"/>
      <c r="H15" s="20"/>
      <c r="I15" s="20"/>
      <c r="J15" s="20"/>
      <c r="K15" s="20"/>
      <c r="L15" s="20"/>
      <c r="M15" s="20"/>
      <c r="N15" s="20"/>
      <c r="O15" s="20"/>
    </row>
    <row r="16" spans="1:256" s="24" customFormat="1" ht="16.5" customHeight="1" x14ac:dyDescent="0.25">
      <c r="A16" s="39" t="s">
        <v>163</v>
      </c>
      <c r="B16" s="17"/>
      <c r="C16" s="42" t="e">
        <f>SUM(C7:C15)</f>
        <v>#REF!</v>
      </c>
      <c r="D16" s="42" t="e">
        <f t="shared" ref="D16:L16" si="0">SUM(D7:D15)</f>
        <v>#REF!</v>
      </c>
      <c r="E16" s="42" t="e">
        <f t="shared" si="0"/>
        <v>#REF!</v>
      </c>
      <c r="F16" s="42" t="e">
        <f t="shared" si="0"/>
        <v>#REF!</v>
      </c>
      <c r="G16" s="42" t="e">
        <f t="shared" si="0"/>
        <v>#REF!</v>
      </c>
      <c r="H16" s="42" t="e">
        <f t="shared" si="0"/>
        <v>#REF!</v>
      </c>
      <c r="I16" s="42" t="e">
        <f t="shared" si="0"/>
        <v>#REF!</v>
      </c>
      <c r="J16" s="42" t="e">
        <f t="shared" si="0"/>
        <v>#REF!</v>
      </c>
      <c r="K16" s="42" t="e">
        <f t="shared" si="0"/>
        <v>#REF!</v>
      </c>
      <c r="L16" s="42" t="e">
        <f t="shared" si="0"/>
        <v>#REF!</v>
      </c>
      <c r="M16" s="42" t="e">
        <f>SUM(M7:M15)</f>
        <v>#REF!</v>
      </c>
      <c r="N16" s="42" t="e">
        <f>SUM(N7:N15)</f>
        <v>#REF!</v>
      </c>
      <c r="O16" s="42" t="e">
        <f>SUM(O7:O15)</f>
        <v>#REF!</v>
      </c>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3.8" x14ac:dyDescent="0.25">
      <c r="A17" s="9"/>
      <c r="B17" s="13"/>
      <c r="C17" s="22"/>
      <c r="D17" s="22"/>
      <c r="E17" s="22"/>
      <c r="F17" s="22"/>
      <c r="G17" s="22"/>
      <c r="H17" s="22"/>
      <c r="I17" s="22"/>
      <c r="J17" s="22"/>
      <c r="K17" s="22"/>
      <c r="L17" s="22"/>
      <c r="M17" s="23"/>
      <c r="N17" s="23"/>
      <c r="O17" s="23"/>
    </row>
    <row r="18" spans="1:256" ht="13.8" x14ac:dyDescent="0.25">
      <c r="A18" s="9" t="s">
        <v>166</v>
      </c>
      <c r="B18" s="15"/>
      <c r="C18" s="28">
        <f>+Invoerblad!K110+Invoerblad!K112+Invoerblad!K113</f>
        <v>0</v>
      </c>
      <c r="D18" s="28">
        <f>+Invoerblad!L110+Invoerblad!L112+Invoerblad!L113</f>
        <v>0</v>
      </c>
      <c r="E18" s="28">
        <f>+Invoerblad!M110+Invoerblad!M112+Invoerblad!M113</f>
        <v>0</v>
      </c>
      <c r="F18" s="28">
        <f>+Invoerblad!N110+Invoerblad!N112+Invoerblad!N113</f>
        <v>0</v>
      </c>
      <c r="G18" s="28">
        <f>+Invoerblad!O110+Invoerblad!O112+Invoerblad!O113</f>
        <v>0</v>
      </c>
      <c r="H18" s="28">
        <f>+Invoerblad!P110+Invoerblad!P112+Invoerblad!P113</f>
        <v>0</v>
      </c>
      <c r="I18" s="28">
        <f>+Invoerblad!Q110+Invoerblad!Q112+Invoerblad!Q113</f>
        <v>0</v>
      </c>
      <c r="J18" s="28">
        <f>+Invoerblad!R110+Invoerblad!R112+Invoerblad!R113</f>
        <v>0</v>
      </c>
      <c r="K18" s="28">
        <f>+Invoerblad!S110+Invoerblad!S112+Invoerblad!S113</f>
        <v>0</v>
      </c>
      <c r="L18" s="28">
        <f>+Invoerblad!T110+Invoerblad!T112+Invoerblad!T113</f>
        <v>0</v>
      </c>
      <c r="M18" s="28">
        <f>+Invoerblad!U110+Invoerblad!U112+Invoerblad!U113</f>
        <v>0</v>
      </c>
      <c r="N18" s="28">
        <f>+Invoerblad!V110+Invoerblad!V112+Invoerblad!V113</f>
        <v>0</v>
      </c>
      <c r="O18" s="28">
        <f>+Invoerblad!W110+Invoerblad!W112+Invoerblad!W113</f>
        <v>0</v>
      </c>
    </row>
    <row r="19" spans="1:256" ht="13.8" x14ac:dyDescent="0.25">
      <c r="A19" s="9"/>
      <c r="B19" s="15"/>
      <c r="C19" s="20"/>
      <c r="D19" s="20"/>
      <c r="E19" s="20"/>
      <c r="F19" s="20"/>
      <c r="G19" s="20"/>
      <c r="H19" s="20"/>
      <c r="I19" s="20"/>
      <c r="J19" s="20"/>
      <c r="K19" s="20"/>
      <c r="L19" s="20"/>
      <c r="M19" s="20"/>
      <c r="N19" s="20"/>
      <c r="O19" s="20"/>
    </row>
    <row r="20" spans="1:256" ht="13.8" x14ac:dyDescent="0.25">
      <c r="A20" s="9"/>
      <c r="B20" s="15"/>
      <c r="C20" s="20"/>
      <c r="D20" s="20"/>
      <c r="E20" s="20"/>
      <c r="F20" s="20"/>
      <c r="G20" s="20"/>
      <c r="H20" s="20"/>
      <c r="I20" s="20"/>
      <c r="J20" s="20"/>
      <c r="K20" s="20"/>
      <c r="L20" s="20"/>
      <c r="M20" s="20"/>
      <c r="N20" s="20"/>
      <c r="O20" s="20"/>
    </row>
    <row r="21" spans="1:256" ht="13.8" x14ac:dyDescent="0.25">
      <c r="A21" s="9"/>
      <c r="B21" s="15"/>
      <c r="C21" s="20"/>
      <c r="D21" s="20"/>
      <c r="E21" s="20"/>
      <c r="F21" s="20"/>
      <c r="G21" s="20"/>
      <c r="H21" s="20"/>
      <c r="I21" s="20"/>
      <c r="J21" s="20"/>
      <c r="K21" s="20"/>
      <c r="L21" s="20"/>
      <c r="M21" s="20"/>
      <c r="N21" s="20"/>
      <c r="O21" s="20"/>
    </row>
    <row r="22" spans="1:256" ht="13.8" x14ac:dyDescent="0.25">
      <c r="A22" s="9"/>
      <c r="B22" s="15"/>
      <c r="C22" s="20"/>
      <c r="D22" s="20"/>
      <c r="E22" s="20"/>
      <c r="F22" s="20"/>
      <c r="G22" s="20"/>
      <c r="H22" s="20"/>
      <c r="I22" s="20"/>
      <c r="J22" s="20"/>
      <c r="K22" s="20"/>
      <c r="L22" s="20"/>
      <c r="M22" s="20"/>
      <c r="N22" s="20"/>
      <c r="O22" s="20"/>
    </row>
    <row r="23" spans="1:256" s="24" customFormat="1" ht="13.8" x14ac:dyDescent="0.25">
      <c r="A23" s="40" t="s">
        <v>164</v>
      </c>
      <c r="B23" s="27"/>
      <c r="C23" s="41">
        <f>SUM(C18:C22)</f>
        <v>0</v>
      </c>
      <c r="D23" s="41">
        <f t="shared" ref="D23:L23" si="1">SUM(D18:D22)</f>
        <v>0</v>
      </c>
      <c r="E23" s="41">
        <f t="shared" si="1"/>
        <v>0</v>
      </c>
      <c r="F23" s="41">
        <f t="shared" si="1"/>
        <v>0</v>
      </c>
      <c r="G23" s="41">
        <f t="shared" si="1"/>
        <v>0</v>
      </c>
      <c r="H23" s="41">
        <f t="shared" si="1"/>
        <v>0</v>
      </c>
      <c r="I23" s="41">
        <f t="shared" si="1"/>
        <v>0</v>
      </c>
      <c r="J23" s="41">
        <f t="shared" si="1"/>
        <v>0</v>
      </c>
      <c r="K23" s="41">
        <f t="shared" si="1"/>
        <v>0</v>
      </c>
      <c r="L23" s="41">
        <f t="shared" si="1"/>
        <v>0</v>
      </c>
      <c r="M23" s="41">
        <f>SUM(M18:M22)</f>
        <v>0</v>
      </c>
      <c r="N23" s="41">
        <f>SUM(N18:N22)</f>
        <v>0</v>
      </c>
      <c r="O23" s="41">
        <f>SUM(O18:O22)</f>
        <v>0</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24" customFormat="1" ht="13.8" x14ac:dyDescent="0.25">
      <c r="A24" s="14"/>
      <c r="B24" s="27"/>
      <c r="C24" s="28"/>
      <c r="D24" s="28"/>
      <c r="E24" s="28"/>
      <c r="F24" s="28"/>
      <c r="G24" s="28"/>
      <c r="H24" s="28"/>
      <c r="I24" s="28"/>
      <c r="J24" s="28"/>
      <c r="K24" s="28"/>
      <c r="L24" s="28"/>
      <c r="M24" s="28"/>
      <c r="N24" s="28"/>
      <c r="O24" s="28"/>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25" customFormat="1" ht="13.8" x14ac:dyDescent="0.25">
      <c r="A25" s="14" t="s">
        <v>157</v>
      </c>
      <c r="B25" s="28"/>
      <c r="C25" s="28">
        <f>(Invoerblad!$E$65-SUM(Invoerblad!$K$54:$W$54))/Invoerblad!$E$74+Invoerblad!K54</f>
        <v>0</v>
      </c>
      <c r="D25" s="28">
        <f>(Invoerblad!$E$65-SUM(Invoerblad!$K$54:$W$54))/Invoerblad!$E$74+Invoerblad!L54</f>
        <v>0</v>
      </c>
      <c r="E25" s="28">
        <f>(Invoerblad!$E$65-SUM(Invoerblad!$K$54:$W$54))/Invoerblad!$E$74+Invoerblad!M54</f>
        <v>0</v>
      </c>
      <c r="F25" s="28">
        <f>(Invoerblad!$E$65-SUM(Invoerblad!$K$54:$W$54))/Invoerblad!$E$74+Invoerblad!N54</f>
        <v>0</v>
      </c>
      <c r="G25" s="28">
        <f>(Invoerblad!$E$65-SUM(Invoerblad!$K$54:$W$54))/Invoerblad!$E$74+Invoerblad!O54</f>
        <v>0</v>
      </c>
      <c r="H25" s="28">
        <f>(Invoerblad!$E$65-SUM(Invoerblad!$K$54:$W$54))/Invoerblad!$E$74+Invoerblad!P54</f>
        <v>0</v>
      </c>
      <c r="I25" s="28">
        <f>(Invoerblad!$E$65-SUM(Invoerblad!$K$54:$W$54))/Invoerblad!$E$74+Invoerblad!Q54</f>
        <v>0</v>
      </c>
      <c r="J25" s="28">
        <f>(Invoerblad!$E$65-SUM(Invoerblad!$K$54:$W$54))/Invoerblad!$E$74+Invoerblad!R54</f>
        <v>0</v>
      </c>
      <c r="K25" s="28">
        <f>(Invoerblad!$E$65-SUM(Invoerblad!$K$54:$W$54))/Invoerblad!$E$74+Invoerblad!S54</f>
        <v>0</v>
      </c>
      <c r="L25" s="28">
        <f>(Invoerblad!$E$65-SUM(Invoerblad!$K$54:$W$54))/Invoerblad!$E$74+Invoerblad!T54</f>
        <v>0</v>
      </c>
      <c r="M25" s="28">
        <f>+Invoerblad!U54</f>
        <v>0</v>
      </c>
      <c r="N25" s="28">
        <f>+Invoerblad!V54</f>
        <v>0</v>
      </c>
      <c r="O25" s="28">
        <f>+Invoerblad!W54</f>
        <v>0</v>
      </c>
      <c r="P25" s="8"/>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25" customFormat="1" ht="13.5" customHeight="1" x14ac:dyDescent="0.25">
      <c r="A26" s="14" t="s">
        <v>158</v>
      </c>
      <c r="B26" s="27"/>
      <c r="C26" s="28">
        <f>Invoerblad!E70*Invoerblad!E73</f>
        <v>0</v>
      </c>
      <c r="D26" s="28">
        <f>Invoerblad!$E70*Invoerblad!$E73*((Invoerblad!$E$74-1)/Invoerblad!$E$74)</f>
        <v>0</v>
      </c>
      <c r="E26" s="28">
        <f>Invoerblad!$E70*Invoerblad!$E73*((Invoerblad!$E$74-2)/Invoerblad!$E$74)</f>
        <v>0</v>
      </c>
      <c r="F26" s="28">
        <f>Invoerblad!$E70*Invoerblad!$E73*((Invoerblad!$E$74-3)/Invoerblad!$E$74)</f>
        <v>0</v>
      </c>
      <c r="G26" s="28">
        <f>Invoerblad!$E70*Invoerblad!$E73*((Invoerblad!$E$74-4)/Invoerblad!$E$74)</f>
        <v>0</v>
      </c>
      <c r="H26" s="28">
        <f>Invoerblad!$E70*Invoerblad!$E73*((Invoerblad!$E$74-5)/Invoerblad!$E$74)</f>
        <v>0</v>
      </c>
      <c r="I26" s="28">
        <f>Invoerblad!$E70*Invoerblad!$E73*((Invoerblad!$E$74-6)/Invoerblad!$E$74)</f>
        <v>0</v>
      </c>
      <c r="J26" s="28">
        <f>Invoerblad!$E70*Invoerblad!$E73*((Invoerblad!$E$74-7)/Invoerblad!$E$74)</f>
        <v>0</v>
      </c>
      <c r="K26" s="28">
        <f>Invoerblad!$E70*Invoerblad!$E73*((Invoerblad!$E$74-8)/Invoerblad!$E$74)</f>
        <v>0</v>
      </c>
      <c r="L26" s="28">
        <f>Invoerblad!$E70*Invoerblad!$E73*((Invoerblad!$E$74-9)/Invoerblad!$E$74)</f>
        <v>0</v>
      </c>
      <c r="M26" s="28"/>
      <c r="N26" s="28"/>
      <c r="O26" s="28"/>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25" customFormat="1" ht="13.8" x14ac:dyDescent="0.25">
      <c r="A27" s="40" t="s">
        <v>159</v>
      </c>
      <c r="B27" s="27"/>
      <c r="C27" s="41">
        <f t="shared" ref="C27:L27" si="2">+C23+C25+C26</f>
        <v>0</v>
      </c>
      <c r="D27" s="41">
        <f t="shared" si="2"/>
        <v>0</v>
      </c>
      <c r="E27" s="41">
        <f t="shared" si="2"/>
        <v>0</v>
      </c>
      <c r="F27" s="41">
        <f t="shared" si="2"/>
        <v>0</v>
      </c>
      <c r="G27" s="41">
        <f t="shared" si="2"/>
        <v>0</v>
      </c>
      <c r="H27" s="41">
        <f t="shared" si="2"/>
        <v>0</v>
      </c>
      <c r="I27" s="41">
        <f t="shared" si="2"/>
        <v>0</v>
      </c>
      <c r="J27" s="41">
        <f t="shared" si="2"/>
        <v>0</v>
      </c>
      <c r="K27" s="41">
        <f t="shared" si="2"/>
        <v>0</v>
      </c>
      <c r="L27" s="41">
        <f t="shared" si="2"/>
        <v>0</v>
      </c>
      <c r="M27" s="41">
        <f>+M23+M25+M26</f>
        <v>0</v>
      </c>
      <c r="N27" s="41">
        <f>+N23+N25+N26</f>
        <v>0</v>
      </c>
      <c r="O27" s="41">
        <f>+O23+O25+O26</f>
        <v>0</v>
      </c>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25" customFormat="1" ht="13.8" x14ac:dyDescent="0.25">
      <c r="A28" s="14"/>
      <c r="B28" s="27"/>
      <c r="C28" s="28"/>
      <c r="D28" s="28"/>
      <c r="E28" s="28"/>
      <c r="F28" s="28"/>
      <c r="G28" s="28"/>
      <c r="H28" s="28"/>
      <c r="I28" s="28"/>
      <c r="J28" s="28"/>
      <c r="K28" s="28"/>
      <c r="L28" s="28"/>
      <c r="M28" s="28"/>
      <c r="N28" s="28"/>
      <c r="O28" s="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123" customFormat="1" ht="13.8" x14ac:dyDescent="0.25">
      <c r="A29" s="16" t="s">
        <v>160</v>
      </c>
      <c r="B29" s="10"/>
      <c r="C29" s="23" t="e">
        <f t="shared" ref="C29:O29" si="3">C16-C27</f>
        <v>#REF!</v>
      </c>
      <c r="D29" s="23" t="e">
        <f t="shared" si="3"/>
        <v>#REF!</v>
      </c>
      <c r="E29" s="23" t="e">
        <f t="shared" si="3"/>
        <v>#REF!</v>
      </c>
      <c r="F29" s="23" t="e">
        <f t="shared" si="3"/>
        <v>#REF!</v>
      </c>
      <c r="G29" s="23" t="e">
        <f t="shared" si="3"/>
        <v>#REF!</v>
      </c>
      <c r="H29" s="23" t="e">
        <f t="shared" si="3"/>
        <v>#REF!</v>
      </c>
      <c r="I29" s="23" t="e">
        <f t="shared" si="3"/>
        <v>#REF!</v>
      </c>
      <c r="J29" s="23" t="e">
        <f t="shared" si="3"/>
        <v>#REF!</v>
      </c>
      <c r="K29" s="23" t="e">
        <f t="shared" si="3"/>
        <v>#REF!</v>
      </c>
      <c r="L29" s="23" t="e">
        <f t="shared" si="3"/>
        <v>#REF!</v>
      </c>
      <c r="M29" s="23" t="e">
        <f t="shared" si="3"/>
        <v>#REF!</v>
      </c>
      <c r="N29" s="23" t="e">
        <f t="shared" si="3"/>
        <v>#REF!</v>
      </c>
      <c r="O29" s="23" t="e">
        <f t="shared" si="3"/>
        <v>#REF!</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4" customFormat="1" ht="13.8" x14ac:dyDescent="0.25">
      <c r="A30" s="159"/>
      <c r="B30" s="160"/>
      <c r="C30" s="161"/>
      <c r="D30" s="161"/>
      <c r="E30" s="161"/>
      <c r="F30" s="161"/>
      <c r="G30" s="161"/>
      <c r="H30" s="161"/>
      <c r="I30" s="161"/>
      <c r="J30" s="161"/>
      <c r="K30" s="161"/>
      <c r="L30" s="161"/>
      <c r="M30" s="161"/>
      <c r="N30" s="161"/>
      <c r="O30" s="161"/>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4" customFormat="1" ht="13.8" x14ac:dyDescent="0.25">
      <c r="A31" s="159" t="s">
        <v>243</v>
      </c>
      <c r="B31" s="160"/>
      <c r="C31" s="28">
        <f>+Invoerblad!K51</f>
        <v>0</v>
      </c>
      <c r="D31" s="28">
        <f>+Invoerblad!L51</f>
        <v>0</v>
      </c>
      <c r="E31" s="28">
        <f>+Invoerblad!M51</f>
        <v>0</v>
      </c>
      <c r="F31" s="28">
        <f>+Invoerblad!N51</f>
        <v>0</v>
      </c>
      <c r="G31" s="28">
        <f>+Invoerblad!O51</f>
        <v>0</v>
      </c>
      <c r="H31" s="28">
        <f>+Invoerblad!P51</f>
        <v>0</v>
      </c>
      <c r="I31" s="28">
        <f>+Invoerblad!Q51</f>
        <v>0</v>
      </c>
      <c r="J31" s="28">
        <f>+Invoerblad!R51</f>
        <v>0</v>
      </c>
      <c r="K31" s="28">
        <f>+Invoerblad!S51</f>
        <v>0</v>
      </c>
      <c r="L31" s="28">
        <f>+Invoerblad!T51</f>
        <v>0</v>
      </c>
      <c r="M31" s="28">
        <f>+Invoerblad!U51</f>
        <v>0</v>
      </c>
      <c r="N31" s="28">
        <f>+Invoerblad!V51</f>
        <v>0</v>
      </c>
      <c r="O31" s="28">
        <f>+Invoerblad!W51</f>
        <v>0</v>
      </c>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6" customFormat="1" ht="15.6" x14ac:dyDescent="0.3">
      <c r="A32" s="159" t="s">
        <v>244</v>
      </c>
      <c r="B32" s="122"/>
      <c r="C32" s="28">
        <f>+Invoerblad!K57</f>
        <v>0</v>
      </c>
      <c r="D32" s="28">
        <f>+Invoerblad!L57</f>
        <v>0</v>
      </c>
      <c r="E32" s="28">
        <f>+Invoerblad!M57</f>
        <v>0</v>
      </c>
      <c r="F32" s="28">
        <f>+Invoerblad!N57</f>
        <v>0</v>
      </c>
      <c r="G32" s="28">
        <f>+Invoerblad!O57</f>
        <v>0</v>
      </c>
      <c r="H32" s="28">
        <f>+Invoerblad!P57</f>
        <v>0</v>
      </c>
      <c r="I32" s="28">
        <f>+Invoerblad!Q57</f>
        <v>0</v>
      </c>
      <c r="J32" s="28">
        <f>+Invoerblad!R57</f>
        <v>0</v>
      </c>
      <c r="K32" s="28">
        <f>+Invoerblad!S57</f>
        <v>0</v>
      </c>
      <c r="L32" s="28">
        <f>+Invoerblad!T57</f>
        <v>0</v>
      </c>
      <c r="M32" s="28">
        <f>+Invoerblad!U57</f>
        <v>0</v>
      </c>
      <c r="N32" s="28">
        <f>+Invoerblad!V57</f>
        <v>0</v>
      </c>
      <c r="O32" s="28">
        <f>+Invoerblad!W57</f>
        <v>0</v>
      </c>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6" customFormat="1" ht="15.6" x14ac:dyDescent="0.3">
      <c r="A33" s="159"/>
      <c r="B33" s="122"/>
      <c r="C33" s="108"/>
      <c r="I33" s="108"/>
      <c r="J33" s="108"/>
      <c r="K33" s="108"/>
      <c r="L33" s="10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6" customFormat="1" ht="15.6" x14ac:dyDescent="0.3">
      <c r="A34" s="16" t="s">
        <v>245</v>
      </c>
      <c r="B34" s="122"/>
      <c r="C34" s="28" t="e">
        <f>+C29-C31-C32</f>
        <v>#REF!</v>
      </c>
      <c r="D34" s="28" t="e">
        <f t="shared" ref="D34:O34" si="4">+D29-D31-D32</f>
        <v>#REF!</v>
      </c>
      <c r="E34" s="28" t="e">
        <f t="shared" si="4"/>
        <v>#REF!</v>
      </c>
      <c r="F34" s="28" t="e">
        <f t="shared" si="4"/>
        <v>#REF!</v>
      </c>
      <c r="G34" s="28" t="e">
        <f t="shared" si="4"/>
        <v>#REF!</v>
      </c>
      <c r="H34" s="28" t="e">
        <f t="shared" si="4"/>
        <v>#REF!</v>
      </c>
      <c r="I34" s="28" t="e">
        <f t="shared" si="4"/>
        <v>#REF!</v>
      </c>
      <c r="J34" s="28" t="e">
        <f t="shared" si="4"/>
        <v>#REF!</v>
      </c>
      <c r="K34" s="28" t="e">
        <f t="shared" si="4"/>
        <v>#REF!</v>
      </c>
      <c r="L34" s="28" t="e">
        <f t="shared" si="4"/>
        <v>#REF!</v>
      </c>
      <c r="M34" s="28" t="e">
        <f t="shared" si="4"/>
        <v>#REF!</v>
      </c>
      <c r="N34" s="28" t="e">
        <f t="shared" si="4"/>
        <v>#REF!</v>
      </c>
      <c r="O34" s="28" t="e">
        <f t="shared" si="4"/>
        <v>#REF!</v>
      </c>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6" customFormat="1" ht="15.6" x14ac:dyDescent="0.3">
      <c r="A35" s="159"/>
      <c r="B35" s="122"/>
      <c r="C35" s="108"/>
      <c r="I35" s="108"/>
      <c r="J35" s="108"/>
      <c r="K35" s="108"/>
      <c r="L35" s="108"/>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6" customFormat="1" ht="17.399999999999999" x14ac:dyDescent="0.3">
      <c r="A36" s="121" t="s">
        <v>240</v>
      </c>
      <c r="B36" s="122"/>
      <c r="C36" s="28" t="e">
        <f>-C34*Invoerblad!$E$48</f>
        <v>#REF!</v>
      </c>
      <c r="D36" s="28" t="e">
        <f>-D34*Invoerblad!$E$48</f>
        <v>#REF!</v>
      </c>
      <c r="E36" s="28" t="e">
        <f>-E34*Invoerblad!$E$48</f>
        <v>#REF!</v>
      </c>
      <c r="F36" s="28" t="e">
        <f>-F34*Invoerblad!$E$48</f>
        <v>#REF!</v>
      </c>
      <c r="G36" s="28" t="e">
        <f>-G34*Invoerblad!$E$48</f>
        <v>#REF!</v>
      </c>
      <c r="H36" s="28" t="e">
        <f>-H34*Invoerblad!$E$48</f>
        <v>#REF!</v>
      </c>
      <c r="I36" s="28" t="e">
        <f>-I34*Invoerblad!$E$48</f>
        <v>#REF!</v>
      </c>
      <c r="J36" s="28" t="e">
        <f>-J34*Invoerblad!$E$48</f>
        <v>#REF!</v>
      </c>
      <c r="K36" s="28" t="e">
        <f>-K34*Invoerblad!$E$48</f>
        <v>#REF!</v>
      </c>
      <c r="L36" s="28" t="e">
        <f>-L34*Invoerblad!$E$48</f>
        <v>#REF!</v>
      </c>
      <c r="M36" s="28" t="e">
        <f>-M34*Invoerblad!$E$48</f>
        <v>#REF!</v>
      </c>
      <c r="N36" s="28" t="e">
        <f>-N34*Invoerblad!$E$48</f>
        <v>#REF!</v>
      </c>
      <c r="O36" s="28" t="e">
        <f>-O34*Invoerblad!$E$48</f>
        <v>#REF!</v>
      </c>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6" customFormat="1" ht="17.399999999999999" x14ac:dyDescent="0.3">
      <c r="A37" s="121" t="s">
        <v>241</v>
      </c>
      <c r="B37" s="122"/>
      <c r="C37" s="28" t="e">
        <f>+C29+C36</f>
        <v>#REF!</v>
      </c>
      <c r="D37" s="28" t="e">
        <f t="shared" ref="D37:L37" si="5">+D29+D36</f>
        <v>#REF!</v>
      </c>
      <c r="E37" s="28" t="e">
        <f t="shared" si="5"/>
        <v>#REF!</v>
      </c>
      <c r="F37" s="28" t="e">
        <f t="shared" si="5"/>
        <v>#REF!</v>
      </c>
      <c r="G37" s="28" t="e">
        <f t="shared" si="5"/>
        <v>#REF!</v>
      </c>
      <c r="H37" s="28" t="e">
        <f t="shared" si="5"/>
        <v>#REF!</v>
      </c>
      <c r="I37" s="28" t="e">
        <f t="shared" si="5"/>
        <v>#REF!</v>
      </c>
      <c r="J37" s="28" t="e">
        <f t="shared" si="5"/>
        <v>#REF!</v>
      </c>
      <c r="K37" s="28" t="e">
        <f t="shared" si="5"/>
        <v>#REF!</v>
      </c>
      <c r="L37" s="28" t="e">
        <f t="shared" si="5"/>
        <v>#REF!</v>
      </c>
      <c r="M37" s="28" t="e">
        <f>+M29+M36</f>
        <v>#REF!</v>
      </c>
      <c r="N37" s="28" t="e">
        <f>+N29+N36</f>
        <v>#REF!</v>
      </c>
      <c r="O37" s="28" t="e">
        <f>+O29+O36</f>
        <v>#REF!</v>
      </c>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6" customFormat="1" ht="17.399999999999999" x14ac:dyDescent="0.3">
      <c r="A38" s="121"/>
      <c r="B38" s="122"/>
      <c r="C38" s="108"/>
      <c r="I38" s="108"/>
      <c r="J38" s="108"/>
      <c r="K38" s="108"/>
      <c r="L38" s="10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6" customFormat="1" ht="17.399999999999999" x14ac:dyDescent="0.3">
      <c r="A39" s="121" t="s">
        <v>242</v>
      </c>
      <c r="B39" s="28">
        <f>-Invoerblad!E34+Invoerblad!E44</f>
        <v>0</v>
      </c>
      <c r="C39" s="28" t="e">
        <f>+C37+C25+C26</f>
        <v>#REF!</v>
      </c>
      <c r="D39" s="28" t="e">
        <f t="shared" ref="D39:O39" si="6">+D37+D25+D26</f>
        <v>#REF!</v>
      </c>
      <c r="E39" s="28" t="e">
        <f t="shared" si="6"/>
        <v>#REF!</v>
      </c>
      <c r="F39" s="28" t="e">
        <f t="shared" si="6"/>
        <v>#REF!</v>
      </c>
      <c r="G39" s="28" t="e">
        <f t="shared" si="6"/>
        <v>#REF!</v>
      </c>
      <c r="H39" s="28" t="e">
        <f t="shared" si="6"/>
        <v>#REF!</v>
      </c>
      <c r="I39" s="28" t="e">
        <f t="shared" si="6"/>
        <v>#REF!</v>
      </c>
      <c r="J39" s="28" t="e">
        <f t="shared" si="6"/>
        <v>#REF!</v>
      </c>
      <c r="K39" s="28" t="e">
        <f t="shared" si="6"/>
        <v>#REF!</v>
      </c>
      <c r="L39" s="28" t="e">
        <f t="shared" si="6"/>
        <v>#REF!</v>
      </c>
      <c r="M39" s="28" t="e">
        <f t="shared" si="6"/>
        <v>#REF!</v>
      </c>
      <c r="N39" s="28" t="e">
        <f t="shared" si="6"/>
        <v>#REF!</v>
      </c>
      <c r="O39" s="28" t="e">
        <f t="shared" si="6"/>
        <v>#REF!</v>
      </c>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6" customFormat="1" ht="17.399999999999999" x14ac:dyDescent="0.3">
      <c r="A40" s="121"/>
      <c r="B40" s="158"/>
      <c r="C40" s="158" t="e">
        <f>+B39+C39</f>
        <v>#REF!</v>
      </c>
      <c r="D40" s="158" t="e">
        <f>+C40+D39</f>
        <v>#REF!</v>
      </c>
      <c r="E40" s="158" t="e">
        <f t="shared" ref="E40:L40" si="7">+D40+E39</f>
        <v>#REF!</v>
      </c>
      <c r="F40" s="158" t="e">
        <f t="shared" si="7"/>
        <v>#REF!</v>
      </c>
      <c r="G40" s="158" t="e">
        <f t="shared" si="7"/>
        <v>#REF!</v>
      </c>
      <c r="H40" s="158" t="e">
        <f t="shared" si="7"/>
        <v>#REF!</v>
      </c>
      <c r="I40" s="158" t="e">
        <f t="shared" si="7"/>
        <v>#REF!</v>
      </c>
      <c r="J40" s="158" t="e">
        <f t="shared" si="7"/>
        <v>#REF!</v>
      </c>
      <c r="K40" s="158" t="e">
        <f t="shared" si="7"/>
        <v>#REF!</v>
      </c>
      <c r="L40" s="158" t="e">
        <f t="shared" si="7"/>
        <v>#REF!</v>
      </c>
      <c r="M40" s="158" t="e">
        <f>+L40+M39</f>
        <v>#REF!</v>
      </c>
      <c r="N40" s="158" t="e">
        <f>+M40+N39</f>
        <v>#REF!</v>
      </c>
      <c r="O40" s="158" t="e">
        <f>+N40+O39</f>
        <v>#REF!</v>
      </c>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6" customFormat="1" ht="17.399999999999999" x14ac:dyDescent="0.3">
      <c r="A41" s="121"/>
      <c r="B41" s="158" t="e">
        <f>SUM(C41:L41)</f>
        <v>#REF!</v>
      </c>
      <c r="C41" s="158" t="e">
        <f>+C39/(1+0.08)^C6</f>
        <v>#REF!</v>
      </c>
      <c r="D41" s="158" t="e">
        <f t="shared" ref="D41:O41" si="8">+D39/(1+0.08)^D6</f>
        <v>#REF!</v>
      </c>
      <c r="E41" s="158" t="e">
        <f t="shared" si="8"/>
        <v>#REF!</v>
      </c>
      <c r="F41" s="158" t="e">
        <f t="shared" si="8"/>
        <v>#REF!</v>
      </c>
      <c r="G41" s="158" t="e">
        <f t="shared" si="8"/>
        <v>#REF!</v>
      </c>
      <c r="H41" s="158" t="e">
        <f t="shared" si="8"/>
        <v>#REF!</v>
      </c>
      <c r="I41" s="158" t="e">
        <f t="shared" si="8"/>
        <v>#REF!</v>
      </c>
      <c r="J41" s="158" t="e">
        <f t="shared" si="8"/>
        <v>#REF!</v>
      </c>
      <c r="K41" s="158" t="e">
        <f t="shared" si="8"/>
        <v>#REF!</v>
      </c>
      <c r="L41" s="158" t="e">
        <f t="shared" si="8"/>
        <v>#REF!</v>
      </c>
      <c r="M41" s="158" t="e">
        <f t="shared" si="8"/>
        <v>#REF!</v>
      </c>
      <c r="N41" s="158" t="e">
        <f t="shared" si="8"/>
        <v>#REF!</v>
      </c>
      <c r="O41" s="158" t="e">
        <f t="shared" si="8"/>
        <v>#REF!</v>
      </c>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s="6" customFormat="1" ht="17.399999999999999" x14ac:dyDescent="0.3">
      <c r="A42" s="121"/>
      <c r="B42" s="158"/>
      <c r="C42" s="158"/>
      <c r="D42" s="158"/>
      <c r="E42" s="158"/>
      <c r="F42" s="158"/>
      <c r="G42" s="158"/>
      <c r="H42" s="158"/>
      <c r="I42" s="158"/>
      <c r="J42" s="158"/>
      <c r="K42" s="158"/>
      <c r="L42" s="158"/>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6" customFormat="1" ht="17.399999999999999" x14ac:dyDescent="0.3">
      <c r="A43" s="121"/>
      <c r="B43" s="158"/>
      <c r="C43" s="158"/>
      <c r="D43" s="158"/>
      <c r="E43" s="158"/>
      <c r="F43" s="158"/>
      <c r="G43" s="158"/>
      <c r="H43" s="158"/>
      <c r="I43" s="158"/>
      <c r="J43" s="158"/>
      <c r="K43" s="158"/>
      <c r="L43" s="158"/>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3.8" x14ac:dyDescent="0.25">
      <c r="B44" s="158"/>
      <c r="C44" s="8"/>
    </row>
    <row r="45" spans="1:256" ht="13.8" x14ac:dyDescent="0.25">
      <c r="A45" s="2"/>
      <c r="B45" s="158"/>
    </row>
    <row r="46" spans="1:256" x14ac:dyDescent="0.25">
      <c r="B46" s="8"/>
    </row>
    <row r="47" spans="1:256" x14ac:dyDescent="0.25">
      <c r="A47" s="157"/>
    </row>
  </sheetData>
  <customSheetViews>
    <customSheetView guid="{D98A0717-74D0-4F54-BB8F-A337A1A9E4DF}"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5D986420-B83B-47C8-8160-784F77FFC196}"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C9029B8D-126A-43F1-8BE9-BB8A7DE12FBF}"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4284377C-91E6-4152-887E-8DA87560FDD6}"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546B9E27-05F9-47A7-B161-BCC56D613799}"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s>
  <phoneticPr fontId="0" type="noConversion"/>
  <pageMargins left="0.59055118110236227" right="0.59055118110236227" top="0.59055118110236227" bottom="0.59055118110236227" header="0.51181102362204722" footer="0.51181102362204722"/>
  <pageSetup paperSize="9" scale="43"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workbookViewId="0">
      <selection activeCell="F12" sqref="F12"/>
    </sheetView>
  </sheetViews>
  <sheetFormatPr defaultRowHeight="13.2" x14ac:dyDescent="0.25"/>
  <cols>
    <col min="1" max="1" width="35.109375" customWidth="1"/>
    <col min="2" max="2" width="17.33203125" customWidth="1"/>
    <col min="3" max="3" width="28.6640625" customWidth="1"/>
    <col min="4" max="4" width="19" bestFit="1" customWidth="1"/>
  </cols>
  <sheetData>
    <row r="1" spans="1:4" x14ac:dyDescent="0.25">
      <c r="A1" s="18" t="s">
        <v>513</v>
      </c>
    </row>
    <row r="2" spans="1:4" x14ac:dyDescent="0.25">
      <c r="A2" s="18" t="s">
        <v>514</v>
      </c>
    </row>
    <row r="4" spans="1:4" x14ac:dyDescent="0.25">
      <c r="A4" s="2" t="s">
        <v>515</v>
      </c>
      <c r="B4" s="2" t="s">
        <v>516</v>
      </c>
      <c r="C4" s="2"/>
    </row>
    <row r="5" spans="1:4" x14ac:dyDescent="0.25">
      <c r="A5" s="18"/>
      <c r="C5" s="18"/>
    </row>
    <row r="6" spans="1:4" x14ac:dyDescent="0.25">
      <c r="A6" s="2" t="s">
        <v>517</v>
      </c>
      <c r="C6" s="18"/>
    </row>
    <row r="7" spans="1:4" x14ac:dyDescent="0.25">
      <c r="A7" s="18">
        <v>13</v>
      </c>
      <c r="B7" s="18" t="s">
        <v>518</v>
      </c>
      <c r="C7" s="18"/>
    </row>
    <row r="8" spans="1:4" x14ac:dyDescent="0.25">
      <c r="A8" s="18"/>
      <c r="B8" s="18" t="s">
        <v>519</v>
      </c>
      <c r="C8" s="606"/>
      <c r="D8" s="18"/>
    </row>
    <row r="9" spans="1:4" x14ac:dyDescent="0.25">
      <c r="B9" s="18" t="s">
        <v>520</v>
      </c>
      <c r="C9" s="606"/>
      <c r="D9" s="18"/>
    </row>
    <row r="10" spans="1:4" x14ac:dyDescent="0.25">
      <c r="B10" s="18" t="s">
        <v>521</v>
      </c>
      <c r="C10" s="18"/>
    </row>
    <row r="11" spans="1:4" x14ac:dyDescent="0.25">
      <c r="B11" s="607" t="s">
        <v>522</v>
      </c>
      <c r="C11" s="608"/>
    </row>
    <row r="12" spans="1:4" x14ac:dyDescent="0.25">
      <c r="A12" s="18"/>
      <c r="B12" s="18"/>
      <c r="C12" s="609"/>
    </row>
    <row r="13" spans="1:4" x14ac:dyDescent="0.25">
      <c r="A13" s="18"/>
      <c r="B13" s="18" t="s">
        <v>523</v>
      </c>
      <c r="C13" s="610"/>
    </row>
    <row r="14" spans="1:4" x14ac:dyDescent="0.25">
      <c r="B14" s="18"/>
      <c r="C14" s="18"/>
    </row>
    <row r="15" spans="1:4" x14ac:dyDescent="0.25">
      <c r="B15" s="18"/>
      <c r="C15" s="18"/>
    </row>
    <row r="16" spans="1:4" x14ac:dyDescent="0.25">
      <c r="A16" s="2" t="s">
        <v>524</v>
      </c>
      <c r="B16" s="18"/>
      <c r="C16" s="18"/>
    </row>
    <row r="17" spans="1:6" x14ac:dyDescent="0.25">
      <c r="A17">
        <v>23</v>
      </c>
      <c r="B17" s="18" t="s">
        <v>525</v>
      </c>
      <c r="C17" s="18"/>
    </row>
    <row r="18" spans="1:6" x14ac:dyDescent="0.25">
      <c r="A18">
        <v>26</v>
      </c>
      <c r="B18" s="18" t="s">
        <v>525</v>
      </c>
      <c r="C18" s="18"/>
    </row>
    <row r="19" spans="1:6" x14ac:dyDescent="0.25">
      <c r="A19">
        <v>30</v>
      </c>
      <c r="B19" s="18" t="s">
        <v>525</v>
      </c>
      <c r="C19" s="18"/>
    </row>
    <row r="20" spans="1:6" x14ac:dyDescent="0.25">
      <c r="C20" s="18"/>
    </row>
    <row r="21" spans="1:6" x14ac:dyDescent="0.25">
      <c r="B21" s="18" t="s">
        <v>523</v>
      </c>
      <c r="C21" s="611"/>
    </row>
    <row r="22" spans="1:6" x14ac:dyDescent="0.25">
      <c r="B22" s="18"/>
      <c r="C22" s="18"/>
    </row>
    <row r="23" spans="1:6" x14ac:dyDescent="0.25">
      <c r="A23" s="2" t="s">
        <v>236</v>
      </c>
      <c r="C23" s="2"/>
      <c r="D23" s="445"/>
    </row>
    <row r="24" spans="1:6" x14ac:dyDescent="0.25">
      <c r="A24">
        <v>35</v>
      </c>
      <c r="B24" s="18" t="s">
        <v>526</v>
      </c>
      <c r="C24" s="18"/>
      <c r="D24" s="18"/>
      <c r="E24" s="18"/>
      <c r="F24" s="18"/>
    </row>
    <row r="25" spans="1:6" x14ac:dyDescent="0.25">
      <c r="B25" s="18" t="s">
        <v>527</v>
      </c>
      <c r="C25" s="18"/>
      <c r="D25" s="18"/>
      <c r="E25" s="18"/>
      <c r="F25" s="18"/>
    </row>
    <row r="26" spans="1:6" x14ac:dyDescent="0.25">
      <c r="A26" s="18"/>
      <c r="B26" s="18"/>
      <c r="C26" s="18"/>
      <c r="D26" s="18"/>
      <c r="E26" s="18"/>
      <c r="F26" s="18"/>
    </row>
    <row r="27" spans="1:6" x14ac:dyDescent="0.25">
      <c r="A27" s="18">
        <v>43</v>
      </c>
      <c r="B27" s="18" t="s">
        <v>528</v>
      </c>
      <c r="C27" s="18"/>
      <c r="E27" s="18"/>
      <c r="F27" s="18"/>
    </row>
    <row r="28" spans="1:6" x14ac:dyDescent="0.25">
      <c r="A28" s="18"/>
      <c r="B28" s="589" t="s">
        <v>254</v>
      </c>
      <c r="C28" s="18"/>
      <c r="D28" s="18"/>
      <c r="E28" s="18"/>
      <c r="F28" s="18"/>
    </row>
    <row r="30" spans="1:6" x14ac:dyDescent="0.25">
      <c r="A30" s="18"/>
      <c r="C30" s="18"/>
    </row>
    <row r="31" spans="1:6" x14ac:dyDescent="0.25">
      <c r="C31" s="18"/>
    </row>
    <row r="32" spans="1:6" x14ac:dyDescent="0.25">
      <c r="C32" s="18"/>
    </row>
    <row r="33" spans="1:3" x14ac:dyDescent="0.25">
      <c r="C33" s="18"/>
    </row>
    <row r="34" spans="1:3" x14ac:dyDescent="0.25">
      <c r="A34" s="2" t="s">
        <v>529</v>
      </c>
    </row>
  </sheetData>
  <hyperlinks>
    <hyperlink ref="B28"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pageSetUpPr fitToPage="1"/>
  </sheetPr>
  <dimension ref="A1:R130"/>
  <sheetViews>
    <sheetView showGridLines="0" zoomScale="75" workbookViewId="0">
      <selection activeCell="C16" sqref="C16"/>
    </sheetView>
  </sheetViews>
  <sheetFormatPr defaultColWidth="9.33203125" defaultRowHeight="13.2" x14ac:dyDescent="0.25"/>
  <cols>
    <col min="1" max="1" width="15.77734375" customWidth="1"/>
    <col min="3" max="3" width="39.6640625" customWidth="1"/>
    <col min="4" max="4" width="33.33203125" customWidth="1"/>
    <col min="5" max="5" width="22.6640625" bestFit="1" customWidth="1"/>
    <col min="7" max="7" width="23.6640625" bestFit="1" customWidth="1"/>
    <col min="8" max="8" width="13.109375" bestFit="1" customWidth="1"/>
    <col min="9" max="9" width="19.77734375" bestFit="1" customWidth="1"/>
    <col min="10" max="10" width="21.6640625" bestFit="1" customWidth="1"/>
    <col min="11" max="11" width="20" bestFit="1" customWidth="1"/>
    <col min="12" max="12" width="21.77734375" bestFit="1" customWidth="1"/>
    <col min="13" max="13" width="15.109375" bestFit="1" customWidth="1"/>
    <col min="18" max="18" width="37.77734375" customWidth="1"/>
  </cols>
  <sheetData>
    <row r="1" spans="1:18" ht="20.399999999999999" x14ac:dyDescent="0.35">
      <c r="A1" s="201" t="s">
        <v>110</v>
      </c>
      <c r="F1" s="360" t="s">
        <v>148</v>
      </c>
      <c r="G1" s="315"/>
    </row>
    <row r="2" spans="1:18" ht="20.399999999999999" x14ac:dyDescent="0.35">
      <c r="A2" s="201"/>
      <c r="D2" s="156"/>
      <c r="F2" s="313"/>
    </row>
    <row r="3" spans="1:18" x14ac:dyDescent="0.25">
      <c r="F3" s="313"/>
    </row>
    <row r="4" spans="1:18" ht="13.8" thickBot="1" x14ac:dyDescent="0.3">
      <c r="F4" s="18"/>
    </row>
    <row r="5" spans="1:18" x14ac:dyDescent="0.25">
      <c r="A5" s="101" t="s">
        <v>226</v>
      </c>
      <c r="B5" s="33"/>
      <c r="C5" s="33"/>
      <c r="D5" s="33"/>
      <c r="E5" s="102"/>
      <c r="F5" s="312"/>
      <c r="H5" s="151" t="s">
        <v>15</v>
      </c>
      <c r="L5" s="8"/>
      <c r="M5" s="8"/>
      <c r="N5" s="8"/>
    </row>
    <row r="6" spans="1:18" x14ac:dyDescent="0.25">
      <c r="A6" s="103"/>
      <c r="B6" s="6"/>
      <c r="C6" s="6"/>
      <c r="D6" s="6"/>
      <c r="E6" s="104"/>
      <c r="F6" s="313"/>
      <c r="L6" s="8"/>
      <c r="M6" s="8"/>
      <c r="N6" s="8"/>
    </row>
    <row r="7" spans="1:18" x14ac:dyDescent="0.25">
      <c r="A7" s="103" t="s">
        <v>152</v>
      </c>
      <c r="B7" s="6" t="s">
        <v>185</v>
      </c>
      <c r="C7" s="6"/>
      <c r="D7" s="21"/>
      <c r="E7" s="104">
        <f>+Invoerblad!E34</f>
        <v>0</v>
      </c>
      <c r="F7" s="313"/>
      <c r="J7" t="s">
        <v>154</v>
      </c>
      <c r="K7" t="s">
        <v>247</v>
      </c>
      <c r="L7" s="8" t="s">
        <v>248</v>
      </c>
      <c r="M7" s="8" t="s">
        <v>249</v>
      </c>
      <c r="N7" s="8"/>
    </row>
    <row r="8" spans="1:18" x14ac:dyDescent="0.25">
      <c r="A8" s="103"/>
      <c r="B8" s="6"/>
      <c r="C8" s="6"/>
      <c r="D8" s="21"/>
      <c r="E8" s="104"/>
      <c r="F8" s="313"/>
      <c r="I8" t="s">
        <v>246</v>
      </c>
      <c r="J8" t="s">
        <v>100</v>
      </c>
      <c r="K8" t="s">
        <v>101</v>
      </c>
      <c r="L8" t="s">
        <v>250</v>
      </c>
    </row>
    <row r="9" spans="1:18" x14ac:dyDescent="0.25">
      <c r="A9" s="103" t="s">
        <v>153</v>
      </c>
      <c r="B9" s="6" t="s">
        <v>114</v>
      </c>
      <c r="C9" s="6"/>
      <c r="D9" s="21"/>
      <c r="E9" s="104"/>
      <c r="F9" s="313"/>
      <c r="I9">
        <v>1</v>
      </c>
      <c r="J9" s="7">
        <f>+'Hulpberekeningen 1'!G5</f>
        <v>0</v>
      </c>
      <c r="K9" s="7">
        <f>+E34</f>
        <v>0</v>
      </c>
      <c r="L9" s="8">
        <f>+K9+D23</f>
        <v>0</v>
      </c>
      <c r="M9" s="8" t="str">
        <f>IF(J9=0,"",IF(+J9-K9&lt;0,0,J9-K9))</f>
        <v/>
      </c>
    </row>
    <row r="10" spans="1:18" x14ac:dyDescent="0.25">
      <c r="A10" s="103"/>
      <c r="B10" s="6"/>
      <c r="C10" s="6"/>
      <c r="D10" s="21"/>
      <c r="E10" s="104"/>
      <c r="F10" s="313"/>
      <c r="I10">
        <v>2</v>
      </c>
      <c r="J10" s="7">
        <f>+'Overzicht MSK toets'!J9+'Hulpberekeningen 1'!H5</f>
        <v>0</v>
      </c>
      <c r="K10" s="7">
        <f t="shared" ref="K10:L17" si="0">+K9</f>
        <v>0</v>
      </c>
      <c r="L10" s="8">
        <f t="shared" si="0"/>
        <v>0</v>
      </c>
      <c r="M10" s="8" t="str">
        <f t="shared" ref="M10:M24" si="1">IF(J10=0,"",IF(+J10-K10&lt;0,0,J10-K10))</f>
        <v/>
      </c>
    </row>
    <row r="11" spans="1:18" x14ac:dyDescent="0.25">
      <c r="A11" s="103"/>
      <c r="B11" s="6"/>
      <c r="C11" s="6" t="s">
        <v>99</v>
      </c>
      <c r="D11" s="21">
        <f>IF(LEFT(Invoerblad!F15,5)="apr09",0,'Rendement geinv. vermogen'!$B$29)</f>
        <v>0</v>
      </c>
      <c r="E11" s="104"/>
      <c r="F11" s="313"/>
      <c r="I11">
        <v>3</v>
      </c>
      <c r="J11" s="7">
        <f>+'Overzicht MSK toets'!J10+'Hulpberekeningen 1'!I5</f>
        <v>0</v>
      </c>
      <c r="K11" s="7">
        <f t="shared" si="0"/>
        <v>0</v>
      </c>
      <c r="L11" s="8">
        <f t="shared" si="0"/>
        <v>0</v>
      </c>
      <c r="M11" s="8" t="str">
        <f t="shared" si="1"/>
        <v/>
      </c>
      <c r="R11" s="8"/>
    </row>
    <row r="12" spans="1:18" x14ac:dyDescent="0.25">
      <c r="A12" s="103"/>
      <c r="B12" s="6"/>
      <c r="C12" s="6" t="s">
        <v>183</v>
      </c>
      <c r="D12" s="21">
        <f>+Invoerblad!E52</f>
        <v>0</v>
      </c>
      <c r="E12" s="104"/>
      <c r="F12" s="134"/>
      <c r="I12">
        <v>4</v>
      </c>
      <c r="J12" s="7">
        <f>+'Overzicht MSK toets'!J11+'Hulpberekeningen 1'!J5</f>
        <v>0</v>
      </c>
      <c r="K12" s="7">
        <f t="shared" si="0"/>
        <v>0</v>
      </c>
      <c r="L12" s="8">
        <f t="shared" si="0"/>
        <v>0</v>
      </c>
      <c r="M12" s="8" t="str">
        <f t="shared" si="1"/>
        <v/>
      </c>
    </row>
    <row r="13" spans="1:18" ht="13.8" thickBot="1" x14ac:dyDescent="0.3">
      <c r="A13" s="103"/>
      <c r="B13" s="6"/>
      <c r="C13" s="6"/>
      <c r="D13" s="83"/>
      <c r="E13" s="104"/>
      <c r="F13" s="298"/>
      <c r="I13">
        <v>5</v>
      </c>
      <c r="J13" s="7">
        <f>+'Overzicht MSK toets'!J12+'Hulpberekeningen 1'!K5</f>
        <v>0</v>
      </c>
      <c r="K13" s="7">
        <f t="shared" si="0"/>
        <v>0</v>
      </c>
      <c r="L13" s="8">
        <f t="shared" si="0"/>
        <v>0</v>
      </c>
      <c r="M13" s="8" t="str">
        <f t="shared" si="1"/>
        <v/>
      </c>
    </row>
    <row r="14" spans="1:18" x14ac:dyDescent="0.25">
      <c r="A14" s="103"/>
      <c r="B14" s="6" t="s">
        <v>170</v>
      </c>
      <c r="C14" s="105" t="s">
        <v>184</v>
      </c>
      <c r="D14" s="107">
        <f>SUM(D11:D12)</f>
        <v>0</v>
      </c>
      <c r="E14" s="104"/>
      <c r="F14" s="298"/>
      <c r="I14">
        <v>6</v>
      </c>
      <c r="J14" s="7">
        <f>+'Overzicht MSK toets'!J13+'Hulpberekeningen 1'!L5</f>
        <v>0</v>
      </c>
      <c r="K14" s="7">
        <f t="shared" si="0"/>
        <v>0</v>
      </c>
      <c r="L14" s="8">
        <f t="shared" si="0"/>
        <v>0</v>
      </c>
      <c r="M14" s="8" t="str">
        <f t="shared" si="1"/>
        <v/>
      </c>
      <c r="R14" s="8"/>
    </row>
    <row r="15" spans="1:18" x14ac:dyDescent="0.25">
      <c r="A15" s="103"/>
      <c r="B15" s="6"/>
      <c r="C15" s="105"/>
      <c r="D15" s="21"/>
      <c r="E15" s="104"/>
      <c r="F15" s="298"/>
      <c r="I15">
        <v>7</v>
      </c>
      <c r="J15" s="7">
        <f>+'Overzicht MSK toets'!J14+'Hulpberekeningen 1'!M5</f>
        <v>0</v>
      </c>
      <c r="K15" s="7">
        <f t="shared" si="0"/>
        <v>0</v>
      </c>
      <c r="L15" s="8">
        <f t="shared" si="0"/>
        <v>0</v>
      </c>
      <c r="M15" s="8" t="str">
        <f t="shared" si="1"/>
        <v/>
      </c>
      <c r="R15" s="8"/>
    </row>
    <row r="16" spans="1:18" x14ac:dyDescent="0.25">
      <c r="A16" s="103"/>
      <c r="B16" s="6"/>
      <c r="C16" s="131" t="str">
        <f>Invoerblad!B39</f>
        <v>…. subsidies (euro's)</v>
      </c>
      <c r="D16" s="21">
        <f>+Invoerblad!E39</f>
        <v>0</v>
      </c>
      <c r="E16" s="104"/>
      <c r="F16" s="298"/>
      <c r="I16">
        <v>8</v>
      </c>
      <c r="J16" s="7">
        <f>+'Overzicht MSK toets'!J15+'Hulpberekeningen 1'!N5</f>
        <v>0</v>
      </c>
      <c r="K16" s="7">
        <f t="shared" si="0"/>
        <v>0</v>
      </c>
      <c r="L16" s="8">
        <f t="shared" si="0"/>
        <v>0</v>
      </c>
      <c r="M16" s="8" t="str">
        <f t="shared" si="1"/>
        <v/>
      </c>
      <c r="R16" s="8"/>
    </row>
    <row r="17" spans="1:18" ht="13.8" x14ac:dyDescent="0.25">
      <c r="A17" s="103"/>
      <c r="B17" s="6"/>
      <c r="C17" s="220" t="str">
        <f>Invoerblad!B40</f>
        <v>…. subsidie (euro's)</v>
      </c>
      <c r="D17" s="21">
        <f>+Invoerblad!E40</f>
        <v>0</v>
      </c>
      <c r="E17" s="104"/>
      <c r="F17" s="298"/>
      <c r="I17">
        <v>9</v>
      </c>
      <c r="J17" s="7">
        <f>+'Overzicht MSK toets'!J16+'Hulpberekeningen 1'!O5</f>
        <v>0</v>
      </c>
      <c r="K17" s="7">
        <f t="shared" si="0"/>
        <v>0</v>
      </c>
      <c r="L17" s="8">
        <f t="shared" si="0"/>
        <v>0</v>
      </c>
      <c r="M17" s="8" t="str">
        <f t="shared" si="1"/>
        <v/>
      </c>
      <c r="R17" s="8"/>
    </row>
    <row r="18" spans="1:18" ht="13.8" x14ac:dyDescent="0.25">
      <c r="A18" s="103"/>
      <c r="B18" s="6"/>
      <c r="C18" s="220" t="str">
        <f>Invoerblad!B41</f>
        <v>…. subsidies (euro's)</v>
      </c>
      <c r="D18" s="21">
        <f>+Invoerblad!E41</f>
        <v>0</v>
      </c>
      <c r="E18" s="104"/>
      <c r="F18" s="298"/>
      <c r="I18">
        <v>10</v>
      </c>
      <c r="J18" s="208">
        <f>+'Overzicht MSK toets'!J17+'Hulpberekeningen 1'!P5</f>
        <v>0</v>
      </c>
      <c r="K18" s="7">
        <f t="shared" ref="K18:K24" si="2">+K17</f>
        <v>0</v>
      </c>
      <c r="L18" s="8">
        <f t="shared" ref="L18:L24" si="3">+L17</f>
        <v>0</v>
      </c>
      <c r="M18" s="8" t="str">
        <f t="shared" si="1"/>
        <v/>
      </c>
      <c r="R18" s="8"/>
    </row>
    <row r="19" spans="1:18" ht="13.8" x14ac:dyDescent="0.25">
      <c r="A19" s="103"/>
      <c r="B19" s="6"/>
      <c r="C19" s="220" t="s">
        <v>335</v>
      </c>
      <c r="D19" s="21">
        <f>SUM(Invoerblad!E42)</f>
        <v>0</v>
      </c>
      <c r="E19" s="104"/>
      <c r="F19" s="298"/>
      <c r="I19">
        <v>11</v>
      </c>
      <c r="J19" s="208">
        <f>+'Overzicht MSK toets'!J18+'Hulpberekeningen 1'!Q5</f>
        <v>0</v>
      </c>
      <c r="K19" s="7">
        <f t="shared" si="2"/>
        <v>0</v>
      </c>
      <c r="L19" s="8">
        <f t="shared" si="3"/>
        <v>0</v>
      </c>
      <c r="M19" s="8" t="str">
        <f t="shared" si="1"/>
        <v/>
      </c>
      <c r="R19" s="8"/>
    </row>
    <row r="20" spans="1:18" ht="13.8" x14ac:dyDescent="0.25">
      <c r="A20" s="103"/>
      <c r="B20" s="6"/>
      <c r="C20" s="220" t="s">
        <v>292</v>
      </c>
      <c r="D20" s="115">
        <f>Invoerblad!E43</f>
        <v>0</v>
      </c>
      <c r="E20" s="104"/>
      <c r="F20" s="298"/>
      <c r="I20">
        <v>12</v>
      </c>
      <c r="J20" s="208">
        <f>+'Overzicht MSK toets'!J19+'Hulpberekeningen 1'!R5</f>
        <v>0</v>
      </c>
      <c r="K20" s="7">
        <f t="shared" si="2"/>
        <v>0</v>
      </c>
      <c r="L20" s="8">
        <f t="shared" si="3"/>
        <v>0</v>
      </c>
      <c r="M20" s="8" t="str">
        <f t="shared" si="1"/>
        <v/>
      </c>
      <c r="R20" s="8"/>
    </row>
    <row r="21" spans="1:18" x14ac:dyDescent="0.25">
      <c r="A21" s="103"/>
      <c r="B21" s="6"/>
      <c r="C21" s="6" t="s">
        <v>181</v>
      </c>
      <c r="D21" s="21">
        <f>+Invoerblad!E60</f>
        <v>0</v>
      </c>
      <c r="E21" s="104"/>
      <c r="F21" s="298"/>
      <c r="I21">
        <v>13</v>
      </c>
      <c r="J21" s="208">
        <f>IF('Hulpberekeningen 1'!S5=0,0,+'Overzicht MSK toets'!J20+'Hulpberekeningen 1'!S5)</f>
        <v>0</v>
      </c>
      <c r="K21" s="7">
        <f t="shared" si="2"/>
        <v>0</v>
      </c>
      <c r="L21" s="8">
        <f t="shared" si="3"/>
        <v>0</v>
      </c>
      <c r="M21" s="8" t="str">
        <f t="shared" si="1"/>
        <v/>
      </c>
      <c r="R21" s="8"/>
    </row>
    <row r="22" spans="1:18" ht="13.8" thickBot="1" x14ac:dyDescent="0.3">
      <c r="A22" s="103"/>
      <c r="B22" s="6"/>
      <c r="C22" s="6" t="s">
        <v>182</v>
      </c>
      <c r="D22" s="83">
        <f>+Invoerblad!E55</f>
        <v>0</v>
      </c>
      <c r="E22" s="104"/>
      <c r="F22" s="314"/>
      <c r="I22">
        <v>14</v>
      </c>
      <c r="J22" s="208">
        <f>IF('Hulpberekeningen 1'!T5=0,0,+'Overzicht MSK toets'!J21+'Hulpberekeningen 1'!T5)</f>
        <v>0</v>
      </c>
      <c r="K22" s="7">
        <f t="shared" si="2"/>
        <v>0</v>
      </c>
      <c r="L22" s="8">
        <f t="shared" si="3"/>
        <v>0</v>
      </c>
      <c r="M22" s="8" t="str">
        <f t="shared" si="1"/>
        <v/>
      </c>
    </row>
    <row r="23" spans="1:18" x14ac:dyDescent="0.25">
      <c r="A23" s="103"/>
      <c r="B23" s="6" t="s">
        <v>171</v>
      </c>
      <c r="C23" s="106" t="s">
        <v>184</v>
      </c>
      <c r="D23" s="107">
        <f>SUM(D16:D22)</f>
        <v>0</v>
      </c>
      <c r="E23" s="104"/>
      <c r="F23" s="314"/>
      <c r="I23">
        <v>15</v>
      </c>
      <c r="J23" s="208">
        <f>IF('Hulpberekeningen 1'!U5=0,0,+'Overzicht MSK toets'!J22+'Hulpberekeningen 1'!U5)</f>
        <v>0</v>
      </c>
      <c r="K23" s="7">
        <f t="shared" si="2"/>
        <v>0</v>
      </c>
      <c r="L23" s="8">
        <f t="shared" si="3"/>
        <v>0</v>
      </c>
      <c r="M23" s="8" t="str">
        <f t="shared" si="1"/>
        <v/>
      </c>
      <c r="R23" s="7"/>
    </row>
    <row r="24" spans="1:18" x14ac:dyDescent="0.25">
      <c r="A24" s="103"/>
      <c r="B24" s="6" t="s">
        <v>186</v>
      </c>
      <c r="C24" s="106"/>
      <c r="D24" s="107"/>
      <c r="E24" s="104">
        <f>+D23+D14</f>
        <v>0</v>
      </c>
      <c r="F24" s="298"/>
      <c r="I24">
        <v>16</v>
      </c>
      <c r="J24" s="208">
        <f>IF('Hulpberekeningen 1'!V5=0,0,+'Overzicht MSK toets'!J23+'Hulpberekeningen 1'!V5)</f>
        <v>0</v>
      </c>
      <c r="K24" s="7">
        <f t="shared" si="2"/>
        <v>0</v>
      </c>
      <c r="L24" s="8">
        <f t="shared" si="3"/>
        <v>0</v>
      </c>
      <c r="M24" s="8" t="str">
        <f t="shared" si="1"/>
        <v/>
      </c>
      <c r="R24" s="8"/>
    </row>
    <row r="25" spans="1:18" x14ac:dyDescent="0.25">
      <c r="A25" s="103"/>
      <c r="B25" s="6"/>
      <c r="C25" s="6"/>
      <c r="D25" s="21"/>
      <c r="E25" s="104"/>
      <c r="F25" s="298"/>
      <c r="J25" s="208"/>
      <c r="K25" s="7"/>
      <c r="L25" s="8"/>
      <c r="M25" s="8"/>
      <c r="Q25" s="35"/>
      <c r="R25" s="7"/>
    </row>
    <row r="26" spans="1:18" x14ac:dyDescent="0.25">
      <c r="A26" s="103" t="s">
        <v>188</v>
      </c>
      <c r="B26" s="108" t="s">
        <v>187</v>
      </c>
      <c r="C26" s="108"/>
      <c r="D26" s="107"/>
      <c r="E26" s="104">
        <f>+E7-E24</f>
        <v>0</v>
      </c>
      <c r="F26" s="298"/>
      <c r="J26" s="208"/>
      <c r="K26" s="7"/>
      <c r="L26" s="8"/>
      <c r="M26" s="8"/>
    </row>
    <row r="27" spans="1:18" x14ac:dyDescent="0.25">
      <c r="A27" s="103"/>
      <c r="B27" s="6"/>
      <c r="C27" s="6"/>
      <c r="D27" s="21"/>
      <c r="E27" s="104"/>
      <c r="F27" s="298"/>
      <c r="J27" s="208"/>
      <c r="K27" s="7"/>
      <c r="L27" s="8"/>
      <c r="M27" s="8"/>
    </row>
    <row r="28" spans="1:18" ht="13.8" x14ac:dyDescent="0.25">
      <c r="A28" s="103" t="s">
        <v>173</v>
      </c>
      <c r="B28" s="6" t="s">
        <v>180</v>
      </c>
      <c r="C28" s="6"/>
      <c r="D28" s="21"/>
      <c r="E28" s="104">
        <f>+'Rendement geinv. vermogen'!B20</f>
        <v>0</v>
      </c>
      <c r="F28" s="360" t="s">
        <v>148</v>
      </c>
      <c r="J28" s="208"/>
      <c r="K28" s="7"/>
      <c r="L28" s="8"/>
      <c r="M28" s="8"/>
    </row>
    <row r="29" spans="1:18" x14ac:dyDescent="0.25">
      <c r="A29" s="103"/>
      <c r="B29" s="6"/>
      <c r="C29" s="6"/>
      <c r="D29" s="21"/>
      <c r="E29" s="104"/>
    </row>
    <row r="30" spans="1:18" x14ac:dyDescent="0.25">
      <c r="A30" s="103" t="s">
        <v>350</v>
      </c>
      <c r="B30" s="131" t="s">
        <v>374</v>
      </c>
      <c r="C30" s="6"/>
      <c r="D30" s="21"/>
      <c r="E30" s="104">
        <f>Invoerblad!I106</f>
        <v>0</v>
      </c>
    </row>
    <row r="31" spans="1:18" x14ac:dyDescent="0.25">
      <c r="A31" s="103"/>
      <c r="B31" s="6"/>
      <c r="C31" s="6"/>
      <c r="D31" s="21"/>
      <c r="E31" s="104"/>
    </row>
    <row r="32" spans="1:18" x14ac:dyDescent="0.25">
      <c r="A32" s="103" t="s">
        <v>154</v>
      </c>
      <c r="B32" s="6" t="s">
        <v>115</v>
      </c>
      <c r="C32" s="6"/>
      <c r="D32" s="21"/>
      <c r="E32" s="120">
        <f>SUM(Invoerblad!I110:I113)</f>
        <v>0</v>
      </c>
    </row>
    <row r="33" spans="1:7" x14ac:dyDescent="0.25">
      <c r="A33" s="103"/>
      <c r="B33" s="6"/>
      <c r="C33" s="6"/>
      <c r="D33" s="21"/>
      <c r="E33" s="104"/>
    </row>
    <row r="34" spans="1:7" x14ac:dyDescent="0.25">
      <c r="A34" s="103" t="s">
        <v>351</v>
      </c>
      <c r="B34" s="6" t="s">
        <v>231</v>
      </c>
      <c r="C34" s="6"/>
      <c r="D34" s="21"/>
      <c r="E34" s="104">
        <f>IF((+E26+E28-E30+E32)&lt;0,0,+E26+E28-E30+E32)</f>
        <v>0</v>
      </c>
      <c r="F34" s="313"/>
    </row>
    <row r="35" spans="1:7" x14ac:dyDescent="0.25">
      <c r="A35" s="103"/>
      <c r="B35" s="6"/>
      <c r="C35" s="6"/>
      <c r="D35" s="21"/>
      <c r="E35" s="104"/>
      <c r="F35" s="313"/>
    </row>
    <row r="36" spans="1:7" ht="13.8" x14ac:dyDescent="0.25">
      <c r="A36" s="103" t="s">
        <v>352</v>
      </c>
      <c r="B36" s="6" t="s">
        <v>251</v>
      </c>
      <c r="C36" s="6"/>
      <c r="D36" s="21"/>
      <c r="E36" s="104">
        <f>+Invoerblad!I91+Invoerblad!I30+Invoerblad!I92+Invoerblad!I93</f>
        <v>0</v>
      </c>
      <c r="F36" s="360" t="s">
        <v>148</v>
      </c>
    </row>
    <row r="37" spans="1:7" x14ac:dyDescent="0.25">
      <c r="A37" s="103"/>
      <c r="B37" s="6"/>
      <c r="C37" s="6"/>
      <c r="D37" s="21"/>
      <c r="E37" s="104"/>
    </row>
    <row r="38" spans="1:7" x14ac:dyDescent="0.25">
      <c r="A38" s="103" t="s">
        <v>354</v>
      </c>
      <c r="B38" s="125" t="s">
        <v>486</v>
      </c>
      <c r="C38" s="6"/>
      <c r="D38" s="21"/>
      <c r="E38" s="104">
        <f>E34-E36</f>
        <v>0</v>
      </c>
      <c r="F38" s="313"/>
    </row>
    <row r="39" spans="1:7" x14ac:dyDescent="0.25">
      <c r="A39" s="103" t="s">
        <v>338</v>
      </c>
      <c r="B39" s="125" t="s">
        <v>487</v>
      </c>
      <c r="C39" s="6"/>
      <c r="D39" s="21"/>
      <c r="E39" s="104">
        <f>E26+E28-E36</f>
        <v>0</v>
      </c>
      <c r="F39" s="313"/>
    </row>
    <row r="40" spans="1:7" x14ac:dyDescent="0.25">
      <c r="B40" s="125"/>
      <c r="C40" s="6"/>
      <c r="D40" s="21"/>
      <c r="E40" s="112"/>
      <c r="F40" s="313"/>
    </row>
    <row r="41" spans="1:7" x14ac:dyDescent="0.25">
      <c r="A41" s="103" t="s">
        <v>353</v>
      </c>
      <c r="B41" s="125" t="s">
        <v>488</v>
      </c>
      <c r="C41" s="6"/>
      <c r="D41" s="21"/>
      <c r="E41" s="112">
        <f>IF(E38&lt;0,-E38,0)</f>
        <v>0</v>
      </c>
      <c r="F41" s="313"/>
    </row>
    <row r="42" spans="1:7" x14ac:dyDescent="0.25">
      <c r="A42" s="103" t="s">
        <v>355</v>
      </c>
      <c r="B42" s="125" t="s">
        <v>489</v>
      </c>
      <c r="C42" s="6"/>
      <c r="D42" s="21"/>
      <c r="E42" s="112">
        <f>IF(E39&lt;0,-E39,0)</f>
        <v>0</v>
      </c>
      <c r="F42" s="313"/>
    </row>
    <row r="43" spans="1:7" ht="13.8" thickBot="1" x14ac:dyDescent="0.3">
      <c r="A43" s="109"/>
      <c r="B43" s="29"/>
      <c r="C43" s="29"/>
      <c r="D43" s="83"/>
      <c r="E43" s="113"/>
      <c r="F43" s="313"/>
      <c r="G43" s="134"/>
    </row>
    <row r="44" spans="1:7" x14ac:dyDescent="0.25">
      <c r="D44" s="7"/>
      <c r="E44" s="7"/>
      <c r="F44" s="313"/>
      <c r="G44" s="134"/>
    </row>
    <row r="45" spans="1:7" ht="13.8" thickBot="1" x14ac:dyDescent="0.3">
      <c r="D45" s="7"/>
      <c r="E45" s="7"/>
      <c r="G45" s="133"/>
    </row>
    <row r="46" spans="1:7" ht="15.6" x14ac:dyDescent="0.3">
      <c r="A46" s="370" t="s">
        <v>7</v>
      </c>
      <c r="B46" s="33"/>
      <c r="C46" s="33"/>
      <c r="D46" s="114"/>
      <c r="E46" s="102"/>
      <c r="F46" s="313"/>
      <c r="G46" s="133"/>
    </row>
    <row r="47" spans="1:7" x14ac:dyDescent="0.25">
      <c r="A47" s="103"/>
      <c r="B47" s="6"/>
      <c r="C47" s="6"/>
      <c r="D47" s="21"/>
      <c r="E47" s="104"/>
      <c r="F47" s="313"/>
      <c r="G47" s="133"/>
    </row>
    <row r="48" spans="1:7" x14ac:dyDescent="0.25">
      <c r="A48" s="584" t="s">
        <v>485</v>
      </c>
      <c r="B48" s="6"/>
      <c r="C48" s="6"/>
      <c r="D48" s="21"/>
      <c r="E48" s="104"/>
      <c r="F48" s="313"/>
      <c r="G48" s="133"/>
    </row>
    <row r="49" spans="1:7" x14ac:dyDescent="0.25">
      <c r="A49" s="111"/>
      <c r="B49" s="6"/>
      <c r="C49" s="6"/>
      <c r="D49" s="21"/>
      <c r="E49" s="104"/>
      <c r="F49" s="313"/>
      <c r="G49" s="133"/>
    </row>
    <row r="50" spans="1:7" x14ac:dyDescent="0.25">
      <c r="A50" s="111"/>
      <c r="B50" s="6"/>
      <c r="C50" s="6"/>
      <c r="D50" s="21"/>
      <c r="E50" s="104"/>
      <c r="F50" s="313"/>
      <c r="G50" s="133"/>
    </row>
    <row r="51" spans="1:7" ht="13.8" x14ac:dyDescent="0.25">
      <c r="A51" s="111" t="s">
        <v>199</v>
      </c>
      <c r="B51" s="125" t="s">
        <v>440</v>
      </c>
      <c r="C51" s="6"/>
      <c r="D51" s="21"/>
      <c r="E51" s="465">
        <f>IF('Hulpberekeningen 1'!G48&lt;=10000,0,SMALL('Hulpberekeningen 1'!G46:G47,1))</f>
        <v>0</v>
      </c>
      <c r="F51" s="360" t="s">
        <v>148</v>
      </c>
      <c r="G51" s="133"/>
    </row>
    <row r="52" spans="1:7" x14ac:dyDescent="0.25">
      <c r="A52" s="103"/>
      <c r="B52" s="6"/>
      <c r="C52" s="6"/>
      <c r="D52" s="21"/>
      <c r="E52" s="104"/>
      <c r="F52" s="313"/>
      <c r="G52" s="133"/>
    </row>
    <row r="53" spans="1:7" x14ac:dyDescent="0.25">
      <c r="A53" s="103" t="s">
        <v>200</v>
      </c>
      <c r="B53" s="6" t="s">
        <v>27</v>
      </c>
      <c r="C53" s="6"/>
      <c r="D53" s="21"/>
      <c r="E53" s="112">
        <f>+'Hulpberekeningen 1'!$M$29</f>
        <v>0</v>
      </c>
      <c r="F53" s="124"/>
      <c r="G53" s="133"/>
    </row>
    <row r="54" spans="1:7" x14ac:dyDescent="0.25">
      <c r="A54" s="103"/>
      <c r="B54" s="6"/>
      <c r="C54" s="6"/>
      <c r="D54" s="21"/>
      <c r="E54" s="112"/>
      <c r="F54" s="124"/>
      <c r="G54" s="133"/>
    </row>
    <row r="55" spans="1:7" ht="15.6" x14ac:dyDescent="0.3">
      <c r="A55" s="111" t="s">
        <v>227</v>
      </c>
      <c r="B55" s="125" t="s">
        <v>255</v>
      </c>
      <c r="C55" s="6"/>
      <c r="D55" s="21"/>
      <c r="E55" s="371">
        <f ca="1">+'Hulpberekeningen 1'!M15</f>
        <v>0</v>
      </c>
      <c r="F55" s="360" t="s">
        <v>148</v>
      </c>
      <c r="G55" s="133"/>
    </row>
    <row r="56" spans="1:7" ht="15.6" x14ac:dyDescent="0.3">
      <c r="A56" s="111" t="s">
        <v>337</v>
      </c>
      <c r="B56" s="496" t="s">
        <v>452</v>
      </c>
      <c r="C56" s="6"/>
      <c r="D56" s="210"/>
      <c r="E56" s="371">
        <f ca="1">'Hulpberekeningen 1'!G42</f>
        <v>0</v>
      </c>
      <c r="F56" s="360" t="s">
        <v>148</v>
      </c>
      <c r="G56" s="133"/>
    </row>
    <row r="57" spans="1:7" x14ac:dyDescent="0.25">
      <c r="A57" s="103"/>
      <c r="B57" s="6"/>
      <c r="C57" s="6"/>
      <c r="D57" s="21"/>
      <c r="E57" s="104"/>
      <c r="F57" s="313"/>
      <c r="G57" s="133"/>
    </row>
    <row r="58" spans="1:7" x14ac:dyDescent="0.25">
      <c r="A58" s="103"/>
      <c r="B58" s="37"/>
      <c r="C58" s="6"/>
      <c r="D58" s="21"/>
      <c r="E58" s="104"/>
      <c r="F58" s="313"/>
      <c r="G58" s="133"/>
    </row>
    <row r="59" spans="1:7" x14ac:dyDescent="0.25">
      <c r="A59" s="103" t="s">
        <v>228</v>
      </c>
      <c r="B59" s="6" t="s">
        <v>25</v>
      </c>
      <c r="C59" s="6"/>
      <c r="D59" s="21"/>
      <c r="E59" s="112">
        <f>+'Hulpberekeningen 1'!W10</f>
        <v>0</v>
      </c>
      <c r="F59" s="313"/>
      <c r="G59" s="133"/>
    </row>
    <row r="60" spans="1:7" ht="13.8" x14ac:dyDescent="0.25">
      <c r="A60" s="111"/>
      <c r="B60" s="180"/>
      <c r="C60" s="6"/>
      <c r="D60" s="21"/>
      <c r="E60" s="112"/>
      <c r="F60" s="360" t="s">
        <v>148</v>
      </c>
      <c r="G60" s="133"/>
    </row>
    <row r="61" spans="1:7" x14ac:dyDescent="0.25">
      <c r="A61" s="103"/>
      <c r="B61" s="6"/>
      <c r="C61" s="6"/>
      <c r="D61" s="21"/>
      <c r="E61" s="104"/>
      <c r="F61" s="313"/>
      <c r="G61" s="133"/>
    </row>
    <row r="62" spans="1:7" ht="13.8" x14ac:dyDescent="0.25">
      <c r="A62" s="103" t="s">
        <v>347</v>
      </c>
      <c r="B62" s="6" t="s">
        <v>26</v>
      </c>
      <c r="C62" s="6"/>
      <c r="D62" s="6"/>
      <c r="E62" s="112">
        <f ca="1">+E59-E55</f>
        <v>0</v>
      </c>
      <c r="F62" s="360" t="s">
        <v>148</v>
      </c>
      <c r="G62" s="134"/>
    </row>
    <row r="63" spans="1:7" x14ac:dyDescent="0.25">
      <c r="A63" s="111"/>
      <c r="B63" s="125"/>
      <c r="C63" s="6"/>
      <c r="D63" s="6"/>
      <c r="E63" s="112"/>
      <c r="F63" s="313"/>
      <c r="G63" s="134"/>
    </row>
    <row r="64" spans="1:7" ht="13.8" thickBot="1" x14ac:dyDescent="0.3">
      <c r="A64" s="109"/>
      <c r="B64" s="29"/>
      <c r="C64" s="29"/>
      <c r="D64" s="29"/>
      <c r="E64" s="110"/>
      <c r="F64" s="313"/>
    </row>
    <row r="65" spans="1:14" ht="15.6" x14ac:dyDescent="0.3">
      <c r="A65" s="232"/>
      <c r="B65" s="229"/>
      <c r="C65" s="108"/>
      <c r="D65" s="108"/>
      <c r="E65" s="231"/>
      <c r="G65" s="130"/>
      <c r="H65" s="98"/>
      <c r="I65" s="8"/>
    </row>
    <row r="66" spans="1:14" ht="15.6" x14ac:dyDescent="0.3">
      <c r="A66" s="232"/>
      <c r="B66" s="229"/>
      <c r="C66" s="108"/>
      <c r="D66" s="108"/>
      <c r="E66" s="231"/>
      <c r="F66" s="313"/>
      <c r="G66" s="99"/>
      <c r="H66" s="18"/>
    </row>
    <row r="67" spans="1:14" ht="15.6" x14ac:dyDescent="0.3">
      <c r="A67" s="232"/>
      <c r="B67" s="108"/>
      <c r="C67" s="108"/>
      <c r="D67" s="108"/>
      <c r="E67" s="233"/>
      <c r="F67" s="313"/>
      <c r="G67" s="99"/>
      <c r="H67" s="18"/>
    </row>
    <row r="68" spans="1:14" ht="15.6" x14ac:dyDescent="0.3">
      <c r="A68" s="232"/>
      <c r="B68" s="108"/>
      <c r="C68" s="108"/>
      <c r="D68" s="108"/>
      <c r="E68" s="233"/>
      <c r="F68" s="313"/>
      <c r="G68" s="147"/>
      <c r="H68" s="18"/>
    </row>
    <row r="69" spans="1:14" ht="15.6" x14ac:dyDescent="0.3">
      <c r="A69" s="232"/>
      <c r="B69" s="108"/>
      <c r="C69" s="108"/>
      <c r="D69" s="108"/>
      <c r="E69" s="233"/>
      <c r="F69" s="313"/>
      <c r="G69" s="147"/>
      <c r="H69" s="18"/>
    </row>
    <row r="70" spans="1:14" ht="15.6" x14ac:dyDescent="0.3">
      <c r="A70" s="232"/>
      <c r="B70" s="198"/>
      <c r="C70" s="199"/>
      <c r="D70" s="125"/>
      <c r="E70" s="234"/>
      <c r="G70" s="147"/>
      <c r="H70" s="18"/>
    </row>
    <row r="71" spans="1:14" ht="15.6" x14ac:dyDescent="0.3">
      <c r="A71" s="232"/>
      <c r="B71" s="6"/>
      <c r="C71" s="6"/>
      <c r="D71" s="6"/>
      <c r="E71" s="233"/>
      <c r="G71" s="170"/>
      <c r="H71" s="18"/>
    </row>
    <row r="72" spans="1:14" ht="15.6" x14ac:dyDescent="0.3">
      <c r="A72" s="235"/>
      <c r="B72" s="6"/>
      <c r="C72" s="6"/>
      <c r="D72" s="6"/>
      <c r="E72" s="21"/>
      <c r="G72" s="122"/>
      <c r="H72" s="229"/>
      <c r="I72" s="108"/>
      <c r="J72" s="108"/>
      <c r="K72" s="231"/>
    </row>
    <row r="73" spans="1:14" ht="15.6" x14ac:dyDescent="0.3">
      <c r="A73" s="6"/>
      <c r="B73" s="6"/>
      <c r="C73" s="6"/>
      <c r="D73" s="6"/>
      <c r="E73" s="236"/>
      <c r="G73" s="232"/>
      <c r="H73" s="229"/>
      <c r="I73" s="108"/>
      <c r="J73" s="108"/>
      <c r="K73" s="231"/>
    </row>
    <row r="74" spans="1:14" ht="15.6" hidden="1" x14ac:dyDescent="0.3">
      <c r="E74" s="7"/>
      <c r="G74" s="232"/>
      <c r="H74" s="229"/>
      <c r="I74" s="108"/>
      <c r="J74" s="108"/>
      <c r="K74" s="231"/>
    </row>
    <row r="75" spans="1:14" ht="15.6" x14ac:dyDescent="0.3">
      <c r="A75" s="2"/>
      <c r="C75" s="156"/>
      <c r="E75" s="7"/>
      <c r="G75" s="122"/>
      <c r="H75" s="108"/>
      <c r="I75" s="108"/>
      <c r="J75" s="108"/>
      <c r="K75" s="233"/>
      <c r="L75" s="6"/>
      <c r="M75" s="6"/>
      <c r="N75" s="6"/>
    </row>
    <row r="76" spans="1:14" ht="15.6" x14ac:dyDescent="0.3">
      <c r="E76" s="7"/>
      <c r="G76" s="326"/>
      <c r="H76" s="334"/>
      <c r="I76" s="327"/>
      <c r="J76" s="327"/>
      <c r="K76" s="328"/>
      <c r="L76" s="327"/>
      <c r="M76" s="327"/>
      <c r="N76" s="6"/>
    </row>
    <row r="77" spans="1:14" ht="15.6" hidden="1" x14ac:dyDescent="0.3">
      <c r="A77" s="157"/>
      <c r="E77" s="7"/>
      <c r="G77" s="326"/>
      <c r="H77" s="326"/>
      <c r="I77" s="327"/>
      <c r="J77" s="327"/>
      <c r="K77" s="328"/>
      <c r="L77" s="327"/>
      <c r="M77" s="327"/>
      <c r="N77" s="6"/>
    </row>
    <row r="78" spans="1:14" ht="15.6" x14ac:dyDescent="0.3">
      <c r="E78" s="7"/>
      <c r="G78" s="326"/>
      <c r="H78" s="326"/>
      <c r="I78" s="329"/>
      <c r="J78" s="330"/>
      <c r="K78" s="331"/>
      <c r="L78" s="327"/>
      <c r="M78" s="327"/>
      <c r="N78" s="6"/>
    </row>
    <row r="79" spans="1:14" ht="15.6" x14ac:dyDescent="0.3">
      <c r="E79" s="7"/>
      <c r="G79" s="326"/>
      <c r="H79" s="326"/>
      <c r="I79" s="327"/>
      <c r="J79" s="327"/>
      <c r="K79" s="328"/>
      <c r="L79" s="327"/>
      <c r="M79" s="327"/>
      <c r="N79" s="6"/>
    </row>
    <row r="80" spans="1:14" ht="15.6" x14ac:dyDescent="0.3">
      <c r="E80" s="7"/>
      <c r="G80" s="326"/>
      <c r="H80" s="326"/>
      <c r="I80" s="327"/>
      <c r="J80" s="327"/>
      <c r="K80" s="328"/>
      <c r="L80" s="327"/>
      <c r="M80" s="327"/>
      <c r="N80" s="6"/>
    </row>
    <row r="81" spans="5:14" ht="15.6" x14ac:dyDescent="0.3">
      <c r="E81" s="7"/>
      <c r="G81" s="326"/>
      <c r="H81" s="326"/>
      <c r="I81" s="327"/>
      <c r="J81" s="327"/>
      <c r="K81" s="332"/>
      <c r="L81" s="327"/>
      <c r="M81" s="327"/>
      <c r="N81" s="6"/>
    </row>
    <row r="82" spans="5:14" ht="15.6" x14ac:dyDescent="0.3">
      <c r="E82" s="7"/>
      <c r="G82" s="326"/>
      <c r="H82" s="326"/>
      <c r="I82" s="327"/>
      <c r="J82" s="327"/>
      <c r="K82" s="327"/>
      <c r="L82" s="327"/>
      <c r="M82" s="327"/>
      <c r="N82" s="6"/>
    </row>
    <row r="83" spans="5:14" ht="20.25" customHeight="1" x14ac:dyDescent="0.3">
      <c r="E83" s="7"/>
      <c r="G83" s="326"/>
      <c r="H83" s="326"/>
      <c r="I83" s="327"/>
      <c r="J83" s="327"/>
      <c r="K83" s="327"/>
      <c r="L83" s="327"/>
      <c r="M83" s="327"/>
      <c r="N83" s="6"/>
    </row>
    <row r="84" spans="5:14" ht="17.25" customHeight="1" x14ac:dyDescent="0.3">
      <c r="E84" s="7"/>
      <c r="G84" s="335"/>
      <c r="H84" s="335"/>
      <c r="I84" s="327"/>
      <c r="J84" s="327"/>
      <c r="K84" s="327"/>
      <c r="L84" s="327"/>
      <c r="M84" s="327"/>
      <c r="N84" s="6"/>
    </row>
    <row r="85" spans="5:14" ht="17.25" customHeight="1" x14ac:dyDescent="0.25">
      <c r="E85" s="7"/>
      <c r="G85" s="6"/>
      <c r="H85" s="21"/>
      <c r="I85" s="6"/>
      <c r="J85" s="6"/>
      <c r="K85" s="6"/>
      <c r="L85" s="6"/>
      <c r="M85" s="6"/>
      <c r="N85" s="6"/>
    </row>
    <row r="86" spans="5:14" ht="17.25" customHeight="1" x14ac:dyDescent="0.25">
      <c r="E86" s="7"/>
      <c r="H86" s="7"/>
    </row>
    <row r="87" spans="5:14" ht="17.25" customHeight="1" x14ac:dyDescent="0.25">
      <c r="E87" s="7"/>
      <c r="H87" s="7"/>
    </row>
    <row r="88" spans="5:14" ht="17.25" customHeight="1" x14ac:dyDescent="0.25">
      <c r="E88" s="7"/>
      <c r="H88" s="7"/>
    </row>
    <row r="89" spans="5:14" ht="17.25" customHeight="1" x14ac:dyDescent="0.25">
      <c r="E89" s="7"/>
      <c r="H89" s="7"/>
    </row>
    <row r="90" spans="5:14" ht="17.25" customHeight="1" x14ac:dyDescent="0.25">
      <c r="E90" s="7"/>
      <c r="H90" s="7"/>
    </row>
    <row r="91" spans="5:14" ht="17.25" customHeight="1" x14ac:dyDescent="0.25">
      <c r="E91" s="7"/>
      <c r="H91" s="7"/>
    </row>
    <row r="92" spans="5:14" x14ac:dyDescent="0.25">
      <c r="E92" s="7"/>
    </row>
    <row r="93" spans="5:14" x14ac:dyDescent="0.25">
      <c r="E93" s="7"/>
    </row>
    <row r="94" spans="5:14" x14ac:dyDescent="0.25">
      <c r="E94" s="7"/>
    </row>
    <row r="95" spans="5:14" x14ac:dyDescent="0.25">
      <c r="E95" s="7"/>
    </row>
    <row r="96" spans="5:14" x14ac:dyDescent="0.25">
      <c r="E96" s="7"/>
    </row>
    <row r="97" spans="5:5" x14ac:dyDescent="0.25">
      <c r="E97" s="7"/>
    </row>
    <row r="98" spans="5:5" x14ac:dyDescent="0.25">
      <c r="E98" s="7"/>
    </row>
    <row r="99" spans="5:5" x14ac:dyDescent="0.25">
      <c r="E99" s="7"/>
    </row>
    <row r="100" spans="5:5" x14ac:dyDescent="0.25">
      <c r="E100" s="7"/>
    </row>
    <row r="101" spans="5:5" x14ac:dyDescent="0.25">
      <c r="E101" s="7"/>
    </row>
    <row r="102" spans="5:5" x14ac:dyDescent="0.25">
      <c r="E102" s="7"/>
    </row>
    <row r="103" spans="5:5" x14ac:dyDescent="0.25">
      <c r="E103" s="7"/>
    </row>
    <row r="104" spans="5:5" x14ac:dyDescent="0.25">
      <c r="E104" s="7"/>
    </row>
    <row r="105" spans="5:5" x14ac:dyDescent="0.25">
      <c r="E105" s="7"/>
    </row>
    <row r="106" spans="5:5" x14ac:dyDescent="0.25">
      <c r="E106" s="7"/>
    </row>
    <row r="107" spans="5:5" x14ac:dyDescent="0.25">
      <c r="E107" s="7"/>
    </row>
    <row r="108" spans="5:5" x14ac:dyDescent="0.25">
      <c r="E108" s="7"/>
    </row>
    <row r="109" spans="5:5" x14ac:dyDescent="0.25">
      <c r="E109" s="7"/>
    </row>
    <row r="110" spans="5:5" x14ac:dyDescent="0.25">
      <c r="E110" s="7"/>
    </row>
    <row r="111" spans="5:5" x14ac:dyDescent="0.25">
      <c r="E111" s="7"/>
    </row>
    <row r="112" spans="5:5" x14ac:dyDescent="0.25">
      <c r="E112" s="7"/>
    </row>
    <row r="113" spans="5:5" x14ac:dyDescent="0.25">
      <c r="E113" s="7"/>
    </row>
    <row r="114" spans="5:5" x14ac:dyDescent="0.25">
      <c r="E114" s="7"/>
    </row>
    <row r="115" spans="5:5" x14ac:dyDescent="0.25">
      <c r="E115" s="7"/>
    </row>
    <row r="116" spans="5:5" x14ac:dyDescent="0.25">
      <c r="E116" s="7"/>
    </row>
    <row r="117" spans="5:5" x14ac:dyDescent="0.25">
      <c r="E117" s="7"/>
    </row>
    <row r="118" spans="5:5" x14ac:dyDescent="0.25">
      <c r="E118" s="7"/>
    </row>
    <row r="119" spans="5:5" x14ac:dyDescent="0.25">
      <c r="E119" s="7"/>
    </row>
    <row r="120" spans="5:5" x14ac:dyDescent="0.25">
      <c r="E120" s="7"/>
    </row>
    <row r="121" spans="5:5" x14ac:dyDescent="0.25">
      <c r="E121" s="7"/>
    </row>
    <row r="122" spans="5:5" x14ac:dyDescent="0.25">
      <c r="E122" s="7"/>
    </row>
    <row r="123" spans="5:5" x14ac:dyDescent="0.25">
      <c r="E123" s="7"/>
    </row>
    <row r="124" spans="5:5" x14ac:dyDescent="0.25">
      <c r="E124" s="7"/>
    </row>
    <row r="125" spans="5:5" x14ac:dyDescent="0.25">
      <c r="E125" s="7"/>
    </row>
    <row r="126" spans="5:5" x14ac:dyDescent="0.25">
      <c r="E126" s="7"/>
    </row>
    <row r="127" spans="5:5" x14ac:dyDescent="0.25">
      <c r="E127" s="7"/>
    </row>
    <row r="128" spans="5:5" x14ac:dyDescent="0.25">
      <c r="E128" s="7"/>
    </row>
    <row r="129" spans="5:5" x14ac:dyDescent="0.25">
      <c r="E129" s="7"/>
    </row>
    <row r="130" spans="5:5" x14ac:dyDescent="0.25">
      <c r="E130" s="7"/>
    </row>
  </sheetData>
  <customSheetViews>
    <customSheetView guid="{D98A0717-74D0-4F54-BB8F-A337A1A9E4DF}" scale="75" showGridLines="0" fitToPage="1" hiddenRows="1" showRuler="0">
      <selection activeCell="E22" sqref="E22"/>
      <pageMargins left="0.78740157480314965" right="0.78740157480314965" top="0.19685039370078741" bottom="0.19685039370078741" header="0.51181102362204722" footer="0.51181102362204722"/>
      <pageSetup paperSize="9" scale="50" orientation="landscape"/>
      <headerFooter alignWithMargins="0"/>
    </customSheetView>
    <customSheetView guid="{5D986420-B83B-47C8-8160-784F77FFC196}" scale="75" showGridLines="0" fitToPage="1" hiddenRows="1" showRuler="0">
      <selection activeCell="D11" sqref="D11"/>
      <pageMargins left="0.78740157480314965" right="0.78740157480314965" top="0.19685039370078741" bottom="0.19685039370078741" header="0.51181102362204722" footer="0.51181102362204722"/>
      <pageSetup paperSize="9" scale="50" orientation="landscape"/>
      <headerFooter alignWithMargins="0"/>
    </customSheetView>
    <customSheetView guid="{C9029B8D-126A-43F1-8BE9-BB8A7DE12FBF}" scale="75" showGridLines="0" fitToPage="1" hiddenRows="1" showRuler="0">
      <selection activeCell="D21" sqref="D21"/>
      <pageMargins left="0.78740157480314965" right="0.78740157480314965" top="0.19685039370078741" bottom="0.19685039370078741" header="0.51181102362204722" footer="0.51181102362204722"/>
      <pageSetup paperSize="9" scale="50" orientation="landscape"/>
      <headerFooter alignWithMargins="0"/>
    </customSheetView>
    <customSheetView guid="{4284377C-91E6-4152-887E-8DA87560FDD6}" scale="75" showGridLines="0" fitToPage="1" hiddenRows="1" showRuler="0">
      <selection activeCell="D21" sqref="D21"/>
      <pageMargins left="0.78740157480314965" right="0.78740157480314965" top="0.19685039370078741" bottom="0.19685039370078741" header="0.51181102362204722" footer="0.51181102362204722"/>
      <pageSetup paperSize="9" scale="50" orientation="landscape"/>
      <headerFooter alignWithMargins="0"/>
    </customSheetView>
    <customSheetView guid="{546B9E27-05F9-47A7-B161-BCC56D613799}" scale="75" showGridLines="0" fitToPage="1" hiddenRows="1" showRuler="0">
      <selection activeCell="E22" sqref="E22"/>
      <pageMargins left="0.78740157480314965" right="0.78740157480314965" top="0.19685039370078741" bottom="0.19685039370078741" header="0.51181102362204722" footer="0.51181102362204722"/>
      <pageSetup paperSize="9" scale="50" orientation="landscape"/>
      <headerFooter alignWithMargins="0"/>
    </customSheetView>
  </customSheetViews>
  <phoneticPr fontId="0" type="noConversion"/>
  <hyperlinks>
    <hyperlink ref="F1" location="Toelichting!A169" display="Info" xr:uid="{00000000-0004-0000-0200-000000000000}"/>
    <hyperlink ref="F62" location="Toelichting!A204" display="Info" xr:uid="{00000000-0004-0000-0200-000001000000}"/>
    <hyperlink ref="F60" location="Toelichting!A203" display="Info" xr:uid="{00000000-0004-0000-0200-000002000000}"/>
    <hyperlink ref="F56" location="Toelichting!A201" display="Info" xr:uid="{00000000-0004-0000-0200-000003000000}"/>
    <hyperlink ref="F55" location="Toelichting!A200" display="Info" xr:uid="{00000000-0004-0000-0200-000004000000}"/>
    <hyperlink ref="F51" location="Toelichting!A198" display="Info" xr:uid="{00000000-0004-0000-0200-000005000000}"/>
    <hyperlink ref="F36" location="Toelichting!A187" display="Info" xr:uid="{00000000-0004-0000-0200-000006000000}"/>
    <hyperlink ref="F28" location="Toelichting!A183" display="Info" xr:uid="{00000000-0004-0000-0200-000007000000}"/>
  </hyperlinks>
  <pageMargins left="0.78740157480314965" right="0.78740157480314965" top="0.19685039370078741" bottom="0.19685039370078741" header="0.51181102362204722" footer="0.51181102362204722"/>
  <pageSetup paperSize="8" scale="80"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V120"/>
  <sheetViews>
    <sheetView topLeftCell="A106" workbookViewId="0">
      <selection activeCell="B85" sqref="B85"/>
    </sheetView>
  </sheetViews>
  <sheetFormatPr defaultRowHeight="13.2" x14ac:dyDescent="0.25"/>
  <cols>
    <col min="1" max="1" width="11.77734375" customWidth="1"/>
    <col min="2" max="2" width="151.77734375" customWidth="1"/>
    <col min="3" max="3" width="16.33203125" customWidth="1"/>
    <col min="4" max="4" width="3.6640625" customWidth="1"/>
    <col min="5" max="5" width="9.6640625" customWidth="1"/>
    <col min="7" max="7" width="5.33203125" customWidth="1"/>
    <col min="8" max="8" width="17.77734375" bestFit="1" customWidth="1"/>
    <col min="9" max="9" width="25" bestFit="1" customWidth="1"/>
    <col min="10" max="10" width="16.109375" bestFit="1" customWidth="1"/>
    <col min="11" max="12" width="15.77734375" bestFit="1" customWidth="1"/>
    <col min="13" max="13" width="16.33203125" bestFit="1" customWidth="1"/>
    <col min="20" max="20" width="13.109375" customWidth="1"/>
    <col min="21" max="21" width="11.6640625" customWidth="1"/>
  </cols>
  <sheetData>
    <row r="1" spans="1:22" x14ac:dyDescent="0.25">
      <c r="A1" s="303"/>
      <c r="B1" s="87"/>
      <c r="C1" s="87"/>
      <c r="D1" s="87"/>
      <c r="E1" s="87"/>
      <c r="F1" s="87"/>
      <c r="G1" s="87"/>
      <c r="H1" s="87"/>
      <c r="I1" s="87"/>
      <c r="J1" s="87"/>
      <c r="K1" s="87"/>
      <c r="L1" s="87"/>
      <c r="M1" s="87"/>
      <c r="N1" s="87"/>
    </row>
    <row r="2" spans="1:22" ht="17.399999999999999" x14ac:dyDescent="0.3">
      <c r="A2" s="302" t="s">
        <v>359</v>
      </c>
      <c r="B2" s="87"/>
      <c r="C2" s="87"/>
      <c r="D2" s="87"/>
      <c r="E2" s="87"/>
      <c r="F2" s="87"/>
      <c r="G2" s="87"/>
      <c r="H2" s="87"/>
      <c r="I2" s="87"/>
      <c r="J2" s="87"/>
      <c r="K2" s="87"/>
      <c r="L2" s="87"/>
      <c r="M2" s="87"/>
      <c r="N2" s="87"/>
    </row>
    <row r="3" spans="1:22" ht="15.6" x14ac:dyDescent="0.3">
      <c r="A3" s="166"/>
      <c r="B3" s="87"/>
      <c r="C3" s="87"/>
      <c r="D3" s="87"/>
      <c r="E3" s="87"/>
      <c r="F3" s="87"/>
      <c r="G3" s="87"/>
      <c r="H3" s="87"/>
      <c r="I3" s="87"/>
      <c r="J3" s="87"/>
      <c r="K3" s="87"/>
      <c r="L3" s="87"/>
      <c r="M3" s="87"/>
      <c r="N3" s="87"/>
    </row>
    <row r="4" spans="1:22" ht="15.6" x14ac:dyDescent="0.3">
      <c r="A4" s="166" t="s">
        <v>38</v>
      </c>
      <c r="B4" s="87"/>
      <c r="C4" s="87"/>
      <c r="D4" s="87"/>
      <c r="E4" s="87"/>
      <c r="F4" s="87"/>
      <c r="G4" s="87"/>
      <c r="H4" s="87"/>
      <c r="I4" s="87"/>
      <c r="J4" s="87"/>
      <c r="K4" s="87"/>
      <c r="L4" s="87"/>
      <c r="M4" s="87"/>
      <c r="N4" s="87"/>
      <c r="T4" s="227"/>
      <c r="U4" s="227"/>
      <c r="V4" s="227"/>
    </row>
    <row r="5" spans="1:22" ht="15.6" x14ac:dyDescent="0.3">
      <c r="A5" s="166" t="s">
        <v>104</v>
      </c>
      <c r="B5" s="87"/>
      <c r="C5" s="87"/>
      <c r="D5" s="87"/>
      <c r="E5" s="87"/>
      <c r="F5" s="87"/>
      <c r="G5" s="87"/>
      <c r="H5" s="87"/>
      <c r="I5" s="87"/>
      <c r="J5" s="87"/>
      <c r="K5" s="87"/>
      <c r="L5" s="87"/>
      <c r="M5" s="87"/>
      <c r="N5" s="87"/>
      <c r="T5" s="340"/>
      <c r="U5" s="340"/>
      <c r="V5" s="340"/>
    </row>
    <row r="6" spans="1:22" ht="15.6" x14ac:dyDescent="0.3">
      <c r="A6" s="166" t="s">
        <v>39</v>
      </c>
      <c r="B6" s="87"/>
      <c r="C6" s="87"/>
      <c r="D6" s="87"/>
      <c r="E6" s="87"/>
      <c r="F6" s="87"/>
      <c r="G6" s="87"/>
      <c r="H6" s="87"/>
      <c r="I6" s="87"/>
      <c r="J6" s="87"/>
      <c r="K6" s="87"/>
      <c r="L6" s="87"/>
      <c r="M6" s="87"/>
      <c r="N6" s="87"/>
      <c r="T6" s="341"/>
      <c r="U6" s="341"/>
      <c r="V6" s="342"/>
    </row>
    <row r="7" spans="1:22" ht="15.6" x14ac:dyDescent="0.3">
      <c r="A7" s="166" t="s">
        <v>113</v>
      </c>
      <c r="B7" s="87"/>
      <c r="C7" s="87"/>
      <c r="D7" s="87"/>
      <c r="E7" s="87"/>
      <c r="F7" s="87"/>
      <c r="G7" s="87"/>
      <c r="H7" s="87"/>
      <c r="I7" s="87"/>
      <c r="J7" s="87"/>
      <c r="K7" s="87"/>
      <c r="L7" s="87"/>
      <c r="M7" s="87"/>
      <c r="N7" s="87"/>
      <c r="T7" s="341"/>
      <c r="U7" s="341"/>
      <c r="V7" s="340"/>
    </row>
    <row r="8" spans="1:22" ht="15.6" x14ac:dyDescent="0.3">
      <c r="A8" s="166"/>
      <c r="B8" s="87"/>
      <c r="C8" s="87"/>
      <c r="D8" s="87"/>
      <c r="E8" s="87"/>
      <c r="F8" s="87"/>
      <c r="G8" s="87"/>
      <c r="H8" s="87"/>
      <c r="I8" s="87"/>
      <c r="J8" s="87"/>
      <c r="K8" s="87"/>
      <c r="L8" s="87"/>
      <c r="M8" s="87"/>
      <c r="N8" s="87"/>
      <c r="T8" s="341"/>
      <c r="U8" s="341"/>
      <c r="V8" s="340"/>
    </row>
    <row r="9" spans="1:22" ht="15.6" x14ac:dyDescent="0.3">
      <c r="A9" s="166"/>
      <c r="B9" s="87"/>
      <c r="C9" s="87"/>
      <c r="D9" s="87"/>
      <c r="E9" s="87"/>
      <c r="F9" s="87"/>
      <c r="G9" s="87"/>
      <c r="H9" s="87"/>
      <c r="I9" s="87"/>
      <c r="J9" s="87"/>
      <c r="K9" s="87"/>
      <c r="L9" s="87"/>
      <c r="M9" s="87"/>
      <c r="N9" s="87"/>
      <c r="T9" s="341"/>
      <c r="U9" s="341"/>
      <c r="V9" s="340"/>
    </row>
    <row r="10" spans="1:22" x14ac:dyDescent="0.25">
      <c r="A10" s="87" t="s">
        <v>270</v>
      </c>
      <c r="B10" s="87"/>
      <c r="C10" s="87"/>
      <c r="D10" s="87"/>
      <c r="E10" s="87"/>
      <c r="F10" s="87"/>
      <c r="G10" s="87"/>
      <c r="H10" s="87"/>
      <c r="I10" s="87"/>
      <c r="J10" s="87"/>
      <c r="K10" s="87"/>
      <c r="L10" s="87"/>
      <c r="M10" s="87"/>
      <c r="N10" s="87"/>
      <c r="T10" s="341"/>
      <c r="U10" s="341"/>
      <c r="V10" s="340"/>
    </row>
    <row r="11" spans="1:22" x14ac:dyDescent="0.25">
      <c r="A11" s="87" t="s">
        <v>271</v>
      </c>
      <c r="B11" s="87"/>
      <c r="C11" s="87"/>
      <c r="D11" s="87"/>
      <c r="E11" s="87"/>
      <c r="F11" s="87"/>
      <c r="G11" s="87"/>
      <c r="H11" s="87"/>
      <c r="I11" s="87"/>
      <c r="J11" s="87"/>
      <c r="K11" s="87"/>
      <c r="L11" s="87"/>
      <c r="M11" s="87"/>
      <c r="N11" s="87"/>
      <c r="T11" s="6"/>
      <c r="U11" s="6"/>
      <c r="V11" s="6"/>
    </row>
    <row r="12" spans="1:22" x14ac:dyDescent="0.25">
      <c r="A12" s="87" t="s">
        <v>299</v>
      </c>
      <c r="B12" s="87"/>
      <c r="C12" s="87"/>
      <c r="D12" s="87"/>
      <c r="E12" s="87"/>
      <c r="F12" s="87"/>
      <c r="G12" s="87"/>
      <c r="H12" s="87"/>
      <c r="I12" s="87"/>
      <c r="J12" s="87"/>
      <c r="K12" s="87"/>
      <c r="L12" s="87"/>
      <c r="M12" s="87"/>
      <c r="N12" s="87"/>
    </row>
    <row r="13" spans="1:22" x14ac:dyDescent="0.25">
      <c r="A13" s="87"/>
      <c r="B13" s="87"/>
      <c r="C13" s="87"/>
      <c r="D13" s="87"/>
      <c r="E13" s="87"/>
      <c r="F13" s="87"/>
      <c r="G13" s="87"/>
      <c r="H13" s="87"/>
      <c r="I13" s="87"/>
      <c r="J13" s="87"/>
      <c r="K13" s="87"/>
      <c r="L13" s="87"/>
      <c r="M13" s="87"/>
      <c r="N13" s="87"/>
    </row>
    <row r="14" spans="1:22" x14ac:dyDescent="0.25">
      <c r="A14" s="87"/>
      <c r="B14" s="87"/>
      <c r="C14" s="87"/>
      <c r="D14" s="87"/>
      <c r="E14" s="87"/>
      <c r="F14" s="87"/>
      <c r="G14" s="87"/>
      <c r="H14" s="87"/>
      <c r="I14" s="87"/>
      <c r="J14" s="87"/>
      <c r="K14" s="87"/>
      <c r="L14" s="87"/>
      <c r="M14" s="87"/>
      <c r="N14" s="87"/>
    </row>
    <row r="15" spans="1:22" x14ac:dyDescent="0.25">
      <c r="A15" s="87" t="s">
        <v>300</v>
      </c>
      <c r="B15" s="87"/>
      <c r="C15" s="87"/>
      <c r="D15" s="87"/>
      <c r="E15" s="87"/>
      <c r="F15" s="87"/>
      <c r="G15" s="87"/>
      <c r="H15" s="87"/>
      <c r="I15" s="87"/>
      <c r="J15" s="87"/>
      <c r="K15" s="87"/>
      <c r="L15" s="87"/>
      <c r="M15" s="87"/>
      <c r="N15" s="87"/>
    </row>
    <row r="16" spans="1:22" x14ac:dyDescent="0.25">
      <c r="A16" s="253"/>
      <c r="B16" s="253"/>
      <c r="C16" s="87"/>
      <c r="D16" s="87"/>
      <c r="E16" s="87"/>
      <c r="F16" s="87"/>
      <c r="G16" s="87"/>
      <c r="H16" s="87"/>
      <c r="I16" s="87"/>
      <c r="J16" s="87"/>
      <c r="K16" s="87"/>
      <c r="L16" s="87"/>
      <c r="M16" s="87"/>
      <c r="N16" s="87"/>
    </row>
    <row r="17" spans="1:14" x14ac:dyDescent="0.25">
      <c r="A17" s="253"/>
      <c r="B17" s="253"/>
      <c r="C17" s="87"/>
      <c r="D17" s="87"/>
      <c r="E17" s="87"/>
      <c r="F17" s="87"/>
      <c r="G17" s="87"/>
      <c r="H17" s="87"/>
      <c r="I17" s="87"/>
      <c r="J17" s="87"/>
      <c r="K17" s="87"/>
      <c r="L17" s="87"/>
      <c r="M17" s="87"/>
      <c r="N17" s="87"/>
    </row>
    <row r="18" spans="1:14" x14ac:dyDescent="0.25">
      <c r="A18" s="227" t="s">
        <v>229</v>
      </c>
      <c r="C18" s="87"/>
      <c r="D18" s="87"/>
      <c r="E18" s="87"/>
      <c r="F18" s="87"/>
      <c r="G18" s="87"/>
      <c r="H18" s="87"/>
      <c r="I18" s="87"/>
      <c r="J18" s="87"/>
      <c r="K18" s="87"/>
      <c r="L18" s="87"/>
      <c r="M18" s="87"/>
      <c r="N18" s="87"/>
    </row>
    <row r="19" spans="1:14" ht="15.6" x14ac:dyDescent="0.25">
      <c r="B19" s="477" t="s">
        <v>40</v>
      </c>
      <c r="C19" s="478"/>
      <c r="D19" s="478"/>
      <c r="E19" s="478"/>
      <c r="F19" s="87"/>
      <c r="G19" s="87"/>
      <c r="H19" s="87"/>
      <c r="I19" s="87"/>
      <c r="J19" s="87"/>
      <c r="K19" s="87"/>
      <c r="L19" s="87"/>
      <c r="M19" s="87"/>
      <c r="N19" s="87"/>
    </row>
    <row r="20" spans="1:14" ht="15.6" x14ac:dyDescent="0.25">
      <c r="B20" s="477"/>
      <c r="C20" s="478"/>
      <c r="D20" s="478"/>
      <c r="E20" s="478"/>
      <c r="F20" s="87"/>
      <c r="G20" s="87"/>
      <c r="H20" s="87"/>
      <c r="I20" s="87"/>
      <c r="J20" s="87"/>
      <c r="K20" s="87"/>
      <c r="L20" s="87"/>
      <c r="M20" s="87"/>
      <c r="N20" s="87"/>
    </row>
    <row r="21" spans="1:14" x14ac:dyDescent="0.25">
      <c r="A21" s="479" t="s">
        <v>358</v>
      </c>
      <c r="B21" s="478"/>
      <c r="C21" s="478"/>
      <c r="D21" s="478"/>
      <c r="E21" s="478"/>
      <c r="F21" s="478"/>
      <c r="G21" s="478"/>
      <c r="H21" s="478"/>
      <c r="I21" s="478"/>
      <c r="J21" s="478"/>
      <c r="K21" s="87"/>
      <c r="L21" s="87"/>
      <c r="M21" s="87"/>
      <c r="N21" s="87"/>
    </row>
    <row r="22" spans="1:14" x14ac:dyDescent="0.25">
      <c r="A22" s="480">
        <v>1</v>
      </c>
      <c r="B22" s="478" t="s">
        <v>232</v>
      </c>
      <c r="C22" s="478"/>
      <c r="D22" s="478"/>
      <c r="E22" s="478"/>
      <c r="F22" s="478"/>
      <c r="G22" s="478"/>
      <c r="H22" s="478"/>
      <c r="I22" s="478"/>
      <c r="J22" s="478"/>
      <c r="K22" s="87"/>
      <c r="L22" s="87"/>
      <c r="M22" s="87"/>
      <c r="N22" s="87"/>
    </row>
    <row r="23" spans="1:14" x14ac:dyDescent="0.25">
      <c r="A23" s="480">
        <v>2</v>
      </c>
      <c r="B23" s="478" t="s">
        <v>41</v>
      </c>
      <c r="C23" s="478"/>
      <c r="D23" s="478"/>
      <c r="E23" s="478"/>
      <c r="F23" s="478"/>
      <c r="G23" s="478"/>
      <c r="H23" s="478"/>
      <c r="I23" s="478"/>
      <c r="J23" s="478"/>
      <c r="K23" s="87"/>
      <c r="L23" s="87"/>
      <c r="M23" s="87"/>
      <c r="N23" s="87"/>
    </row>
    <row r="24" spans="1:14" x14ac:dyDescent="0.25">
      <c r="A24" s="480">
        <v>5</v>
      </c>
      <c r="B24" s="478" t="s">
        <v>4</v>
      </c>
      <c r="C24" s="478"/>
      <c r="D24" s="478"/>
      <c r="E24" s="478"/>
      <c r="F24" s="478"/>
      <c r="G24" s="478"/>
      <c r="H24" s="478"/>
      <c r="I24" s="478"/>
      <c r="J24" s="478"/>
      <c r="K24" s="87"/>
      <c r="L24" s="87"/>
      <c r="M24" s="87"/>
      <c r="N24" s="87"/>
    </row>
    <row r="25" spans="1:14" x14ac:dyDescent="0.25">
      <c r="A25" s="480" t="s">
        <v>421</v>
      </c>
      <c r="B25" s="478" t="s">
        <v>5</v>
      </c>
      <c r="C25" s="478"/>
      <c r="D25" s="478"/>
      <c r="E25" s="478"/>
      <c r="F25" s="478"/>
      <c r="G25" s="478"/>
      <c r="H25" s="478"/>
      <c r="I25" s="478"/>
      <c r="J25" s="478"/>
      <c r="K25" s="87"/>
      <c r="L25" s="87"/>
      <c r="M25" s="87"/>
      <c r="N25" s="87"/>
    </row>
    <row r="26" spans="1:14" x14ac:dyDescent="0.25">
      <c r="A26" s="480">
        <v>7</v>
      </c>
      <c r="B26" s="478" t="s">
        <v>42</v>
      </c>
      <c r="C26" s="478"/>
      <c r="D26" s="478"/>
      <c r="E26" s="478"/>
      <c r="F26" s="478"/>
      <c r="G26" s="478"/>
      <c r="H26" s="478"/>
      <c r="I26" s="478"/>
      <c r="J26" s="478"/>
      <c r="K26" s="87"/>
      <c r="L26" s="87"/>
      <c r="M26" s="87"/>
      <c r="N26" s="87"/>
    </row>
    <row r="27" spans="1:14" x14ac:dyDescent="0.25">
      <c r="A27" s="480" t="s">
        <v>417</v>
      </c>
      <c r="B27" s="478" t="s">
        <v>93</v>
      </c>
      <c r="C27" s="478"/>
      <c r="D27" s="478"/>
      <c r="E27" s="478"/>
      <c r="F27" s="478"/>
      <c r="G27" s="478"/>
      <c r="H27" s="478"/>
      <c r="I27" s="478"/>
      <c r="J27" s="478"/>
      <c r="K27" s="87"/>
      <c r="L27" s="87"/>
      <c r="M27" s="87"/>
      <c r="N27" s="87"/>
    </row>
    <row r="28" spans="1:14" x14ac:dyDescent="0.25">
      <c r="A28" s="480">
        <v>8</v>
      </c>
      <c r="B28" s="478" t="s">
        <v>43</v>
      </c>
      <c r="C28" s="478"/>
      <c r="D28" s="478"/>
      <c r="E28" s="478"/>
      <c r="F28" s="478"/>
      <c r="G28" s="478"/>
      <c r="H28" s="478"/>
      <c r="I28" s="478"/>
      <c r="J28" s="478"/>
      <c r="K28" s="87"/>
      <c r="L28" s="87"/>
      <c r="M28" s="87"/>
      <c r="N28" s="87"/>
    </row>
    <row r="29" spans="1:14" ht="26.4" x14ac:dyDescent="0.25">
      <c r="A29" s="480" t="s">
        <v>418</v>
      </c>
      <c r="B29" s="478" t="s">
        <v>44</v>
      </c>
      <c r="C29" s="478"/>
      <c r="D29" s="478"/>
      <c r="E29" s="478"/>
      <c r="F29" s="478"/>
      <c r="G29" s="478"/>
      <c r="H29" s="478"/>
      <c r="I29" s="478"/>
      <c r="J29" s="478"/>
      <c r="K29" s="87"/>
      <c r="L29" s="87"/>
      <c r="M29" s="87"/>
      <c r="N29" s="87"/>
    </row>
    <row r="30" spans="1:14" x14ac:dyDescent="0.25">
      <c r="A30" s="480">
        <v>9</v>
      </c>
      <c r="B30" s="478" t="s">
        <v>29</v>
      </c>
      <c r="C30" s="478"/>
      <c r="D30" s="478"/>
      <c r="E30" s="478"/>
      <c r="F30" s="478"/>
      <c r="G30" s="478"/>
      <c r="H30" s="478"/>
      <c r="I30" s="478"/>
      <c r="J30" s="478"/>
      <c r="K30" s="87"/>
      <c r="L30" s="87"/>
      <c r="M30" s="87"/>
      <c r="N30" s="87"/>
    </row>
    <row r="31" spans="1:14" x14ac:dyDescent="0.25">
      <c r="A31" s="480">
        <v>10</v>
      </c>
      <c r="B31" s="478" t="s">
        <v>334</v>
      </c>
      <c r="C31" s="478"/>
      <c r="D31" s="478"/>
      <c r="E31" s="478"/>
      <c r="F31" s="478"/>
      <c r="G31" s="478"/>
      <c r="H31" s="478"/>
      <c r="I31" s="478"/>
      <c r="J31" s="478"/>
      <c r="K31" s="87"/>
      <c r="L31" s="87"/>
      <c r="M31" s="87"/>
      <c r="N31" s="87"/>
    </row>
    <row r="32" spans="1:14" x14ac:dyDescent="0.25">
      <c r="A32" s="480">
        <v>11</v>
      </c>
      <c r="B32" s="478" t="s">
        <v>45</v>
      </c>
      <c r="C32" s="478"/>
      <c r="D32" s="478"/>
      <c r="E32" s="478"/>
      <c r="F32" s="478"/>
      <c r="G32" s="478"/>
      <c r="H32" s="478"/>
      <c r="I32" s="478"/>
      <c r="J32" s="478"/>
      <c r="K32" s="87"/>
      <c r="L32" s="87"/>
      <c r="M32" s="87"/>
      <c r="N32" s="87"/>
    </row>
    <row r="33" spans="1:14" s="18" customFormat="1" ht="16.5" customHeight="1" x14ac:dyDescent="0.25">
      <c r="A33" s="480">
        <v>12</v>
      </c>
      <c r="B33" s="478" t="s">
        <v>345</v>
      </c>
      <c r="C33" s="478"/>
      <c r="D33" s="478"/>
      <c r="E33" s="478"/>
      <c r="F33" s="478"/>
      <c r="G33" s="478"/>
      <c r="H33" s="478"/>
      <c r="I33" s="478"/>
      <c r="J33" s="478"/>
      <c r="K33" s="87"/>
      <c r="L33" s="87"/>
      <c r="M33" s="87"/>
      <c r="N33" s="87"/>
    </row>
    <row r="34" spans="1:14" ht="79.5" customHeight="1" x14ac:dyDescent="0.25">
      <c r="A34" s="480">
        <v>13</v>
      </c>
      <c r="B34" s="613" t="s">
        <v>531</v>
      </c>
      <c r="C34" s="478"/>
      <c r="D34" s="478"/>
      <c r="E34" s="478"/>
      <c r="F34" s="478"/>
      <c r="G34" s="478"/>
      <c r="H34" s="478"/>
      <c r="I34" s="478"/>
      <c r="J34" s="478"/>
      <c r="K34" s="87"/>
      <c r="L34" s="87"/>
      <c r="M34" s="87"/>
      <c r="N34" s="87"/>
    </row>
    <row r="35" spans="1:14" ht="26.4" x14ac:dyDescent="0.25">
      <c r="A35" s="480"/>
      <c r="B35" s="478" t="s">
        <v>46</v>
      </c>
      <c r="C35" s="478"/>
      <c r="D35" s="478"/>
      <c r="E35" s="478"/>
      <c r="F35" s="478"/>
      <c r="G35" s="478"/>
      <c r="H35" s="478"/>
      <c r="I35" s="478"/>
      <c r="J35" s="478"/>
      <c r="K35" s="87"/>
      <c r="L35" s="87"/>
      <c r="M35" s="87"/>
      <c r="N35" s="87"/>
    </row>
    <row r="36" spans="1:14" ht="93" customHeight="1" x14ac:dyDescent="0.25">
      <c r="A36" s="480">
        <v>14</v>
      </c>
      <c r="B36" s="478" t="s">
        <v>47</v>
      </c>
      <c r="C36" s="478"/>
      <c r="D36" s="478"/>
      <c r="E36" s="478"/>
      <c r="F36" s="478"/>
      <c r="G36" s="478"/>
      <c r="H36" s="478"/>
      <c r="I36" s="478"/>
      <c r="J36" s="478"/>
      <c r="K36" s="87"/>
      <c r="L36" s="87"/>
      <c r="M36" s="87"/>
      <c r="N36" s="87"/>
    </row>
    <row r="37" spans="1:14" x14ac:dyDescent="0.25">
      <c r="A37" s="237" t="s">
        <v>272</v>
      </c>
      <c r="B37" s="87" t="s">
        <v>311</v>
      </c>
      <c r="C37" s="87"/>
      <c r="D37" s="87"/>
      <c r="E37" s="87"/>
      <c r="F37" s="18"/>
      <c r="G37" s="18"/>
      <c r="H37" s="18"/>
      <c r="I37" s="87"/>
      <c r="J37" s="87"/>
      <c r="K37" s="87"/>
      <c r="L37" s="87"/>
      <c r="M37" s="87"/>
      <c r="N37" s="87"/>
    </row>
    <row r="38" spans="1:14" x14ac:dyDescent="0.25">
      <c r="A38" s="237">
        <v>15</v>
      </c>
      <c r="B38" s="604" t="s">
        <v>508</v>
      </c>
      <c r="C38" s="312"/>
      <c r="D38" s="87"/>
      <c r="E38" s="18"/>
      <c r="F38" s="18"/>
      <c r="G38" s="18"/>
      <c r="H38" s="18"/>
      <c r="J38" s="87"/>
      <c r="K38" s="87"/>
      <c r="L38" s="87"/>
      <c r="M38" s="87"/>
      <c r="N38" s="87"/>
    </row>
    <row r="39" spans="1:14" x14ac:dyDescent="0.25">
      <c r="A39" s="237">
        <v>16</v>
      </c>
      <c r="B39" s="604" t="s">
        <v>509</v>
      </c>
      <c r="C39" s="312"/>
      <c r="D39" s="87"/>
      <c r="E39" s="18"/>
      <c r="F39" s="18"/>
      <c r="G39" s="18"/>
      <c r="H39" s="18"/>
      <c r="J39" s="87"/>
      <c r="K39" s="87"/>
      <c r="L39" s="87"/>
      <c r="M39" s="87"/>
      <c r="N39" s="87"/>
    </row>
    <row r="40" spans="1:14" x14ac:dyDescent="0.25">
      <c r="A40" s="237">
        <v>17</v>
      </c>
      <c r="B40" s="604" t="s">
        <v>509</v>
      </c>
      <c r="C40" s="312"/>
      <c r="D40" s="87"/>
      <c r="E40" s="18"/>
      <c r="F40" s="325"/>
      <c r="G40" s="87"/>
      <c r="H40" s="18"/>
      <c r="J40" s="87"/>
      <c r="K40" s="87"/>
      <c r="L40" s="87"/>
      <c r="M40" s="87"/>
      <c r="N40" s="87"/>
    </row>
    <row r="41" spans="1:14" x14ac:dyDescent="0.25">
      <c r="A41" s="237">
        <v>18</v>
      </c>
      <c r="B41" s="478" t="s">
        <v>48</v>
      </c>
      <c r="J41" s="87"/>
      <c r="K41" s="87"/>
      <c r="L41" s="87"/>
      <c r="M41" s="87"/>
      <c r="N41" s="87"/>
    </row>
    <row r="42" spans="1:14" ht="14.25" customHeight="1" x14ac:dyDescent="0.25">
      <c r="A42" s="237">
        <v>19</v>
      </c>
      <c r="B42" s="478" t="s">
        <v>49</v>
      </c>
      <c r="C42" s="87"/>
      <c r="D42" s="87"/>
      <c r="E42" s="87"/>
      <c r="F42" s="87"/>
      <c r="G42" s="87"/>
      <c r="H42" s="87"/>
      <c r="I42" s="87"/>
      <c r="J42" s="87"/>
      <c r="K42" s="87"/>
      <c r="L42" s="87"/>
      <c r="M42" s="87"/>
      <c r="N42" s="87"/>
    </row>
    <row r="43" spans="1:14" ht="14.25" customHeight="1" x14ac:dyDescent="0.25">
      <c r="A43" s="237">
        <v>20</v>
      </c>
      <c r="B43" s="478" t="s">
        <v>50</v>
      </c>
      <c r="C43" s="87"/>
      <c r="D43" s="87"/>
      <c r="E43" s="87"/>
      <c r="F43" s="87"/>
      <c r="G43" s="87"/>
      <c r="H43" s="87"/>
      <c r="I43" s="87"/>
      <c r="J43" s="87"/>
      <c r="K43" s="87"/>
      <c r="L43" s="87"/>
      <c r="M43" s="87"/>
      <c r="N43" s="87"/>
    </row>
    <row r="44" spans="1:14" x14ac:dyDescent="0.25">
      <c r="A44" s="237">
        <v>21</v>
      </c>
      <c r="B44" s="87" t="s">
        <v>149</v>
      </c>
      <c r="C44" s="87"/>
      <c r="D44" s="87"/>
      <c r="E44" s="87"/>
      <c r="F44" s="87"/>
      <c r="G44" s="87"/>
      <c r="H44" s="87"/>
      <c r="I44" s="87"/>
      <c r="J44" s="87"/>
      <c r="K44" s="87"/>
      <c r="L44" s="87"/>
      <c r="M44" s="87"/>
      <c r="N44" s="87"/>
    </row>
    <row r="45" spans="1:14" x14ac:dyDescent="0.25">
      <c r="A45" s="237"/>
      <c r="B45" s="87" t="s">
        <v>37</v>
      </c>
      <c r="C45" s="87"/>
      <c r="D45" s="87"/>
      <c r="E45" s="87"/>
      <c r="F45" s="87"/>
      <c r="G45" s="87"/>
      <c r="H45" s="87"/>
      <c r="I45" s="87"/>
      <c r="J45" s="87"/>
      <c r="K45" s="87"/>
      <c r="L45" s="87"/>
      <c r="M45" s="87"/>
      <c r="N45" s="87"/>
    </row>
    <row r="46" spans="1:14" ht="13.8" thickBot="1" x14ac:dyDescent="0.3">
      <c r="A46" s="237"/>
      <c r="B46" s="238" t="s">
        <v>382</v>
      </c>
      <c r="C46" s="87"/>
      <c r="D46" s="87"/>
      <c r="E46" s="87"/>
      <c r="F46" s="230"/>
      <c r="G46" s="230"/>
      <c r="H46" s="87"/>
      <c r="I46" s="87"/>
      <c r="J46" s="87"/>
      <c r="K46" s="87"/>
      <c r="L46" s="87"/>
      <c r="M46" s="87"/>
      <c r="N46" s="87"/>
    </row>
    <row r="47" spans="1:14" ht="13.8" thickBot="1" x14ac:dyDescent="0.3">
      <c r="A47" s="237"/>
      <c r="B47" s="255"/>
      <c r="C47" s="254"/>
      <c r="D47" s="230"/>
      <c r="E47" s="230"/>
      <c r="F47" s="230"/>
      <c r="G47" s="230"/>
      <c r="H47" s="230"/>
      <c r="I47" s="87"/>
      <c r="J47" s="87"/>
      <c r="K47" s="253"/>
      <c r="L47" s="87"/>
      <c r="M47" s="87"/>
      <c r="N47" s="87"/>
    </row>
    <row r="48" spans="1:14" x14ac:dyDescent="0.25">
      <c r="A48" s="237"/>
      <c r="B48" s="252" t="s">
        <v>380</v>
      </c>
      <c r="C48" s="300">
        <v>0.25</v>
      </c>
      <c r="D48" s="481"/>
      <c r="E48" s="481"/>
      <c r="F48" s="118"/>
      <c r="G48" s="118"/>
      <c r="H48" s="118"/>
      <c r="I48" s="87"/>
      <c r="J48" s="87"/>
      <c r="K48" s="87"/>
      <c r="L48" s="87"/>
      <c r="M48" s="87"/>
      <c r="N48" s="87"/>
    </row>
    <row r="49" spans="1:14" ht="13.8" thickBot="1" x14ac:dyDescent="0.3">
      <c r="A49" s="237"/>
      <c r="B49" s="251" t="s">
        <v>381</v>
      </c>
      <c r="C49" s="299">
        <v>0.52</v>
      </c>
      <c r="D49" s="482"/>
      <c r="E49" s="482"/>
      <c r="F49" s="118"/>
      <c r="G49" s="118"/>
      <c r="H49" s="118"/>
      <c r="I49" s="87"/>
      <c r="J49" s="87"/>
      <c r="K49" s="87"/>
      <c r="L49" s="87"/>
      <c r="M49" s="87"/>
      <c r="N49" s="87"/>
    </row>
    <row r="50" spans="1:14" x14ac:dyDescent="0.25">
      <c r="A50" s="87"/>
      <c r="B50" s="87" t="s">
        <v>102</v>
      </c>
      <c r="C50" s="87"/>
      <c r="D50" s="87"/>
      <c r="E50" s="87"/>
      <c r="F50" s="87"/>
      <c r="G50" s="87"/>
      <c r="H50" s="87"/>
      <c r="I50" s="87"/>
      <c r="J50" s="87"/>
      <c r="K50" s="87"/>
      <c r="L50" s="87"/>
      <c r="M50" s="87"/>
      <c r="N50" s="87"/>
    </row>
    <row r="51" spans="1:14" x14ac:dyDescent="0.25">
      <c r="A51" s="87"/>
      <c r="B51" s="250" t="s">
        <v>146</v>
      </c>
      <c r="C51" s="87"/>
      <c r="D51" s="87"/>
      <c r="E51" s="87"/>
      <c r="F51" s="87"/>
      <c r="G51" s="87"/>
      <c r="H51" s="87"/>
      <c r="I51" s="87"/>
      <c r="J51" s="87"/>
      <c r="K51" s="87"/>
      <c r="L51" s="87"/>
      <c r="M51" s="87"/>
      <c r="N51" s="87"/>
    </row>
    <row r="52" spans="1:14" x14ac:dyDescent="0.25">
      <c r="A52" s="87"/>
      <c r="B52" s="87" t="s">
        <v>147</v>
      </c>
      <c r="C52" s="87"/>
      <c r="D52" s="87"/>
      <c r="E52" s="87"/>
      <c r="F52" s="87"/>
      <c r="G52" s="87"/>
      <c r="H52" s="87"/>
      <c r="I52" s="87"/>
      <c r="J52" s="87"/>
      <c r="K52" s="87"/>
      <c r="L52" s="87"/>
      <c r="M52" s="87"/>
      <c r="N52" s="87"/>
    </row>
    <row r="53" spans="1:14" x14ac:dyDescent="0.25">
      <c r="A53" s="237">
        <v>22</v>
      </c>
      <c r="B53" s="604" t="s">
        <v>532</v>
      </c>
      <c r="C53" s="87"/>
      <c r="D53" s="87"/>
      <c r="E53" s="87"/>
      <c r="F53" s="87"/>
      <c r="G53" s="87"/>
      <c r="H53" s="87"/>
      <c r="I53" s="87"/>
      <c r="J53" s="87"/>
      <c r="K53" s="87"/>
      <c r="L53" s="87"/>
      <c r="M53" s="87"/>
      <c r="N53" s="87"/>
    </row>
    <row r="54" spans="1:14" ht="26.4" x14ac:dyDescent="0.25">
      <c r="A54" s="480">
        <v>23</v>
      </c>
      <c r="B54" s="478" t="s">
        <v>51</v>
      </c>
      <c r="C54" s="87"/>
      <c r="D54" s="87"/>
      <c r="E54" s="87"/>
      <c r="F54" s="87"/>
      <c r="G54" s="87"/>
      <c r="H54" s="87"/>
      <c r="I54" s="87"/>
      <c r="J54" s="87"/>
      <c r="K54" s="87"/>
      <c r="L54" s="87"/>
      <c r="M54" s="87"/>
      <c r="N54" s="87"/>
    </row>
    <row r="55" spans="1:14" ht="52.8" x14ac:dyDescent="0.25">
      <c r="A55" s="480" t="s">
        <v>273</v>
      </c>
      <c r="B55" s="478" t="s">
        <v>52</v>
      </c>
      <c r="C55" s="87"/>
      <c r="D55" s="87"/>
      <c r="E55" s="87"/>
      <c r="F55" s="87"/>
      <c r="G55" s="87"/>
      <c r="H55" s="87"/>
      <c r="I55" s="87"/>
      <c r="J55" s="87"/>
      <c r="K55" s="87"/>
      <c r="L55" s="87"/>
      <c r="M55" s="87"/>
      <c r="N55" s="87"/>
    </row>
    <row r="56" spans="1:14" ht="26.4" x14ac:dyDescent="0.25">
      <c r="A56" s="480">
        <v>26</v>
      </c>
      <c r="B56" s="478" t="s">
        <v>53</v>
      </c>
      <c r="C56" s="87"/>
      <c r="D56" s="87"/>
      <c r="E56" s="87"/>
      <c r="F56" s="87"/>
      <c r="G56" s="87"/>
      <c r="H56" s="87"/>
      <c r="I56" s="87"/>
      <c r="J56" s="87"/>
      <c r="K56" s="87"/>
      <c r="L56" s="87"/>
      <c r="M56" s="87"/>
      <c r="N56" s="87"/>
    </row>
    <row r="57" spans="1:14" ht="52.8" x14ac:dyDescent="0.25">
      <c r="A57" s="480">
        <v>27</v>
      </c>
      <c r="B57" s="478" t="s">
        <v>54</v>
      </c>
      <c r="C57" s="87"/>
      <c r="D57" s="87"/>
      <c r="E57" s="87"/>
      <c r="F57" s="87"/>
      <c r="G57" s="87"/>
      <c r="H57" s="87"/>
      <c r="I57" s="87"/>
      <c r="J57" s="87"/>
      <c r="K57" s="87"/>
      <c r="L57" s="87"/>
      <c r="M57" s="87"/>
      <c r="N57" s="87"/>
    </row>
    <row r="58" spans="1:14" x14ac:dyDescent="0.25">
      <c r="A58" s="480">
        <v>29</v>
      </c>
      <c r="B58" s="478" t="s">
        <v>336</v>
      </c>
      <c r="C58" s="87"/>
      <c r="D58" s="87"/>
      <c r="E58" s="87"/>
      <c r="F58" s="87"/>
      <c r="G58" s="87"/>
      <c r="H58" s="87"/>
      <c r="I58" s="87"/>
      <c r="J58" s="87"/>
      <c r="K58" s="87"/>
      <c r="L58" s="87"/>
      <c r="M58" s="87"/>
      <c r="N58" s="87"/>
    </row>
    <row r="59" spans="1:14" ht="52.8" x14ac:dyDescent="0.25">
      <c r="A59" s="480" t="s">
        <v>274</v>
      </c>
      <c r="B59" s="478" t="s">
        <v>55</v>
      </c>
      <c r="C59" s="87"/>
      <c r="D59" s="87"/>
      <c r="E59" s="87"/>
      <c r="F59" s="87"/>
      <c r="G59" s="87"/>
      <c r="H59" s="87"/>
      <c r="I59" s="87"/>
      <c r="J59" s="87"/>
      <c r="K59" s="87"/>
      <c r="L59" s="87"/>
      <c r="M59" s="87"/>
      <c r="N59" s="87"/>
    </row>
    <row r="60" spans="1:14" x14ac:dyDescent="0.25">
      <c r="A60" s="480">
        <v>32</v>
      </c>
      <c r="B60" s="478" t="s">
        <v>56</v>
      </c>
      <c r="C60" s="87"/>
      <c r="D60" s="87"/>
      <c r="E60" s="87"/>
      <c r="F60" s="87"/>
      <c r="G60" s="87"/>
      <c r="H60" s="87"/>
      <c r="I60" s="87"/>
      <c r="J60" s="87"/>
      <c r="K60" s="87"/>
      <c r="L60" s="87"/>
      <c r="M60" s="87"/>
      <c r="N60" s="87"/>
    </row>
    <row r="61" spans="1:14" x14ac:dyDescent="0.25">
      <c r="A61" s="480">
        <v>33</v>
      </c>
      <c r="B61" s="478" t="s">
        <v>376</v>
      </c>
      <c r="C61" s="87"/>
      <c r="D61" s="87"/>
      <c r="E61" s="87"/>
      <c r="F61" s="87"/>
      <c r="G61" s="87"/>
      <c r="H61" s="87"/>
      <c r="I61" s="87"/>
      <c r="J61" s="87"/>
      <c r="K61" s="87"/>
      <c r="L61" s="87"/>
      <c r="M61" s="87"/>
      <c r="N61" s="87"/>
    </row>
    <row r="62" spans="1:14" x14ac:dyDescent="0.25">
      <c r="A62" s="480">
        <v>34</v>
      </c>
      <c r="B62" s="478" t="s">
        <v>57</v>
      </c>
      <c r="C62" s="87"/>
      <c r="D62" s="87"/>
      <c r="E62" s="87"/>
      <c r="F62" s="87"/>
      <c r="G62" s="87"/>
      <c r="H62" s="87"/>
      <c r="I62" s="87"/>
      <c r="J62" s="87"/>
      <c r="K62" s="87"/>
      <c r="L62" s="87"/>
      <c r="M62" s="87"/>
      <c r="N62" s="87"/>
    </row>
    <row r="63" spans="1:14" ht="79.2" x14ac:dyDescent="0.25">
      <c r="A63" s="480" t="s">
        <v>275</v>
      </c>
      <c r="B63" s="478" t="s">
        <v>58</v>
      </c>
      <c r="C63" s="87"/>
      <c r="D63" s="87"/>
      <c r="E63" s="87"/>
      <c r="F63" s="87"/>
      <c r="G63" s="87"/>
      <c r="H63" s="87"/>
      <c r="I63" s="87"/>
      <c r="J63" s="1"/>
      <c r="K63" s="1"/>
      <c r="L63" s="1"/>
      <c r="M63" s="1"/>
      <c r="N63" s="1"/>
    </row>
    <row r="64" spans="1:14" ht="18" customHeight="1" x14ac:dyDescent="0.25">
      <c r="A64" s="480">
        <v>39</v>
      </c>
      <c r="B64" s="483" t="s">
        <v>59</v>
      </c>
      <c r="C64" s="87"/>
      <c r="D64" s="87"/>
      <c r="E64" s="87"/>
      <c r="F64" s="87"/>
      <c r="G64" s="87"/>
      <c r="H64" s="87"/>
      <c r="I64" s="87"/>
      <c r="J64" s="87"/>
      <c r="K64" s="87"/>
      <c r="L64" s="87"/>
      <c r="M64" s="87"/>
      <c r="N64" s="87"/>
    </row>
    <row r="65" spans="1:14" ht="15.75" customHeight="1" x14ac:dyDescent="0.25">
      <c r="A65" s="237">
        <v>40</v>
      </c>
      <c r="B65" s="483" t="s">
        <v>60</v>
      </c>
      <c r="C65" s="87"/>
      <c r="D65" s="87"/>
      <c r="E65" s="87"/>
      <c r="F65" s="87"/>
      <c r="G65" s="87"/>
      <c r="H65" s="87"/>
      <c r="I65" s="87"/>
      <c r="J65" s="87"/>
      <c r="K65" s="87"/>
      <c r="L65" s="87"/>
      <c r="M65" s="87"/>
      <c r="N65" s="87"/>
    </row>
    <row r="66" spans="1:14" ht="26.4" x14ac:dyDescent="0.25">
      <c r="A66" s="237">
        <v>41</v>
      </c>
      <c r="B66" s="478" t="s">
        <v>61</v>
      </c>
      <c r="C66" s="87"/>
      <c r="D66" s="87"/>
      <c r="E66" s="87"/>
      <c r="F66" s="87"/>
      <c r="G66" s="87"/>
      <c r="H66" s="87"/>
      <c r="I66" s="87"/>
      <c r="J66" s="87"/>
      <c r="K66" s="87"/>
      <c r="L66" s="87"/>
      <c r="M66" s="87"/>
      <c r="N66" s="87"/>
    </row>
    <row r="67" spans="1:14" x14ac:dyDescent="0.25">
      <c r="A67" s="237">
        <v>42</v>
      </c>
      <c r="B67" s="87" t="s">
        <v>62</v>
      </c>
      <c r="C67" s="87"/>
      <c r="D67" s="87"/>
      <c r="E67" s="87"/>
      <c r="F67" s="87"/>
      <c r="G67" s="87"/>
      <c r="H67" s="87"/>
      <c r="I67" s="87"/>
      <c r="J67" s="87"/>
      <c r="K67" s="87"/>
      <c r="L67" s="87"/>
      <c r="M67" s="87"/>
      <c r="N67" s="87"/>
    </row>
    <row r="68" spans="1:14" x14ac:dyDescent="0.25">
      <c r="A68" s="237">
        <v>43</v>
      </c>
      <c r="B68" s="87" t="s">
        <v>103</v>
      </c>
      <c r="C68" s="87"/>
      <c r="D68" s="87"/>
      <c r="E68" s="87"/>
      <c r="F68" s="87"/>
      <c r="G68" s="87"/>
      <c r="H68" s="87"/>
      <c r="I68" s="87"/>
      <c r="J68" s="87"/>
      <c r="K68" s="87"/>
      <c r="L68" s="87"/>
      <c r="M68" s="87"/>
      <c r="N68" s="87"/>
    </row>
    <row r="69" spans="1:14" x14ac:dyDescent="0.25">
      <c r="A69" s="237"/>
      <c r="B69" s="87" t="s">
        <v>312</v>
      </c>
      <c r="C69" s="87"/>
      <c r="D69" s="87"/>
      <c r="E69" s="87"/>
      <c r="F69" s="87"/>
      <c r="G69" s="87"/>
      <c r="H69" s="87"/>
      <c r="I69" s="87"/>
      <c r="J69" s="87"/>
      <c r="K69" s="87"/>
      <c r="L69" s="87"/>
      <c r="M69" s="87"/>
      <c r="N69" s="87"/>
    </row>
    <row r="70" spans="1:14" ht="13.8" thickBot="1" x14ac:dyDescent="0.3">
      <c r="A70" s="237"/>
      <c r="B70" s="87"/>
      <c r="C70" s="87"/>
      <c r="D70" s="87"/>
      <c r="E70" s="87"/>
      <c r="F70" s="87"/>
      <c r="G70" s="87"/>
      <c r="H70" s="239"/>
      <c r="I70" s="87"/>
      <c r="J70" s="87"/>
      <c r="K70" s="87"/>
      <c r="L70" s="87"/>
      <c r="M70" s="87"/>
      <c r="N70" s="87"/>
    </row>
    <row r="71" spans="1:14" x14ac:dyDescent="0.25">
      <c r="A71" s="237"/>
      <c r="B71" s="244" t="s">
        <v>108</v>
      </c>
      <c r="C71" s="243"/>
      <c r="D71" s="243"/>
      <c r="E71" s="242"/>
      <c r="F71" s="87"/>
      <c r="G71" s="87"/>
      <c r="H71" s="239"/>
      <c r="I71" s="87"/>
      <c r="J71" s="87"/>
      <c r="K71" s="87"/>
      <c r="L71" s="87"/>
      <c r="M71" s="87"/>
      <c r="N71" s="87"/>
    </row>
    <row r="72" spans="1:14" x14ac:dyDescent="0.25">
      <c r="A72" s="237"/>
      <c r="B72" s="182" t="s">
        <v>105</v>
      </c>
      <c r="C72" s="183" t="s">
        <v>106</v>
      </c>
      <c r="D72" s="183"/>
      <c r="E72" s="184" t="s">
        <v>107</v>
      </c>
      <c r="F72" s="87"/>
      <c r="G72" s="87"/>
      <c r="H72" s="239"/>
      <c r="I72" s="87"/>
      <c r="J72" s="87"/>
      <c r="K72" s="87"/>
      <c r="L72" s="87"/>
      <c r="M72" s="87"/>
      <c r="N72" s="87"/>
    </row>
    <row r="73" spans="1:14" x14ac:dyDescent="0.25">
      <c r="A73" s="237"/>
      <c r="B73" s="603" t="s">
        <v>533</v>
      </c>
      <c r="C73" s="240"/>
      <c r="D73" s="240"/>
      <c r="E73" s="249"/>
      <c r="F73" s="87"/>
      <c r="G73" s="87"/>
      <c r="H73" s="239"/>
      <c r="I73" s="87"/>
      <c r="J73" s="87"/>
      <c r="K73" s="87"/>
      <c r="L73" s="87"/>
      <c r="M73" s="87"/>
      <c r="N73" s="87"/>
    </row>
    <row r="74" spans="1:14" x14ac:dyDescent="0.25">
      <c r="A74" s="301"/>
      <c r="B74" s="603" t="s">
        <v>534</v>
      </c>
      <c r="C74" s="240"/>
      <c r="D74" s="6"/>
      <c r="E74" s="249"/>
      <c r="F74" s="87"/>
      <c r="G74" s="87"/>
      <c r="H74" s="239"/>
      <c r="I74" s="87"/>
      <c r="J74" s="87"/>
      <c r="K74" s="87"/>
      <c r="L74" s="87"/>
      <c r="M74" s="87"/>
      <c r="N74" s="87"/>
    </row>
    <row r="75" spans="1:14" ht="13.8" thickBot="1" x14ac:dyDescent="0.3">
      <c r="A75" s="237"/>
      <c r="B75" s="248"/>
      <c r="C75" s="241"/>
      <c r="D75" s="241"/>
      <c r="E75" s="247"/>
      <c r="F75" s="87"/>
      <c r="G75" s="87"/>
      <c r="H75" s="239"/>
      <c r="I75" s="87"/>
      <c r="J75" s="87"/>
      <c r="K75" s="87"/>
      <c r="L75" s="87"/>
      <c r="M75" s="87"/>
      <c r="N75" s="87"/>
    </row>
    <row r="76" spans="1:14" x14ac:dyDescent="0.25">
      <c r="A76" s="237"/>
      <c r="B76" s="240"/>
      <c r="C76" s="240"/>
      <c r="D76" s="240"/>
      <c r="E76" s="246"/>
      <c r="F76" s="87"/>
      <c r="G76" s="87"/>
      <c r="H76" s="239"/>
      <c r="I76" s="87"/>
      <c r="J76" s="87"/>
      <c r="K76" s="87"/>
      <c r="L76" s="87"/>
      <c r="M76" s="87"/>
      <c r="N76" s="87"/>
    </row>
    <row r="77" spans="1:14" x14ac:dyDescent="0.25">
      <c r="A77" s="237" t="s">
        <v>276</v>
      </c>
      <c r="B77" s="230" t="s">
        <v>63</v>
      </c>
      <c r="C77" s="240"/>
      <c r="D77" s="240"/>
      <c r="E77" s="240"/>
      <c r="F77" s="87"/>
      <c r="G77" s="87"/>
      <c r="H77" s="239"/>
      <c r="I77" s="87"/>
      <c r="J77" s="245"/>
      <c r="K77" s="87"/>
      <c r="L77" s="87"/>
      <c r="M77" s="87"/>
      <c r="N77" s="87"/>
    </row>
    <row r="78" spans="1:14" x14ac:dyDescent="0.25">
      <c r="A78" s="237">
        <v>44</v>
      </c>
      <c r="B78" s="230" t="s">
        <v>94</v>
      </c>
      <c r="C78" s="240"/>
      <c r="D78" s="240"/>
      <c r="E78" s="240"/>
      <c r="F78" s="87"/>
      <c r="G78" s="87"/>
      <c r="H78" s="239"/>
      <c r="I78" s="87"/>
      <c r="J78" s="245"/>
      <c r="K78" s="87"/>
      <c r="L78" s="87"/>
      <c r="M78" s="87"/>
      <c r="N78" s="87"/>
    </row>
    <row r="79" spans="1:14" x14ac:dyDescent="0.25">
      <c r="A79" s="237">
        <v>45</v>
      </c>
      <c r="B79" s="230" t="s">
        <v>95</v>
      </c>
      <c r="C79" s="240"/>
      <c r="D79" s="240"/>
      <c r="E79" s="240"/>
      <c r="F79" s="87"/>
      <c r="G79" s="87"/>
      <c r="H79" s="239"/>
      <c r="I79" s="87"/>
      <c r="J79" s="245"/>
      <c r="K79" s="87"/>
      <c r="L79" s="87"/>
      <c r="M79" s="87"/>
      <c r="N79" s="87"/>
    </row>
    <row r="80" spans="1:14" ht="26.4" x14ac:dyDescent="0.25">
      <c r="A80" s="480">
        <v>46</v>
      </c>
      <c r="B80" s="484" t="s">
        <v>0</v>
      </c>
      <c r="C80" s="240"/>
      <c r="D80" s="240"/>
      <c r="E80" s="240"/>
      <c r="F80" s="87"/>
      <c r="G80" s="87"/>
      <c r="H80" s="239"/>
      <c r="I80" s="87"/>
      <c r="J80" s="245"/>
      <c r="K80" s="87"/>
      <c r="L80" s="87"/>
      <c r="M80" s="87"/>
      <c r="N80" s="87"/>
    </row>
    <row r="81" spans="1:14" x14ac:dyDescent="0.25">
      <c r="A81" s="480" t="s">
        <v>268</v>
      </c>
      <c r="B81" s="478" t="s">
        <v>1</v>
      </c>
      <c r="C81" s="87"/>
      <c r="D81" s="87"/>
      <c r="E81" s="87"/>
      <c r="F81" s="87"/>
      <c r="G81" s="87"/>
      <c r="H81" s="87"/>
      <c r="I81" s="87"/>
      <c r="J81" s="87"/>
      <c r="K81" s="87"/>
      <c r="L81" s="87"/>
      <c r="M81" s="87"/>
      <c r="N81" s="87"/>
    </row>
    <row r="82" spans="1:14" ht="26.4" x14ac:dyDescent="0.25">
      <c r="A82" s="480" t="s">
        <v>269</v>
      </c>
      <c r="B82" s="484" t="s">
        <v>64</v>
      </c>
      <c r="C82" s="87"/>
      <c r="D82" s="87"/>
      <c r="E82" s="87"/>
      <c r="F82" s="87"/>
      <c r="G82" s="87"/>
      <c r="H82" s="87"/>
      <c r="I82" s="87"/>
      <c r="J82" s="87"/>
      <c r="K82" s="87"/>
      <c r="L82" s="87"/>
      <c r="M82" s="87"/>
      <c r="N82" s="87"/>
    </row>
    <row r="83" spans="1:14" ht="26.4" x14ac:dyDescent="0.25">
      <c r="A83" s="480">
        <v>53</v>
      </c>
      <c r="B83" s="478" t="s">
        <v>65</v>
      </c>
      <c r="C83" s="87"/>
      <c r="D83" s="87"/>
      <c r="E83" s="87"/>
      <c r="F83" s="87"/>
      <c r="G83" s="87"/>
      <c r="H83" s="87"/>
      <c r="I83" s="87"/>
      <c r="J83" s="87"/>
      <c r="K83" s="87"/>
      <c r="L83" s="87"/>
      <c r="M83" s="87"/>
      <c r="N83" s="87"/>
    </row>
    <row r="84" spans="1:14" x14ac:dyDescent="0.25">
      <c r="A84" s="480">
        <v>54</v>
      </c>
      <c r="B84" s="478" t="s">
        <v>66</v>
      </c>
      <c r="C84" s="87"/>
      <c r="D84" s="87"/>
      <c r="E84" s="87"/>
      <c r="F84" s="87"/>
      <c r="G84" s="87"/>
      <c r="H84" s="87"/>
      <c r="I84" s="87"/>
      <c r="J84" s="87"/>
      <c r="K84" s="87"/>
      <c r="L84" s="87"/>
      <c r="M84" s="87"/>
      <c r="N84" s="87"/>
    </row>
    <row r="85" spans="1:14" s="134" customFormat="1" ht="26.4" x14ac:dyDescent="0.25">
      <c r="A85" s="480">
        <v>56</v>
      </c>
      <c r="B85" s="613" t="s">
        <v>535</v>
      </c>
      <c r="C85" s="87"/>
      <c r="D85" s="87"/>
      <c r="E85" s="87"/>
      <c r="F85" s="87"/>
      <c r="G85" s="87"/>
      <c r="H85" s="87"/>
      <c r="I85" s="87"/>
      <c r="J85" s="239"/>
      <c r="K85" s="239"/>
      <c r="L85" s="239"/>
      <c r="M85" s="239"/>
      <c r="N85" s="239"/>
    </row>
    <row r="86" spans="1:14" s="134" customFormat="1" ht="26.4" x14ac:dyDescent="0.25">
      <c r="A86" s="480">
        <v>57</v>
      </c>
      <c r="B86" s="478" t="s">
        <v>67</v>
      </c>
      <c r="C86" s="239"/>
      <c r="D86" s="239"/>
      <c r="E86" s="239"/>
      <c r="F86" s="239"/>
      <c r="G86" s="239"/>
      <c r="H86" s="239"/>
      <c r="I86" s="239"/>
      <c r="J86" s="239"/>
      <c r="K86" s="239"/>
      <c r="L86" s="239"/>
      <c r="M86" s="239"/>
      <c r="N86" s="239"/>
    </row>
    <row r="87" spans="1:14" x14ac:dyDescent="0.25">
      <c r="A87" s="237"/>
      <c r="B87" s="239"/>
      <c r="C87" s="87"/>
      <c r="D87" s="87"/>
      <c r="E87" s="87"/>
      <c r="F87" s="87"/>
      <c r="G87" s="87"/>
      <c r="H87" s="87"/>
      <c r="I87" s="87"/>
      <c r="J87" s="87"/>
      <c r="K87" s="87"/>
      <c r="L87" s="87"/>
      <c r="M87" s="87"/>
      <c r="N87" s="87"/>
    </row>
    <row r="88" spans="1:14" x14ac:dyDescent="0.25">
      <c r="A88" s="238" t="s">
        <v>277</v>
      </c>
      <c r="B88" s="87"/>
      <c r="C88" s="87"/>
      <c r="D88" s="87"/>
      <c r="E88" s="87"/>
      <c r="F88" s="87"/>
      <c r="G88" s="87"/>
      <c r="H88" s="87"/>
      <c r="I88" s="87"/>
      <c r="J88" s="87"/>
      <c r="K88" s="87"/>
      <c r="L88" s="87"/>
      <c r="M88" s="87"/>
      <c r="N88" s="87"/>
    </row>
    <row r="89" spans="1:14" x14ac:dyDescent="0.25">
      <c r="A89" s="238"/>
      <c r="B89" s="87"/>
      <c r="C89" s="87"/>
      <c r="D89" s="87"/>
      <c r="E89" s="87"/>
      <c r="F89" s="87"/>
      <c r="G89" s="87"/>
      <c r="H89" s="87"/>
      <c r="I89" s="87"/>
      <c r="J89" s="87"/>
      <c r="K89" s="87"/>
      <c r="L89" s="87"/>
      <c r="M89" s="87"/>
      <c r="N89" s="87"/>
    </row>
    <row r="90" spans="1:14" x14ac:dyDescent="0.25">
      <c r="A90" s="238"/>
      <c r="B90" s="87"/>
      <c r="C90" s="87"/>
      <c r="D90" s="87"/>
      <c r="E90" s="87"/>
      <c r="F90" s="87"/>
      <c r="G90" s="87"/>
      <c r="H90" s="87"/>
      <c r="I90" s="87"/>
      <c r="J90" s="87"/>
      <c r="K90" s="87"/>
      <c r="L90" s="87"/>
      <c r="M90" s="87"/>
      <c r="N90" s="87"/>
    </row>
    <row r="91" spans="1:14" ht="26.4" x14ac:dyDescent="0.25">
      <c r="A91" s="485" t="s">
        <v>239</v>
      </c>
      <c r="B91" s="478" t="s">
        <v>68</v>
      </c>
      <c r="C91" s="87"/>
      <c r="D91" s="87"/>
      <c r="E91" s="87"/>
      <c r="F91" s="87"/>
      <c r="G91" s="87"/>
      <c r="H91" s="87"/>
      <c r="I91" s="87"/>
      <c r="J91" s="87"/>
      <c r="K91" s="87"/>
      <c r="L91" s="87"/>
      <c r="M91" s="87"/>
      <c r="N91" s="87"/>
    </row>
    <row r="92" spans="1:14" x14ac:dyDescent="0.25">
      <c r="A92" s="238"/>
      <c r="B92" s="87" t="s">
        <v>69</v>
      </c>
      <c r="C92" s="87"/>
      <c r="D92" s="87"/>
      <c r="E92" s="87"/>
      <c r="F92" s="87"/>
      <c r="G92" s="87"/>
      <c r="H92" s="87"/>
      <c r="I92" s="87"/>
      <c r="J92" s="87"/>
      <c r="K92" s="87"/>
      <c r="L92" s="87"/>
      <c r="M92" s="87"/>
      <c r="N92" s="87"/>
    </row>
    <row r="93" spans="1:14" x14ac:dyDescent="0.25">
      <c r="A93" s="238"/>
      <c r="B93" s="478" t="s">
        <v>70</v>
      </c>
      <c r="C93" s="87"/>
      <c r="D93" s="87"/>
      <c r="E93" s="87"/>
      <c r="F93" s="87"/>
      <c r="G93" s="87"/>
      <c r="H93" s="87"/>
      <c r="I93" s="87"/>
      <c r="J93" s="87"/>
      <c r="K93" s="87"/>
      <c r="L93" s="87"/>
      <c r="M93" s="87"/>
      <c r="N93" s="87"/>
    </row>
    <row r="94" spans="1:14" x14ac:dyDescent="0.25">
      <c r="A94" s="238"/>
      <c r="B94" s="478" t="s">
        <v>341</v>
      </c>
      <c r="C94" s="87"/>
      <c r="D94" s="87"/>
      <c r="E94" s="87"/>
      <c r="F94" s="87"/>
      <c r="G94" s="87"/>
      <c r="H94" s="87"/>
      <c r="I94" s="87"/>
      <c r="J94" s="87"/>
      <c r="K94" s="87"/>
      <c r="L94" s="87"/>
      <c r="M94" s="87"/>
      <c r="N94" s="87"/>
    </row>
    <row r="95" spans="1:14" x14ac:dyDescent="0.25">
      <c r="A95" s="238"/>
      <c r="B95" s="478" t="s">
        <v>71</v>
      </c>
      <c r="C95" s="87"/>
      <c r="D95" s="87"/>
      <c r="E95" s="87"/>
      <c r="F95" s="87"/>
      <c r="G95" s="87"/>
      <c r="H95" s="87"/>
      <c r="I95" s="87"/>
      <c r="J95" s="87"/>
      <c r="K95" s="87"/>
      <c r="L95" s="87"/>
      <c r="M95" s="87"/>
      <c r="N95" s="87"/>
    </row>
    <row r="96" spans="1:14" x14ac:dyDescent="0.25">
      <c r="A96" s="238"/>
      <c r="B96" s="87"/>
      <c r="C96" s="87"/>
      <c r="D96" s="87"/>
      <c r="E96" s="87"/>
      <c r="F96" s="87"/>
      <c r="G96" s="87"/>
      <c r="H96" s="87"/>
      <c r="I96" s="87"/>
      <c r="J96" s="87"/>
      <c r="K96" s="87"/>
      <c r="L96" s="87"/>
      <c r="M96" s="87"/>
      <c r="N96" s="87"/>
    </row>
    <row r="97" spans="1:14" x14ac:dyDescent="0.25">
      <c r="A97" s="183" t="s">
        <v>226</v>
      </c>
      <c r="B97" s="87"/>
      <c r="C97" s="87"/>
      <c r="D97" s="87"/>
      <c r="E97" s="87"/>
      <c r="F97" s="87"/>
      <c r="G97" s="87"/>
      <c r="H97" s="87"/>
      <c r="I97" s="87"/>
      <c r="J97" s="87"/>
      <c r="K97" s="87"/>
      <c r="L97" s="87"/>
      <c r="M97" s="87"/>
      <c r="N97" s="87"/>
    </row>
    <row r="98" spans="1:14" x14ac:dyDescent="0.25">
      <c r="A98" s="240" t="s">
        <v>152</v>
      </c>
      <c r="B98" s="87" t="s">
        <v>72</v>
      </c>
      <c r="C98" s="87"/>
      <c r="D98" s="87"/>
      <c r="E98" s="87"/>
      <c r="F98" s="87"/>
      <c r="G98" s="87"/>
      <c r="H98" s="87"/>
      <c r="I98" s="87"/>
      <c r="J98" s="87"/>
      <c r="K98" s="87"/>
      <c r="L98" s="87"/>
      <c r="M98" s="87"/>
      <c r="N98" s="87"/>
    </row>
    <row r="99" spans="1:14" x14ac:dyDescent="0.25">
      <c r="A99" s="240" t="s">
        <v>170</v>
      </c>
      <c r="B99" s="87" t="s">
        <v>73</v>
      </c>
      <c r="C99" s="87"/>
      <c r="D99" s="87"/>
      <c r="E99" s="87"/>
      <c r="F99" s="87"/>
      <c r="G99" s="87"/>
      <c r="H99" s="87"/>
      <c r="I99" s="87"/>
      <c r="J99" s="87"/>
      <c r="K99" s="87"/>
      <c r="L99" s="87"/>
      <c r="M99" s="87"/>
      <c r="N99" s="87"/>
    </row>
    <row r="100" spans="1:14" x14ac:dyDescent="0.25">
      <c r="A100" s="240" t="s">
        <v>171</v>
      </c>
      <c r="B100" s="87" t="s">
        <v>74</v>
      </c>
      <c r="C100" s="87"/>
      <c r="D100" s="87"/>
      <c r="E100" s="87"/>
      <c r="F100" s="87"/>
      <c r="G100" s="87"/>
      <c r="H100" s="87"/>
      <c r="I100" s="87"/>
      <c r="J100" s="87"/>
      <c r="K100" s="87"/>
      <c r="L100" s="87"/>
      <c r="M100" s="87"/>
      <c r="N100" s="87"/>
    </row>
    <row r="101" spans="1:14" x14ac:dyDescent="0.25">
      <c r="A101" s="240" t="s">
        <v>153</v>
      </c>
      <c r="B101" s="87" t="s">
        <v>75</v>
      </c>
      <c r="C101" s="87"/>
      <c r="D101" s="87"/>
      <c r="E101" s="87"/>
      <c r="F101" s="87"/>
      <c r="G101" s="87"/>
      <c r="H101" s="87"/>
      <c r="I101" s="87"/>
      <c r="J101" s="87"/>
      <c r="K101" s="87"/>
      <c r="L101" s="87"/>
      <c r="M101" s="87"/>
      <c r="N101" s="87"/>
    </row>
    <row r="102" spans="1:14" x14ac:dyDescent="0.25">
      <c r="A102" s="240" t="s">
        <v>328</v>
      </c>
      <c r="B102" s="87" t="s">
        <v>76</v>
      </c>
      <c r="C102" s="87"/>
      <c r="D102" s="87"/>
      <c r="E102" s="87"/>
      <c r="F102" s="87"/>
      <c r="G102" s="87"/>
      <c r="H102" s="87"/>
      <c r="I102" s="87"/>
      <c r="J102" s="87"/>
      <c r="K102" s="87"/>
      <c r="L102" s="87"/>
      <c r="M102" s="87"/>
      <c r="N102" s="87"/>
    </row>
    <row r="103" spans="1:14" ht="56.25" customHeight="1" x14ac:dyDescent="0.25">
      <c r="A103" s="480" t="s">
        <v>173</v>
      </c>
      <c r="B103" s="478" t="s">
        <v>77</v>
      </c>
      <c r="C103" s="87"/>
      <c r="D103" s="87"/>
      <c r="E103" s="87"/>
      <c r="F103" s="87"/>
      <c r="G103" s="87"/>
      <c r="H103" s="87"/>
      <c r="I103" s="87"/>
      <c r="J103" s="87"/>
      <c r="K103" s="87"/>
      <c r="L103" s="87"/>
      <c r="M103" s="87"/>
      <c r="N103" s="87"/>
    </row>
    <row r="104" spans="1:14" x14ac:dyDescent="0.25">
      <c r="A104" s="480" t="s">
        <v>350</v>
      </c>
      <c r="B104" s="478" t="s">
        <v>78</v>
      </c>
      <c r="C104" s="87"/>
      <c r="D104" s="87"/>
      <c r="E104" s="87"/>
      <c r="F104" s="87"/>
      <c r="G104" s="87"/>
      <c r="H104" s="87"/>
      <c r="I104" s="87"/>
      <c r="J104" s="87"/>
      <c r="K104" s="87"/>
      <c r="L104" s="87"/>
      <c r="M104" s="87"/>
      <c r="N104" s="87"/>
    </row>
    <row r="105" spans="1:14" x14ac:dyDescent="0.25">
      <c r="A105" s="480" t="s">
        <v>154</v>
      </c>
      <c r="B105" s="478" t="s">
        <v>79</v>
      </c>
      <c r="C105" s="87"/>
      <c r="D105" s="87"/>
      <c r="E105" s="87"/>
      <c r="F105" s="87"/>
      <c r="G105" s="87"/>
      <c r="H105" s="87"/>
      <c r="I105" s="87"/>
      <c r="J105" s="87"/>
      <c r="K105" s="87"/>
      <c r="L105" s="87"/>
      <c r="M105" s="87"/>
      <c r="N105" s="87"/>
    </row>
    <row r="106" spans="1:14" ht="26.4" x14ac:dyDescent="0.25">
      <c r="A106" s="480" t="s">
        <v>80</v>
      </c>
      <c r="B106" s="478" t="s">
        <v>81</v>
      </c>
      <c r="C106" s="87"/>
      <c r="D106" s="87"/>
      <c r="E106" s="87"/>
      <c r="F106" s="87"/>
      <c r="G106" s="87"/>
      <c r="H106" s="87"/>
      <c r="I106" s="87"/>
      <c r="J106" s="87"/>
      <c r="K106" s="87"/>
      <c r="L106" s="87"/>
      <c r="M106" s="87"/>
      <c r="N106" s="87"/>
    </row>
    <row r="107" spans="1:14" x14ac:dyDescent="0.25">
      <c r="A107" s="237" t="s">
        <v>352</v>
      </c>
      <c r="B107" s="87" t="s">
        <v>82</v>
      </c>
      <c r="C107" s="87"/>
      <c r="D107" s="87"/>
      <c r="E107" s="87"/>
      <c r="F107" s="87"/>
      <c r="G107" s="87"/>
      <c r="H107" s="87"/>
      <c r="I107" s="87"/>
      <c r="J107" s="87"/>
      <c r="K107" s="87"/>
      <c r="L107" s="87"/>
      <c r="M107" s="87"/>
      <c r="N107" s="87"/>
    </row>
    <row r="108" spans="1:14" x14ac:dyDescent="0.25">
      <c r="A108" s="237" t="s">
        <v>83</v>
      </c>
      <c r="B108" s="87" t="s">
        <v>84</v>
      </c>
      <c r="C108" s="87"/>
      <c r="D108" s="87"/>
      <c r="E108" s="87"/>
      <c r="F108" s="87"/>
      <c r="G108" s="87"/>
      <c r="H108" s="87"/>
      <c r="I108" s="87"/>
      <c r="J108" s="87"/>
      <c r="K108" s="87"/>
      <c r="L108" s="87"/>
      <c r="M108" s="87"/>
      <c r="N108" s="87"/>
    </row>
    <row r="109" spans="1:14" x14ac:dyDescent="0.25">
      <c r="A109" s="237" t="s">
        <v>85</v>
      </c>
      <c r="B109" s="87" t="s">
        <v>86</v>
      </c>
      <c r="C109" s="87"/>
      <c r="D109" s="87"/>
      <c r="E109" s="87"/>
      <c r="F109" s="87"/>
      <c r="G109" s="87"/>
      <c r="H109" s="87"/>
      <c r="I109" s="87"/>
      <c r="J109" s="87"/>
      <c r="K109" s="87"/>
      <c r="L109" s="87"/>
      <c r="M109" s="87"/>
      <c r="N109" s="87"/>
    </row>
    <row r="110" spans="1:14" x14ac:dyDescent="0.25">
      <c r="A110" s="237" t="s">
        <v>353</v>
      </c>
      <c r="B110" s="87" t="s">
        <v>87</v>
      </c>
      <c r="C110" s="87"/>
      <c r="D110" s="87"/>
      <c r="E110" s="87"/>
      <c r="F110" s="87"/>
      <c r="G110" s="87"/>
      <c r="H110" s="87"/>
      <c r="I110" s="87"/>
      <c r="J110" s="87"/>
      <c r="K110" s="87"/>
      <c r="L110" s="87"/>
      <c r="M110" s="87"/>
      <c r="N110" s="87"/>
    </row>
    <row r="111" spans="1:14" x14ac:dyDescent="0.25">
      <c r="A111" s="237" t="s">
        <v>88</v>
      </c>
      <c r="B111" s="87" t="s">
        <v>89</v>
      </c>
      <c r="C111" s="87"/>
      <c r="D111" s="87"/>
      <c r="E111" s="87"/>
      <c r="F111" s="87"/>
      <c r="G111" s="87"/>
      <c r="H111" s="87"/>
      <c r="I111" s="87"/>
      <c r="J111" s="87"/>
      <c r="K111" s="87"/>
      <c r="L111" s="87"/>
      <c r="M111" s="87"/>
      <c r="N111" s="87"/>
    </row>
    <row r="112" spans="1:14" x14ac:dyDescent="0.25">
      <c r="A112" s="237"/>
      <c r="B112" s="87"/>
      <c r="C112" s="87"/>
      <c r="D112" s="87"/>
      <c r="E112" s="87"/>
      <c r="F112" s="87"/>
      <c r="G112" s="87"/>
      <c r="H112" s="87"/>
      <c r="I112" s="87"/>
      <c r="J112" s="87"/>
      <c r="K112" s="87"/>
      <c r="L112" s="87"/>
      <c r="M112" s="87"/>
      <c r="N112" s="87"/>
    </row>
    <row r="113" spans="1:14" x14ac:dyDescent="0.25">
      <c r="A113" s="183" t="s">
        <v>7</v>
      </c>
      <c r="B113" s="87"/>
      <c r="C113" s="87"/>
      <c r="D113" s="87"/>
      <c r="E113" s="87"/>
      <c r="F113" s="87"/>
      <c r="G113" s="87"/>
      <c r="H113" s="87"/>
      <c r="I113" s="87"/>
      <c r="J113" s="87"/>
      <c r="K113" s="87"/>
      <c r="L113" s="87"/>
      <c r="M113" s="87"/>
      <c r="N113" s="87"/>
    </row>
    <row r="114" spans="1:14" ht="26.4" x14ac:dyDescent="0.25">
      <c r="A114" s="480" t="s">
        <v>199</v>
      </c>
      <c r="B114" s="478" t="s">
        <v>90</v>
      </c>
      <c r="C114" s="87"/>
      <c r="D114" s="87"/>
      <c r="E114" s="87"/>
      <c r="F114" s="87"/>
      <c r="G114" s="87"/>
      <c r="H114" s="87"/>
      <c r="I114" s="87"/>
      <c r="J114" s="87"/>
      <c r="K114" s="87"/>
      <c r="L114" s="87"/>
      <c r="M114" s="87"/>
      <c r="N114" s="87"/>
    </row>
    <row r="115" spans="1:14" x14ac:dyDescent="0.25">
      <c r="A115" s="480" t="s">
        <v>227</v>
      </c>
      <c r="B115" s="87" t="s">
        <v>415</v>
      </c>
      <c r="C115" s="87"/>
      <c r="D115" s="87"/>
      <c r="E115" s="87"/>
      <c r="F115" s="87"/>
      <c r="G115" s="87"/>
      <c r="H115" s="87"/>
      <c r="I115" s="87"/>
      <c r="J115" s="87"/>
      <c r="K115" s="87"/>
      <c r="L115" s="87"/>
      <c r="M115" s="87"/>
      <c r="N115" s="87"/>
    </row>
    <row r="116" spans="1:14" x14ac:dyDescent="0.25">
      <c r="A116" s="480" t="s">
        <v>337</v>
      </c>
      <c r="B116" s="87" t="s">
        <v>310</v>
      </c>
      <c r="C116" s="87"/>
      <c r="D116" s="87"/>
      <c r="E116" s="87"/>
      <c r="F116" s="87"/>
      <c r="G116" s="87"/>
      <c r="H116" s="87"/>
      <c r="I116" s="87"/>
      <c r="J116" s="87"/>
      <c r="K116" s="87"/>
      <c r="L116" s="87"/>
      <c r="M116" s="87"/>
      <c r="N116" s="87"/>
    </row>
    <row r="117" spans="1:14" x14ac:dyDescent="0.25">
      <c r="A117" s="480"/>
      <c r="B117" s="87" t="s">
        <v>91</v>
      </c>
      <c r="C117" s="87"/>
      <c r="D117" s="87"/>
      <c r="E117" s="87"/>
      <c r="F117" s="87"/>
      <c r="G117" s="87"/>
      <c r="H117" s="87"/>
      <c r="I117" s="87"/>
      <c r="J117" s="87"/>
      <c r="K117" s="87"/>
      <c r="L117" s="87"/>
      <c r="M117" s="87"/>
      <c r="N117" s="87"/>
    </row>
    <row r="118" spans="1:14" x14ac:dyDescent="0.25">
      <c r="A118" s="480" t="s">
        <v>228</v>
      </c>
      <c r="B118" s="87" t="s">
        <v>343</v>
      </c>
      <c r="C118" s="87"/>
      <c r="D118" s="87"/>
      <c r="E118" s="87"/>
      <c r="F118" s="87"/>
      <c r="G118" s="87"/>
      <c r="H118" s="87"/>
      <c r="I118" s="87"/>
      <c r="J118" s="87"/>
      <c r="K118" s="87"/>
      <c r="L118" s="87"/>
      <c r="M118" s="87"/>
      <c r="N118" s="87"/>
    </row>
    <row r="119" spans="1:14" x14ac:dyDescent="0.25">
      <c r="A119" s="480" t="s">
        <v>342</v>
      </c>
      <c r="B119" s="486" t="s">
        <v>92</v>
      </c>
      <c r="C119" s="87"/>
      <c r="D119" s="87"/>
      <c r="E119" s="87"/>
      <c r="F119" s="87"/>
      <c r="G119" s="87"/>
      <c r="H119" s="87"/>
      <c r="I119" s="87"/>
      <c r="J119" s="87"/>
      <c r="K119" s="87"/>
      <c r="L119" s="87"/>
      <c r="M119" s="87"/>
      <c r="N119" s="87"/>
    </row>
    <row r="120" spans="1:14" x14ac:dyDescent="0.25">
      <c r="A120" s="87"/>
      <c r="C120" s="87"/>
      <c r="D120" s="87"/>
      <c r="E120" s="87"/>
      <c r="F120" s="87"/>
      <c r="G120" s="87"/>
      <c r="H120" s="87"/>
      <c r="I120" s="87"/>
      <c r="J120" s="87"/>
      <c r="K120" s="87"/>
      <c r="L120" s="87"/>
      <c r="M120" s="87"/>
      <c r="N120" s="87"/>
    </row>
  </sheetData>
  <customSheetViews>
    <customSheetView guid="{D98A0717-74D0-4F54-BB8F-A337A1A9E4DF}" showRuler="0" topLeftCell="A127">
      <selection activeCell="F176" sqref="F176"/>
      <pageMargins left="0.75" right="0.75" top="1" bottom="1" header="0.5" footer="0.5"/>
      <pageSetup paperSize="9" scale="70" orientation="portrait"/>
      <headerFooter alignWithMargins="0"/>
    </customSheetView>
    <customSheetView guid="{5D986420-B83B-47C8-8160-784F77FFC196}" showRuler="0">
      <selection activeCell="C30" sqref="C30"/>
      <pageMargins left="0.75" right="0.75" top="1" bottom="1" header="0.5" footer="0.5"/>
      <pageSetup paperSize="9" scale="70" orientation="portrait"/>
      <headerFooter alignWithMargins="0"/>
    </customSheetView>
    <customSheetView guid="{C9029B8D-126A-43F1-8BE9-BB8A7DE12FBF}" showRuler="0" topLeftCell="A96">
      <selection activeCell="C123" sqref="C123"/>
      <pageMargins left="0.75" right="0.75" top="1" bottom="1" header="0.5" footer="0.5"/>
      <pageSetup paperSize="9" scale="70" orientation="portrait"/>
      <headerFooter alignWithMargins="0"/>
    </customSheetView>
    <customSheetView guid="{4284377C-91E6-4152-887E-8DA87560FDD6}" showRuler="0">
      <selection activeCell="C29" sqref="C29"/>
      <pageMargins left="0.75" right="0.75" top="1" bottom="1" header="0.5" footer="0.5"/>
      <pageSetup paperSize="9" scale="70" orientation="portrait"/>
      <headerFooter alignWithMargins="0"/>
    </customSheetView>
    <customSheetView guid="{546B9E27-05F9-47A7-B161-BCC56D613799}" showRuler="0" topLeftCell="A127">
      <selection activeCell="F176" sqref="F176"/>
      <pageMargins left="0.75" right="0.75" top="1" bottom="1" header="0.5" footer="0.5"/>
      <pageSetup paperSize="9" scale="70" orientation="portrait"/>
      <headerFooter alignWithMargins="0"/>
    </customSheetView>
  </customSheetViews>
  <phoneticPr fontId="34" type="noConversion"/>
  <hyperlinks>
    <hyperlink ref="B19" location="Invoerblad!E8" display="Terug naar invoerblad" xr:uid="{00000000-0004-0000-0300-000000000000}"/>
  </hyperlinks>
  <pageMargins left="0.85" right="0.23622047244094491" top="0.41" bottom="0.98425196850393704" header="0.51181102362204722" footer="0.51181102362204722"/>
  <pageSetup paperSize="9" scale="7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8"/>
  <dimension ref="A1:Y53"/>
  <sheetViews>
    <sheetView zoomScale="75" workbookViewId="0">
      <selection activeCell="B19" sqref="B19"/>
    </sheetView>
  </sheetViews>
  <sheetFormatPr defaultRowHeight="13.2" x14ac:dyDescent="0.25"/>
  <cols>
    <col min="1" max="1" width="55.109375" bestFit="1" customWidth="1"/>
    <col min="2" max="17" width="16" customWidth="1"/>
  </cols>
  <sheetData>
    <row r="1" spans="1:17" ht="21" x14ac:dyDescent="0.4">
      <c r="A1" s="204" t="s">
        <v>357</v>
      </c>
      <c r="B1" s="139" t="s">
        <v>22</v>
      </c>
      <c r="C1" s="206"/>
      <c r="D1" s="206"/>
      <c r="E1" s="206"/>
      <c r="F1" s="206"/>
      <c r="G1" s="206"/>
      <c r="H1" s="206"/>
      <c r="I1" s="206"/>
      <c r="J1" s="205"/>
      <c r="K1" s="205"/>
      <c r="L1" s="205"/>
      <c r="M1" s="205"/>
      <c r="N1" s="205"/>
      <c r="O1" s="205"/>
      <c r="P1" s="205"/>
      <c r="Q1" s="205"/>
    </row>
    <row r="2" spans="1:17" x14ac:dyDescent="0.25">
      <c r="A2" s="2" t="s">
        <v>16</v>
      </c>
      <c r="B2" s="2"/>
    </row>
    <row r="3" spans="1:17" x14ac:dyDescent="0.25">
      <c r="A3" s="2"/>
      <c r="B3" s="46"/>
    </row>
    <row r="4" spans="1:17" x14ac:dyDescent="0.25">
      <c r="A4" s="2"/>
      <c r="B4" s="46"/>
    </row>
    <row r="5" spans="1:17" ht="13.8" thickBot="1" x14ac:dyDescent="0.3">
      <c r="C5" s="1"/>
      <c r="D5" s="1"/>
      <c r="E5" s="1"/>
      <c r="F5" s="1"/>
      <c r="G5" s="1"/>
      <c r="H5" s="1"/>
      <c r="I5" s="1"/>
      <c r="J5" s="1"/>
      <c r="K5" s="1"/>
      <c r="L5" s="1"/>
    </row>
    <row r="6" spans="1:17" ht="14.4" thickBot="1" x14ac:dyDescent="0.3">
      <c r="A6" s="32" t="s">
        <v>165</v>
      </c>
      <c r="B6" s="30" t="s">
        <v>151</v>
      </c>
      <c r="C6" s="12">
        <v>1</v>
      </c>
      <c r="D6" s="12">
        <v>2</v>
      </c>
      <c r="E6" s="12">
        <v>3</v>
      </c>
      <c r="F6" s="12">
        <v>4</v>
      </c>
      <c r="G6" s="12">
        <v>5</v>
      </c>
      <c r="H6" s="12">
        <v>6</v>
      </c>
      <c r="I6" s="12">
        <v>7</v>
      </c>
      <c r="J6" s="12">
        <v>8</v>
      </c>
      <c r="K6" s="12">
        <v>9</v>
      </c>
      <c r="L6" s="12">
        <v>10</v>
      </c>
      <c r="M6" s="12">
        <v>11</v>
      </c>
      <c r="N6" s="12">
        <v>12</v>
      </c>
      <c r="O6" s="12">
        <v>13</v>
      </c>
      <c r="P6" s="12">
        <v>14</v>
      </c>
      <c r="Q6" s="12">
        <v>15</v>
      </c>
    </row>
    <row r="7" spans="1:17" ht="13.8" x14ac:dyDescent="0.25">
      <c r="A7" s="31"/>
      <c r="B7" s="13"/>
      <c r="C7" s="17"/>
      <c r="D7" s="17"/>
      <c r="E7" s="17"/>
      <c r="F7" s="17"/>
      <c r="G7" s="17"/>
      <c r="H7" s="17"/>
      <c r="I7" s="17"/>
      <c r="J7" s="17"/>
      <c r="K7" s="17"/>
      <c r="L7" s="17"/>
      <c r="M7" s="17"/>
      <c r="N7" s="17"/>
      <c r="O7" s="17"/>
    </row>
    <row r="8" spans="1:17" ht="13.8" x14ac:dyDescent="0.25">
      <c r="A8" s="9" t="s">
        <v>167</v>
      </c>
      <c r="B8" s="13"/>
      <c r="C8" s="28" t="e">
        <f>+Invoerblad!#REF!*Invoerblad!#REF!</f>
        <v>#REF!</v>
      </c>
      <c r="D8" s="28" t="e">
        <f>+Invoerblad!#REF!*Invoerblad!#REF!</f>
        <v>#REF!</v>
      </c>
      <c r="E8" s="28" t="e">
        <f>+Invoerblad!#REF!*Invoerblad!#REF!</f>
        <v>#REF!</v>
      </c>
      <c r="F8" s="28" t="e">
        <f>+Invoerblad!#REF!*Invoerblad!#REF!</f>
        <v>#REF!</v>
      </c>
      <c r="G8" s="28" t="e">
        <f>+Invoerblad!#REF!*Invoerblad!#REF!</f>
        <v>#REF!</v>
      </c>
      <c r="H8" s="28" t="e">
        <f>+Invoerblad!#REF!*Invoerblad!#REF!</f>
        <v>#REF!</v>
      </c>
      <c r="I8" s="28" t="e">
        <f>+Invoerblad!#REF!*Invoerblad!#REF!</f>
        <v>#REF!</v>
      </c>
      <c r="J8" s="28" t="e">
        <f>+Invoerblad!#REF!*Invoerblad!#REF!</f>
        <v>#REF!</v>
      </c>
      <c r="K8" s="28" t="e">
        <f>+Invoerblad!#REF!*Invoerblad!#REF!</f>
        <v>#REF!</v>
      </c>
      <c r="L8" s="28" t="e">
        <f>+Invoerblad!#REF!*Invoerblad!#REF!</f>
        <v>#REF!</v>
      </c>
      <c r="M8" s="28" t="e">
        <f>+Invoerblad!#REF!*Invoerblad!#REF!</f>
        <v>#REF!</v>
      </c>
      <c r="N8" s="28" t="e">
        <f>+Invoerblad!#REF!*Invoerblad!#REF!</f>
        <v>#REF!</v>
      </c>
      <c r="O8" s="28" t="e">
        <f>+Invoerblad!#REF!*Invoerblad!#REF!</f>
        <v>#REF!</v>
      </c>
      <c r="P8" s="28" t="e">
        <f>+Invoerblad!#REF!*Invoerblad!#REF!</f>
        <v>#REF!</v>
      </c>
      <c r="Q8" s="28" t="e">
        <f>+Invoerblad!#REF!*Invoerblad!#REF!</f>
        <v>#REF!</v>
      </c>
    </row>
    <row r="9" spans="1:17" ht="13.8" x14ac:dyDescent="0.25">
      <c r="A9" s="9" t="s">
        <v>17</v>
      </c>
      <c r="B9" s="13"/>
      <c r="C9" s="28" t="e">
        <f>+Invoerblad!#REF!*Invoerblad!#REF!</f>
        <v>#REF!</v>
      </c>
      <c r="D9" s="28" t="e">
        <f>+Invoerblad!#REF!*Invoerblad!#REF!</f>
        <v>#REF!</v>
      </c>
      <c r="E9" s="28" t="e">
        <f>+Invoerblad!#REF!*Invoerblad!#REF!</f>
        <v>#REF!</v>
      </c>
      <c r="F9" s="28" t="e">
        <f>+Invoerblad!#REF!*Invoerblad!#REF!</f>
        <v>#REF!</v>
      </c>
      <c r="G9" s="28" t="e">
        <f>+Invoerblad!#REF!*Invoerblad!#REF!</f>
        <v>#REF!</v>
      </c>
      <c r="H9" s="28" t="e">
        <f>+Invoerblad!#REF!*Invoerblad!#REF!</f>
        <v>#REF!</v>
      </c>
      <c r="I9" s="28" t="e">
        <f>+Invoerblad!#REF!*Invoerblad!#REF!</f>
        <v>#REF!</v>
      </c>
      <c r="J9" s="28" t="e">
        <f>+Invoerblad!#REF!*Invoerblad!#REF!</f>
        <v>#REF!</v>
      </c>
      <c r="K9" s="28" t="e">
        <f>+Invoerblad!#REF!*Invoerblad!#REF!</f>
        <v>#REF!</v>
      </c>
      <c r="L9" s="28" t="e">
        <f>+Invoerblad!#REF!*Invoerblad!#REF!</f>
        <v>#REF!</v>
      </c>
      <c r="M9" s="28" t="e">
        <f>+Invoerblad!#REF!*Invoerblad!#REF!</f>
        <v>#REF!</v>
      </c>
      <c r="N9" s="28" t="e">
        <f>+Invoerblad!#REF!*Invoerblad!#REF!</f>
        <v>#REF!</v>
      </c>
      <c r="O9" s="28" t="e">
        <f>+Invoerblad!#REF!*Invoerblad!#REF!</f>
        <v>#REF!</v>
      </c>
      <c r="P9" s="28" t="e">
        <f>+Invoerblad!#REF!*Invoerblad!#REF!</f>
        <v>#REF!</v>
      </c>
      <c r="Q9" s="28" t="e">
        <f>+Invoerblad!#REF!*Invoerblad!#REF!</f>
        <v>#REF!</v>
      </c>
    </row>
    <row r="10" spans="1:17" ht="13.8" x14ac:dyDescent="0.25">
      <c r="A10" s="9" t="s">
        <v>220</v>
      </c>
      <c r="B10" s="13"/>
      <c r="C10" s="28" t="e">
        <f>SUM(C8:C9)</f>
        <v>#REF!</v>
      </c>
      <c r="D10" s="28" t="e">
        <f t="shared" ref="D10:Q10" si="0">SUM(D8:D9)</f>
        <v>#REF!</v>
      </c>
      <c r="E10" s="28" t="e">
        <f t="shared" si="0"/>
        <v>#REF!</v>
      </c>
      <c r="F10" s="28" t="e">
        <f t="shared" si="0"/>
        <v>#REF!</v>
      </c>
      <c r="G10" s="28" t="e">
        <f t="shared" si="0"/>
        <v>#REF!</v>
      </c>
      <c r="H10" s="28" t="e">
        <f t="shared" si="0"/>
        <v>#REF!</v>
      </c>
      <c r="I10" s="28" t="e">
        <f t="shared" si="0"/>
        <v>#REF!</v>
      </c>
      <c r="J10" s="28" t="e">
        <f t="shared" si="0"/>
        <v>#REF!</v>
      </c>
      <c r="K10" s="28" t="e">
        <f t="shared" si="0"/>
        <v>#REF!</v>
      </c>
      <c r="L10" s="28" t="e">
        <f t="shared" si="0"/>
        <v>#REF!</v>
      </c>
      <c r="M10" s="28" t="e">
        <f t="shared" si="0"/>
        <v>#REF!</v>
      </c>
      <c r="N10" s="28" t="e">
        <f t="shared" si="0"/>
        <v>#REF!</v>
      </c>
      <c r="O10" s="28" t="e">
        <f t="shared" si="0"/>
        <v>#REF!</v>
      </c>
      <c r="P10" s="28" t="e">
        <f t="shared" si="0"/>
        <v>#REF!</v>
      </c>
      <c r="Q10" s="28" t="e">
        <f t="shared" si="0"/>
        <v>#REF!</v>
      </c>
    </row>
    <row r="11" spans="1:17" ht="13.8" x14ac:dyDescent="0.25">
      <c r="A11" s="19"/>
      <c r="B11" s="13"/>
      <c r="C11" s="20"/>
      <c r="D11" s="20"/>
      <c r="E11" s="20"/>
      <c r="F11" s="20"/>
      <c r="G11" s="20"/>
      <c r="H11" s="20"/>
      <c r="I11" s="20"/>
      <c r="J11" s="20"/>
      <c r="K11" s="20"/>
      <c r="L11" s="20"/>
      <c r="M11" s="20"/>
      <c r="N11" s="20"/>
      <c r="O11" s="20"/>
    </row>
    <row r="12" spans="1:17" ht="13.8" x14ac:dyDescent="0.25">
      <c r="A12" s="9" t="s">
        <v>198</v>
      </c>
      <c r="B12" s="13"/>
      <c r="C12" s="28" t="e">
        <f>+Invoerblad!#REF!+Invoerblad!#REF!+Invoerblad!#REF!+Invoerblad!#REF!+Invoerblad!#REF!</f>
        <v>#REF!</v>
      </c>
      <c r="D12" s="28" t="e">
        <f>+Invoerblad!#REF!+Invoerblad!#REF!+Invoerblad!#REF!+Invoerblad!#REF!+Invoerblad!#REF!</f>
        <v>#REF!</v>
      </c>
      <c r="E12" s="28" t="e">
        <f>+Invoerblad!#REF!+Invoerblad!#REF!+Invoerblad!#REF!+Invoerblad!#REF!+Invoerblad!#REF!</f>
        <v>#REF!</v>
      </c>
      <c r="F12" s="28" t="e">
        <f>+Invoerblad!#REF!+Invoerblad!#REF!+Invoerblad!#REF!+Invoerblad!#REF!+Invoerblad!#REF!</f>
        <v>#REF!</v>
      </c>
      <c r="G12" s="28" t="e">
        <f>+Invoerblad!#REF!+Invoerblad!#REF!+Invoerblad!#REF!+Invoerblad!#REF!+Invoerblad!#REF!</f>
        <v>#REF!</v>
      </c>
      <c r="H12" s="28" t="e">
        <f>+Invoerblad!#REF!+Invoerblad!#REF!+Invoerblad!#REF!+Invoerblad!#REF!+Invoerblad!#REF!</f>
        <v>#REF!</v>
      </c>
      <c r="I12" s="28" t="e">
        <f>+Invoerblad!#REF!+Invoerblad!#REF!+Invoerblad!#REF!+Invoerblad!#REF!+Invoerblad!#REF!</f>
        <v>#REF!</v>
      </c>
      <c r="J12" s="28" t="e">
        <f>+Invoerblad!#REF!+Invoerblad!#REF!+Invoerblad!#REF!+Invoerblad!#REF!+Invoerblad!#REF!</f>
        <v>#REF!</v>
      </c>
      <c r="K12" s="28" t="e">
        <f>+Invoerblad!#REF!+Invoerblad!#REF!+Invoerblad!#REF!+Invoerblad!#REF!+Invoerblad!#REF!</f>
        <v>#REF!</v>
      </c>
      <c r="L12" s="28" t="e">
        <f>+Invoerblad!#REF!+Invoerblad!#REF!+Invoerblad!#REF!+Invoerblad!#REF!+Invoerblad!#REF!</f>
        <v>#REF!</v>
      </c>
      <c r="M12" s="28" t="e">
        <f>+Invoerblad!#REF!+Invoerblad!#REF!+Invoerblad!#REF!+Invoerblad!#REF!+Invoerblad!#REF!</f>
        <v>#REF!</v>
      </c>
      <c r="N12" s="28" t="e">
        <f>+Invoerblad!#REF!+Invoerblad!#REF!+Invoerblad!#REF!+Invoerblad!#REF!+Invoerblad!#REF!</f>
        <v>#REF!</v>
      </c>
      <c r="O12" s="28" t="e">
        <f>+Invoerblad!#REF!+Invoerblad!#REF!+Invoerblad!#REF!+Invoerblad!#REF!+Invoerblad!#REF!</f>
        <v>#REF!</v>
      </c>
      <c r="P12" s="28" t="e">
        <f>+Invoerblad!#REF!+Invoerblad!#REF!+Invoerblad!#REF!+Invoerblad!#REF!+Invoerblad!#REF!</f>
        <v>#REF!</v>
      </c>
      <c r="Q12" s="28" t="e">
        <f>+Invoerblad!#REF!+Invoerblad!#REF!+Invoerblad!#REF!+Invoerblad!#REF!+Invoerblad!#REF!</f>
        <v>#REF!</v>
      </c>
    </row>
    <row r="13" spans="1:17" ht="13.8" x14ac:dyDescent="0.25">
      <c r="A13" s="19"/>
      <c r="B13" s="13"/>
      <c r="C13" s="20"/>
      <c r="D13" s="20"/>
      <c r="E13" s="20"/>
      <c r="F13" s="20"/>
      <c r="G13" s="20"/>
      <c r="H13" s="20"/>
      <c r="I13" s="20"/>
      <c r="J13" s="20"/>
      <c r="K13" s="20"/>
      <c r="L13" s="20"/>
      <c r="M13" s="20"/>
      <c r="N13" s="20"/>
      <c r="O13" s="20"/>
    </row>
    <row r="14" spans="1:17" ht="13.8" x14ac:dyDescent="0.25">
      <c r="A14" s="9"/>
      <c r="B14" s="13"/>
      <c r="C14" s="43"/>
      <c r="D14" s="43"/>
      <c r="E14" s="43"/>
      <c r="F14" s="43"/>
      <c r="G14" s="43"/>
      <c r="H14" s="43"/>
      <c r="I14" s="43"/>
      <c r="J14" s="43"/>
      <c r="K14" s="43"/>
      <c r="L14" s="43"/>
      <c r="M14" s="43"/>
      <c r="N14" s="43"/>
      <c r="O14" s="43"/>
    </row>
    <row r="15" spans="1:17" ht="13.8" x14ac:dyDescent="0.25">
      <c r="A15" s="9"/>
      <c r="B15" s="13"/>
      <c r="C15" s="20"/>
      <c r="D15" s="20"/>
      <c r="E15" s="20"/>
      <c r="F15" s="20"/>
      <c r="G15" s="20"/>
      <c r="H15" s="20"/>
      <c r="I15" s="20"/>
      <c r="J15" s="20"/>
      <c r="K15" s="20"/>
      <c r="L15" s="20"/>
      <c r="M15" s="20"/>
      <c r="N15" s="20"/>
      <c r="O15" s="20"/>
    </row>
    <row r="16" spans="1:17" ht="13.8" x14ac:dyDescent="0.25">
      <c r="A16" s="9"/>
      <c r="B16" s="13"/>
      <c r="C16" s="20"/>
      <c r="D16" s="20"/>
      <c r="E16" s="20"/>
      <c r="F16" s="20"/>
      <c r="G16" s="20"/>
      <c r="H16" s="20"/>
      <c r="I16" s="20"/>
      <c r="J16" s="20"/>
      <c r="K16" s="20"/>
      <c r="L16" s="20"/>
      <c r="M16" s="20"/>
      <c r="N16" s="20"/>
      <c r="O16" s="20"/>
    </row>
    <row r="17" spans="1:25" ht="13.8" x14ac:dyDescent="0.25">
      <c r="A17" s="39" t="s">
        <v>163</v>
      </c>
      <c r="B17" s="17"/>
      <c r="C17" s="42" t="e">
        <f>+C10+C12</f>
        <v>#REF!</v>
      </c>
      <c r="D17" s="42" t="e">
        <f t="shared" ref="D17:Q17" si="1">+D10+D12</f>
        <v>#REF!</v>
      </c>
      <c r="E17" s="42" t="e">
        <f t="shared" si="1"/>
        <v>#REF!</v>
      </c>
      <c r="F17" s="42" t="e">
        <f t="shared" si="1"/>
        <v>#REF!</v>
      </c>
      <c r="G17" s="42" t="e">
        <f t="shared" si="1"/>
        <v>#REF!</v>
      </c>
      <c r="H17" s="42" t="e">
        <f t="shared" si="1"/>
        <v>#REF!</v>
      </c>
      <c r="I17" s="42" t="e">
        <f t="shared" si="1"/>
        <v>#REF!</v>
      </c>
      <c r="J17" s="42" t="e">
        <f t="shared" si="1"/>
        <v>#REF!</v>
      </c>
      <c r="K17" s="42" t="e">
        <f t="shared" si="1"/>
        <v>#REF!</v>
      </c>
      <c r="L17" s="42" t="e">
        <f t="shared" si="1"/>
        <v>#REF!</v>
      </c>
      <c r="M17" s="42" t="e">
        <f t="shared" si="1"/>
        <v>#REF!</v>
      </c>
      <c r="N17" s="42" t="e">
        <f t="shared" si="1"/>
        <v>#REF!</v>
      </c>
      <c r="O17" s="42" t="e">
        <f t="shared" si="1"/>
        <v>#REF!</v>
      </c>
      <c r="P17" s="42" t="e">
        <f t="shared" si="1"/>
        <v>#REF!</v>
      </c>
      <c r="Q17" s="42" t="e">
        <f t="shared" si="1"/>
        <v>#REF!</v>
      </c>
    </row>
    <row r="18" spans="1:25" ht="13.8" x14ac:dyDescent="0.25">
      <c r="A18" s="9"/>
      <c r="B18" s="13"/>
      <c r="C18" s="22"/>
      <c r="D18" s="22"/>
      <c r="E18" s="22"/>
      <c r="F18" s="22"/>
      <c r="G18" s="22"/>
      <c r="H18" s="22"/>
      <c r="I18" s="22"/>
      <c r="J18" s="22"/>
      <c r="K18" s="22"/>
      <c r="L18" s="22"/>
      <c r="M18" s="23"/>
      <c r="N18" s="23"/>
      <c r="O18" s="23"/>
    </row>
    <row r="19" spans="1:25" ht="13.8" x14ac:dyDescent="0.25">
      <c r="A19" s="9" t="s">
        <v>166</v>
      </c>
      <c r="B19" s="15"/>
      <c r="C19" s="28" t="e">
        <f>39000*Invoerblad!#REF!</f>
        <v>#REF!</v>
      </c>
      <c r="D19" s="28" t="e">
        <f>39000*Invoerblad!#REF!</f>
        <v>#REF!</v>
      </c>
      <c r="E19" s="28" t="e">
        <f>39000*Invoerblad!#REF!</f>
        <v>#REF!</v>
      </c>
      <c r="F19" s="28" t="e">
        <f>39000*Invoerblad!#REF!</f>
        <v>#REF!</v>
      </c>
      <c r="G19" s="28" t="e">
        <f>39000*Invoerblad!#REF!</f>
        <v>#REF!</v>
      </c>
      <c r="H19" s="28" t="e">
        <f>39000*Invoerblad!#REF!</f>
        <v>#REF!</v>
      </c>
      <c r="I19" s="28" t="e">
        <f>39000*Invoerblad!#REF!</f>
        <v>#REF!</v>
      </c>
      <c r="J19" s="28" t="e">
        <f>39000*Invoerblad!#REF!</f>
        <v>#REF!</v>
      </c>
      <c r="K19" s="28" t="e">
        <f>39000*Invoerblad!#REF!</f>
        <v>#REF!</v>
      </c>
      <c r="L19" s="28" t="e">
        <f>39000*Invoerblad!#REF!</f>
        <v>#REF!</v>
      </c>
      <c r="M19" s="28" t="e">
        <f>39000*Invoerblad!#REF!</f>
        <v>#REF!</v>
      </c>
      <c r="N19" s="28" t="e">
        <f>39000*Invoerblad!#REF!</f>
        <v>#REF!</v>
      </c>
      <c r="O19" s="28" t="e">
        <f>39000*Invoerblad!#REF!</f>
        <v>#REF!</v>
      </c>
      <c r="P19" s="28" t="e">
        <f>39000*Invoerblad!#REF!</f>
        <v>#REF!</v>
      </c>
      <c r="Q19" s="28" t="e">
        <f>39000*Invoerblad!#REF!</f>
        <v>#REF!</v>
      </c>
    </row>
    <row r="20" spans="1:25" ht="13.8" x14ac:dyDescent="0.25">
      <c r="A20" s="9" t="s">
        <v>24</v>
      </c>
      <c r="B20" s="214">
        <v>0</v>
      </c>
      <c r="C20" s="28" t="e">
        <f>+Invoerblad!#REF!*1000*$B$20</f>
        <v>#REF!</v>
      </c>
      <c r="D20" s="28" t="e">
        <f>+Invoerblad!#REF!*1000*$B$20</f>
        <v>#REF!</v>
      </c>
      <c r="E20" s="28" t="e">
        <f>+Invoerblad!#REF!*1000*$B$20</f>
        <v>#REF!</v>
      </c>
      <c r="F20" s="28" t="e">
        <f>+Invoerblad!#REF!*1000*$B$20</f>
        <v>#REF!</v>
      </c>
      <c r="G20" s="28" t="e">
        <f>+Invoerblad!#REF!*1000*$B$20</f>
        <v>#REF!</v>
      </c>
      <c r="H20" s="28" t="e">
        <f>+Invoerblad!#REF!*1000*$B$20</f>
        <v>#REF!</v>
      </c>
      <c r="I20" s="28" t="e">
        <f>+Invoerblad!#REF!*1000*$B$20</f>
        <v>#REF!</v>
      </c>
      <c r="J20" s="28" t="e">
        <f>+Invoerblad!#REF!*1000*$B$20</f>
        <v>#REF!</v>
      </c>
      <c r="K20" s="28" t="e">
        <f>+Invoerblad!#REF!*1000*$B$20</f>
        <v>#REF!</v>
      </c>
      <c r="L20" s="28" t="e">
        <f>+Invoerblad!#REF!*1000*$B$20</f>
        <v>#REF!</v>
      </c>
      <c r="M20" s="28" t="e">
        <f>+Invoerblad!#REF!*1000*$B$20</f>
        <v>#REF!</v>
      </c>
      <c r="N20" s="28" t="e">
        <f>+Invoerblad!#REF!*1000*$B$20</f>
        <v>#REF!</v>
      </c>
      <c r="O20" s="28" t="e">
        <f>+Invoerblad!#REF!*1000*$B$20</f>
        <v>#REF!</v>
      </c>
      <c r="P20" s="28" t="e">
        <f>+Invoerblad!#REF!*1000*$B$20</f>
        <v>#REF!</v>
      </c>
      <c r="Q20" s="28" t="e">
        <f>+Invoerblad!#REF!*1000*$B$20</f>
        <v>#REF!</v>
      </c>
      <c r="R20" s="28"/>
      <c r="S20" s="28"/>
      <c r="T20" s="28"/>
      <c r="U20" s="28"/>
      <c r="V20" s="28"/>
      <c r="W20" s="28"/>
      <c r="X20" s="28"/>
      <c r="Y20" s="28"/>
    </row>
    <row r="21" spans="1:25" ht="13.8" x14ac:dyDescent="0.25">
      <c r="A21" s="9"/>
      <c r="B21" s="15"/>
      <c r="C21" s="20"/>
      <c r="D21" s="20"/>
      <c r="E21" s="20"/>
      <c r="F21" s="20"/>
      <c r="G21" s="20"/>
      <c r="H21" s="20"/>
      <c r="I21" s="20"/>
      <c r="J21" s="20"/>
      <c r="K21" s="20"/>
      <c r="L21" s="20"/>
      <c r="M21" s="20"/>
      <c r="N21" s="20"/>
      <c r="O21" s="20"/>
    </row>
    <row r="22" spans="1:25" ht="13.8" x14ac:dyDescent="0.25">
      <c r="A22" s="9"/>
      <c r="B22" s="15"/>
      <c r="C22" s="20"/>
      <c r="D22" s="20"/>
      <c r="E22" s="20"/>
      <c r="F22" s="20"/>
      <c r="G22" s="20"/>
      <c r="H22" s="20"/>
      <c r="I22" s="20"/>
      <c r="J22" s="20"/>
      <c r="K22" s="20"/>
      <c r="L22" s="20"/>
      <c r="M22" s="20"/>
      <c r="N22" s="20"/>
      <c r="O22" s="20"/>
    </row>
    <row r="23" spans="1:25" ht="13.8" x14ac:dyDescent="0.25">
      <c r="A23" s="9"/>
      <c r="B23" s="15"/>
      <c r="C23" s="20"/>
      <c r="D23" s="20"/>
      <c r="E23" s="20"/>
      <c r="F23" s="20"/>
      <c r="G23" s="20"/>
      <c r="H23" s="20"/>
      <c r="I23" s="20"/>
      <c r="J23" s="20"/>
      <c r="K23" s="20"/>
      <c r="L23" s="20"/>
      <c r="M23" s="20"/>
      <c r="N23" s="20"/>
      <c r="O23" s="20"/>
    </row>
    <row r="24" spans="1:25" ht="13.8" x14ac:dyDescent="0.25">
      <c r="A24" s="40" t="s">
        <v>164</v>
      </c>
      <c r="B24" s="27"/>
      <c r="C24" s="41" t="e">
        <f>SUM(C19:C23)</f>
        <v>#REF!</v>
      </c>
      <c r="D24" s="41" t="e">
        <f t="shared" ref="D24:L24" si="2">SUM(D19:D23)</f>
        <v>#REF!</v>
      </c>
      <c r="E24" s="41" t="e">
        <f t="shared" si="2"/>
        <v>#REF!</v>
      </c>
      <c r="F24" s="41" t="e">
        <f t="shared" si="2"/>
        <v>#REF!</v>
      </c>
      <c r="G24" s="41" t="e">
        <f t="shared" si="2"/>
        <v>#REF!</v>
      </c>
      <c r="H24" s="41" t="e">
        <f t="shared" si="2"/>
        <v>#REF!</v>
      </c>
      <c r="I24" s="41" t="e">
        <f t="shared" si="2"/>
        <v>#REF!</v>
      </c>
      <c r="J24" s="41" t="e">
        <f t="shared" si="2"/>
        <v>#REF!</v>
      </c>
      <c r="K24" s="41" t="e">
        <f t="shared" si="2"/>
        <v>#REF!</v>
      </c>
      <c r="L24" s="41" t="e">
        <f t="shared" si="2"/>
        <v>#REF!</v>
      </c>
      <c r="M24" s="41" t="e">
        <f>SUM(M19:M23)</f>
        <v>#REF!</v>
      </c>
      <c r="N24" s="41" t="e">
        <f>SUM(N19:N23)</f>
        <v>#REF!</v>
      </c>
      <c r="O24" s="41" t="e">
        <f>SUM(O19:O23)</f>
        <v>#REF!</v>
      </c>
      <c r="P24" s="41" t="e">
        <f>SUM(P19:P23)</f>
        <v>#REF!</v>
      </c>
      <c r="Q24" s="41" t="e">
        <f>SUM(Q19:Q23)</f>
        <v>#REF!</v>
      </c>
    </row>
    <row r="25" spans="1:25" ht="13.8" x14ac:dyDescent="0.25">
      <c r="A25" s="14"/>
      <c r="B25" s="27"/>
      <c r="C25" s="28"/>
      <c r="D25" s="28"/>
      <c r="E25" s="28"/>
      <c r="F25" s="28"/>
      <c r="G25" s="28"/>
      <c r="H25" s="28"/>
      <c r="I25" s="28"/>
      <c r="J25" s="28"/>
      <c r="K25" s="28"/>
      <c r="L25" s="28"/>
      <c r="M25" s="28"/>
      <c r="N25" s="28"/>
      <c r="O25" s="28"/>
    </row>
    <row r="26" spans="1:25" ht="13.8" x14ac:dyDescent="0.25">
      <c r="A26" s="14" t="s">
        <v>157</v>
      </c>
      <c r="B26" s="28"/>
      <c r="C26" s="28">
        <f>(Invoerblad!$E$65-SUM(Invoerblad!$K$54:$W$54))/Invoerblad!$E$74+Invoerblad!K54</f>
        <v>0</v>
      </c>
      <c r="D26" s="28">
        <f>(Invoerblad!$E$65-SUM(Invoerblad!$K$54:$W$54))/Invoerblad!$E$74+Invoerblad!L54</f>
        <v>0</v>
      </c>
      <c r="E26" s="28">
        <f>(Invoerblad!$E$65-SUM(Invoerblad!$K$54:$W$54))/Invoerblad!$E$74+Invoerblad!M54</f>
        <v>0</v>
      </c>
      <c r="F26" s="28">
        <f>(Invoerblad!$E$65-SUM(Invoerblad!$K$54:$W$54))/Invoerblad!$E$74+Invoerblad!N54</f>
        <v>0</v>
      </c>
      <c r="G26" s="28">
        <f>(Invoerblad!$E$65-SUM(Invoerblad!$K$54:$W$54))/Invoerblad!$E$74+Invoerblad!O54</f>
        <v>0</v>
      </c>
      <c r="H26" s="28">
        <f>(Invoerblad!$E$65-SUM(Invoerblad!$K$54:$W$54))/Invoerblad!$E$74+Invoerblad!P54</f>
        <v>0</v>
      </c>
      <c r="I26" s="28">
        <f>(Invoerblad!$E$65-SUM(Invoerblad!$K$54:$W$54))/Invoerblad!$E$74+Invoerblad!Q54</f>
        <v>0</v>
      </c>
      <c r="J26" s="28">
        <f>(Invoerblad!$E$65-SUM(Invoerblad!$K$54:$W$54))/Invoerblad!$E$74+Invoerblad!R54</f>
        <v>0</v>
      </c>
      <c r="K26" s="28">
        <f>(Invoerblad!$E$65-SUM(Invoerblad!$K$54:$W$54))/Invoerblad!$E$74+Invoerblad!S54</f>
        <v>0</v>
      </c>
      <c r="L26" s="28">
        <f>(Invoerblad!$E$65-SUM(Invoerblad!$K$54:$W$54))/Invoerblad!$E$74+Invoerblad!T54</f>
        <v>0</v>
      </c>
      <c r="M26" s="28">
        <f>(Invoerblad!$E$65-SUM(Invoerblad!$K$54:$W$54))/Invoerblad!$E$74+Invoerblad!U54</f>
        <v>0</v>
      </c>
      <c r="N26" s="28">
        <f>(Invoerblad!$E$65-SUM(Invoerblad!$K$54:$W$54))/Invoerblad!$E$74+Invoerblad!V54</f>
        <v>0</v>
      </c>
      <c r="O26" s="28">
        <f>(Invoerblad!$E$65-SUM(Invoerblad!$K$54:$W$54))/Invoerblad!$E$74+Invoerblad!W54</f>
        <v>0</v>
      </c>
      <c r="P26" s="28">
        <f>(Invoerblad!$E$65-SUM(Invoerblad!$K$54:$W$54))/Invoerblad!$E$74+Invoerblad!X54</f>
        <v>0</v>
      </c>
      <c r="Q26" s="28">
        <f>(Invoerblad!$E$65-SUM(Invoerblad!$K$54:$W$54))/Invoerblad!$E$74+Invoerblad!Y54</f>
        <v>0</v>
      </c>
    </row>
    <row r="27" spans="1:25" ht="13.8" x14ac:dyDescent="0.25">
      <c r="A27" s="14" t="s">
        <v>158</v>
      </c>
      <c r="B27" s="27"/>
      <c r="C27" s="28">
        <f>Invoerblad!E70*Invoerblad!E73</f>
        <v>0</v>
      </c>
      <c r="D27" s="28">
        <f>Invoerblad!$E70*Invoerblad!$E73*((Invoerblad!$E$74-1)/Invoerblad!$E$74)</f>
        <v>0</v>
      </c>
      <c r="E27" s="28">
        <f>Invoerblad!$E70*Invoerblad!$E73*((Invoerblad!$E$74-2)/Invoerblad!$E$74)</f>
        <v>0</v>
      </c>
      <c r="F27" s="28">
        <f>Invoerblad!$E70*Invoerblad!$E73*((Invoerblad!$E$74-3)/Invoerblad!$E$74)</f>
        <v>0</v>
      </c>
      <c r="G27" s="28">
        <f>Invoerblad!$E70*Invoerblad!$E73*((Invoerblad!$E$74-4)/Invoerblad!$E$74)</f>
        <v>0</v>
      </c>
      <c r="H27" s="28">
        <f>Invoerblad!$E70*Invoerblad!$E73*((Invoerblad!$E$74-5)/Invoerblad!$E$74)</f>
        <v>0</v>
      </c>
      <c r="I27" s="28">
        <f>Invoerblad!$E70*Invoerblad!$E73*((Invoerblad!$E$74-6)/Invoerblad!$E$74)</f>
        <v>0</v>
      </c>
      <c r="J27" s="28">
        <f>Invoerblad!$E70*Invoerblad!$E73*((Invoerblad!$E$74-7)/Invoerblad!$E$74)</f>
        <v>0</v>
      </c>
      <c r="K27" s="28">
        <f>Invoerblad!$E70*Invoerblad!$E73*((Invoerblad!$E$74-8)/Invoerblad!$E$74)</f>
        <v>0</v>
      </c>
      <c r="L27" s="28">
        <f>Invoerblad!$E70*Invoerblad!$E73*((Invoerblad!$E$74-9)/Invoerblad!$E$74)</f>
        <v>0</v>
      </c>
      <c r="M27" s="28">
        <f>Invoerblad!$E70*Invoerblad!$E73*((Invoerblad!$E$74-10)/Invoerblad!$E$74)</f>
        <v>0</v>
      </c>
      <c r="N27" s="28">
        <f>Invoerblad!$E70*Invoerblad!$E73*((Invoerblad!$E$74-11)/Invoerblad!$E$74)</f>
        <v>0</v>
      </c>
      <c r="O27" s="28">
        <f>Invoerblad!$E70*Invoerblad!$E73*((Invoerblad!$E$74-12)/Invoerblad!$E$74)</f>
        <v>0</v>
      </c>
      <c r="P27" s="28">
        <f>Invoerblad!$E70*Invoerblad!$E73*((Invoerblad!$E$74-13)/Invoerblad!$E$74)</f>
        <v>0</v>
      </c>
      <c r="Q27" s="28">
        <f>Invoerblad!$E70*Invoerblad!$E73*((Invoerblad!$E$74-14)/Invoerblad!$E$74)</f>
        <v>0</v>
      </c>
    </row>
    <row r="28" spans="1:25" ht="13.8" x14ac:dyDescent="0.25">
      <c r="A28" s="40" t="s">
        <v>159</v>
      </c>
      <c r="B28" s="27"/>
      <c r="C28" s="41" t="e">
        <f>+C24+C26+C27</f>
        <v>#REF!</v>
      </c>
      <c r="D28" s="41" t="e">
        <f t="shared" ref="D28:L28" si="3">+D24+D26+D27</f>
        <v>#REF!</v>
      </c>
      <c r="E28" s="41" t="e">
        <f t="shared" si="3"/>
        <v>#REF!</v>
      </c>
      <c r="F28" s="41" t="e">
        <f t="shared" si="3"/>
        <v>#REF!</v>
      </c>
      <c r="G28" s="41" t="e">
        <f t="shared" si="3"/>
        <v>#REF!</v>
      </c>
      <c r="H28" s="41" t="e">
        <f t="shared" si="3"/>
        <v>#REF!</v>
      </c>
      <c r="I28" s="41" t="e">
        <f t="shared" si="3"/>
        <v>#REF!</v>
      </c>
      <c r="J28" s="41" t="e">
        <f t="shared" si="3"/>
        <v>#REF!</v>
      </c>
      <c r="K28" s="41" t="e">
        <f t="shared" si="3"/>
        <v>#REF!</v>
      </c>
      <c r="L28" s="41" t="e">
        <f t="shared" si="3"/>
        <v>#REF!</v>
      </c>
      <c r="M28" s="41" t="e">
        <f>+M24+M26+M27</f>
        <v>#REF!</v>
      </c>
      <c r="N28" s="41" t="e">
        <f>+N24+N26+N27</f>
        <v>#REF!</v>
      </c>
      <c r="O28" s="41" t="e">
        <f>+O24+O26+O27</f>
        <v>#REF!</v>
      </c>
      <c r="P28" s="41" t="e">
        <f>+P24+P26+P27</f>
        <v>#REF!</v>
      </c>
      <c r="Q28" s="41" t="e">
        <f>+Q24+Q26+Q27</f>
        <v>#REF!</v>
      </c>
    </row>
    <row r="29" spans="1:25" ht="13.8" x14ac:dyDescent="0.25">
      <c r="A29" s="14"/>
      <c r="B29" s="27"/>
      <c r="C29" s="28"/>
      <c r="D29" s="28"/>
      <c r="E29" s="28"/>
      <c r="F29" s="28"/>
      <c r="G29" s="28"/>
      <c r="H29" s="28"/>
      <c r="I29" s="28"/>
      <c r="J29" s="28"/>
      <c r="K29" s="28"/>
      <c r="L29" s="28"/>
      <c r="M29" s="28"/>
      <c r="N29" s="28"/>
      <c r="O29" s="28"/>
    </row>
    <row r="30" spans="1:25" ht="13.8" x14ac:dyDescent="0.25">
      <c r="A30" s="16" t="s">
        <v>160</v>
      </c>
      <c r="B30" s="10"/>
      <c r="C30" s="23" t="e">
        <f t="shared" ref="C30:Q30" si="4">C17-C28</f>
        <v>#REF!</v>
      </c>
      <c r="D30" s="23" t="e">
        <f t="shared" si="4"/>
        <v>#REF!</v>
      </c>
      <c r="E30" s="23" t="e">
        <f t="shared" si="4"/>
        <v>#REF!</v>
      </c>
      <c r="F30" s="23" t="e">
        <f t="shared" si="4"/>
        <v>#REF!</v>
      </c>
      <c r="G30" s="23" t="e">
        <f t="shared" si="4"/>
        <v>#REF!</v>
      </c>
      <c r="H30" s="23" t="e">
        <f t="shared" si="4"/>
        <v>#REF!</v>
      </c>
      <c r="I30" s="23" t="e">
        <f t="shared" si="4"/>
        <v>#REF!</v>
      </c>
      <c r="J30" s="23" t="e">
        <f t="shared" si="4"/>
        <v>#REF!</v>
      </c>
      <c r="K30" s="23" t="e">
        <f t="shared" si="4"/>
        <v>#REF!</v>
      </c>
      <c r="L30" s="23" t="e">
        <f t="shared" si="4"/>
        <v>#REF!</v>
      </c>
      <c r="M30" s="23" t="e">
        <f t="shared" si="4"/>
        <v>#REF!</v>
      </c>
      <c r="N30" s="23" t="e">
        <f t="shared" si="4"/>
        <v>#REF!</v>
      </c>
      <c r="O30" s="23" t="e">
        <f t="shared" si="4"/>
        <v>#REF!</v>
      </c>
      <c r="P30" s="23" t="e">
        <f t="shared" si="4"/>
        <v>#REF!</v>
      </c>
      <c r="Q30" s="23" t="e">
        <f t="shared" si="4"/>
        <v>#REF!</v>
      </c>
    </row>
    <row r="31" spans="1:25" ht="13.8" x14ac:dyDescent="0.25">
      <c r="A31" s="159"/>
      <c r="B31" s="160"/>
      <c r="C31" s="161"/>
      <c r="D31" s="161"/>
      <c r="E31" s="161"/>
      <c r="F31" s="161"/>
      <c r="G31" s="161"/>
      <c r="H31" s="161"/>
      <c r="I31" s="161"/>
      <c r="J31" s="161"/>
      <c r="K31" s="161"/>
      <c r="L31" s="161"/>
      <c r="M31" s="161"/>
      <c r="N31" s="161"/>
      <c r="O31" s="161"/>
    </row>
    <row r="32" spans="1:25" ht="13.8" x14ac:dyDescent="0.25">
      <c r="A32" s="159" t="s">
        <v>243</v>
      </c>
      <c r="B32" s="211">
        <f>+Invoerblad!K51</f>
        <v>0</v>
      </c>
      <c r="C32" s="28" t="e">
        <f>IF(C30&lt;$B$32,+C30,+$B$32)</f>
        <v>#REF!</v>
      </c>
      <c r="D32" s="28" t="e">
        <f>IF(SUM($C$30:D30)&lt;$B$32,+D30,IF($B$32-SUM($C$30:C30)&lt;0,0,+$B$32-SUM($C$30:C30)))</f>
        <v>#REF!</v>
      </c>
      <c r="E32" s="28" t="e">
        <f>IF(SUM($C$30:E30)&lt;$B$32,+E30,IF($B$32-SUM($C$30:D30)&lt;0,0,+$B$32-SUM($C$30:D30)))</f>
        <v>#REF!</v>
      </c>
      <c r="F32" s="28" t="e">
        <f>IF(SUM($C$30:F30)&lt;$B$32,+F30,IF($B$32-SUM($C$30:E30)&lt;0,0,+$B$32-SUM($C$30:E30)))</f>
        <v>#REF!</v>
      </c>
      <c r="G32" s="28" t="e">
        <f>IF(SUM($C$30:G30)&lt;$B$32,+G30,IF($B$32-SUM($C$30:F30)&lt;0,0,+$B$32-SUM($C$30:F30)))</f>
        <v>#REF!</v>
      </c>
      <c r="H32" s="28" t="e">
        <f>IF(SUM($C$30:H30)&lt;$B$32,+H30,IF($B$32-SUM($C$30:G30)&lt;0,0,+$B$32-SUM($C$30:G30)))</f>
        <v>#REF!</v>
      </c>
      <c r="I32" s="28" t="e">
        <f>IF(SUM($C$30:I30)&lt;$B$32,+I30,IF($B$32-SUM($C$30:H30)&lt;0,0,+$B$32-SUM($C$30:H30)))</f>
        <v>#REF!</v>
      </c>
      <c r="J32" s="28" t="e">
        <f>IF(SUM($C$30:J30)&lt;$B$32,+J30,IF($B$32-SUM($C$30:I30)&lt;0,0,+$B$32-SUM($C$30:I30)))</f>
        <v>#REF!</v>
      </c>
      <c r="K32" s="28" t="e">
        <f>IF(SUM($C$30:K30)&lt;$B$32,+K30,IF($B$32-SUM($C$30:J30)&lt;0,0,+$B$32-SUM($C$30:J30)))</f>
        <v>#REF!</v>
      </c>
      <c r="L32" s="28" t="e">
        <f>IF(SUM($C$30:L30)&lt;$B$32,+L30,IF($B$32-SUM($C$30:K30)&lt;0,0,+$B$32-SUM($C$30:K30)))</f>
        <v>#REF!</v>
      </c>
      <c r="M32" s="28" t="e">
        <f>IF(SUM($C$30:M30)&lt;$B$32,+M30,IF($B$32-SUM($C$30:L30)&lt;0,0,+$B$32-SUM($C$30:L30)))</f>
        <v>#REF!</v>
      </c>
      <c r="N32" s="28" t="e">
        <f>IF(SUM($C$30:N30)&lt;$B$32,+N30,IF($B$32-SUM($C$30:M30)&lt;0,0,+$B$32-SUM($C$30:M30)))</f>
        <v>#REF!</v>
      </c>
      <c r="O32" s="28" t="e">
        <f>IF(SUM($C$30:O30)&lt;$B$32,+O30,IF($B$32-SUM($C$30:N30)&lt;0,0,+$B$32-SUM($C$30:N30)))</f>
        <v>#REF!</v>
      </c>
      <c r="P32" s="28" t="e">
        <f>IF(SUM($C$30:P30)&lt;$B$32,+P30,IF($B$32-SUM($C$30:O30)&lt;0,0,+$B$32-SUM($C$30:O30)))</f>
        <v>#REF!</v>
      </c>
      <c r="Q32" s="28" t="e">
        <f>IF(SUM($C$30:Q30)&lt;$B$32,+Q30,IF($B$32-SUM($C$30:P30)&lt;0,0,+$B$32-SUM($C$30:P30)))</f>
        <v>#REF!</v>
      </c>
    </row>
    <row r="33" spans="1:17" ht="15.6" x14ac:dyDescent="0.3">
      <c r="A33" s="159" t="s">
        <v>244</v>
      </c>
      <c r="B33" s="212"/>
      <c r="C33" s="28">
        <f>+Invoerblad!K57</f>
        <v>0</v>
      </c>
      <c r="D33" s="28">
        <f>+Invoerblad!L57</f>
        <v>0</v>
      </c>
      <c r="E33" s="28">
        <f>+Invoerblad!M57</f>
        <v>0</v>
      </c>
      <c r="F33" s="28">
        <f>+Invoerblad!N57</f>
        <v>0</v>
      </c>
      <c r="G33" s="28">
        <f>+Invoerblad!O57</f>
        <v>0</v>
      </c>
      <c r="H33" s="28">
        <f>+Invoerblad!P57</f>
        <v>0</v>
      </c>
      <c r="I33" s="28">
        <f>+Invoerblad!Q57</f>
        <v>0</v>
      </c>
      <c r="J33" s="28">
        <f>+Invoerblad!R57</f>
        <v>0</v>
      </c>
      <c r="K33" s="28">
        <f>+Invoerblad!S57</f>
        <v>0</v>
      </c>
      <c r="L33" s="28">
        <f>+Invoerblad!T57</f>
        <v>0</v>
      </c>
      <c r="M33" s="28">
        <f>+Invoerblad!U57</f>
        <v>0</v>
      </c>
      <c r="N33" s="28">
        <f>+Invoerblad!V57</f>
        <v>0</v>
      </c>
      <c r="O33" s="28">
        <f>+Invoerblad!W57</f>
        <v>0</v>
      </c>
      <c r="P33" s="28">
        <f>+Invoerblad!X57</f>
        <v>0</v>
      </c>
      <c r="Q33" s="28">
        <f>+Invoerblad!Y57</f>
        <v>0</v>
      </c>
    </row>
    <row r="34" spans="1:17" ht="15.6" x14ac:dyDescent="0.3">
      <c r="A34" s="159"/>
      <c r="B34" s="212"/>
      <c r="C34" s="108"/>
      <c r="D34" s="6"/>
      <c r="E34" s="6"/>
      <c r="F34" s="6"/>
      <c r="G34" s="6"/>
      <c r="H34" s="6"/>
      <c r="I34" s="108"/>
      <c r="J34" s="108"/>
      <c r="K34" s="108"/>
      <c r="L34" s="108"/>
    </row>
    <row r="35" spans="1:17" ht="15.6" x14ac:dyDescent="0.3">
      <c r="A35" s="16" t="s">
        <v>245</v>
      </c>
      <c r="B35" s="122"/>
      <c r="C35" s="28" t="e">
        <f>+C30-C32-C33</f>
        <v>#REF!</v>
      </c>
      <c r="D35" s="28" t="e">
        <f t="shared" ref="D35:Q35" si="5">+D30-D32-D33</f>
        <v>#REF!</v>
      </c>
      <c r="E35" s="28" t="e">
        <f t="shared" si="5"/>
        <v>#REF!</v>
      </c>
      <c r="F35" s="28" t="e">
        <f t="shared" si="5"/>
        <v>#REF!</v>
      </c>
      <c r="G35" s="28" t="e">
        <f t="shared" si="5"/>
        <v>#REF!</v>
      </c>
      <c r="H35" s="28" t="e">
        <f t="shared" si="5"/>
        <v>#REF!</v>
      </c>
      <c r="I35" s="28" t="e">
        <f t="shared" si="5"/>
        <v>#REF!</v>
      </c>
      <c r="J35" s="28" t="e">
        <f t="shared" si="5"/>
        <v>#REF!</v>
      </c>
      <c r="K35" s="28" t="e">
        <f t="shared" si="5"/>
        <v>#REF!</v>
      </c>
      <c r="L35" s="28" t="e">
        <f t="shared" si="5"/>
        <v>#REF!</v>
      </c>
      <c r="M35" s="28" t="e">
        <f t="shared" si="5"/>
        <v>#REF!</v>
      </c>
      <c r="N35" s="28" t="e">
        <f t="shared" si="5"/>
        <v>#REF!</v>
      </c>
      <c r="O35" s="28" t="e">
        <f t="shared" si="5"/>
        <v>#REF!</v>
      </c>
      <c r="P35" s="28" t="e">
        <f t="shared" si="5"/>
        <v>#REF!</v>
      </c>
      <c r="Q35" s="28" t="e">
        <f t="shared" si="5"/>
        <v>#REF!</v>
      </c>
    </row>
    <row r="36" spans="1:17" ht="15.6" x14ac:dyDescent="0.3">
      <c r="A36" s="159"/>
      <c r="B36" s="122"/>
      <c r="C36" s="108"/>
      <c r="D36" s="6"/>
      <c r="E36" s="6"/>
      <c r="F36" s="6"/>
      <c r="G36" s="6"/>
      <c r="H36" s="6"/>
      <c r="I36" s="108"/>
      <c r="J36" s="108"/>
      <c r="K36" s="108"/>
      <c r="L36" s="108"/>
    </row>
    <row r="37" spans="1:17" ht="17.399999999999999" x14ac:dyDescent="0.3">
      <c r="A37" s="121" t="s">
        <v>240</v>
      </c>
      <c r="B37" s="122"/>
      <c r="C37" s="28" t="e">
        <f>-C35*Invoerblad!$E$48</f>
        <v>#REF!</v>
      </c>
      <c r="D37" s="28" t="e">
        <f>-D35*Invoerblad!$E$48</f>
        <v>#REF!</v>
      </c>
      <c r="E37" s="28" t="e">
        <f>-E35*Invoerblad!$E$48</f>
        <v>#REF!</v>
      </c>
      <c r="F37" s="28" t="e">
        <f>-F35*Invoerblad!$E$48</f>
        <v>#REF!</v>
      </c>
      <c r="G37" s="28" t="e">
        <f>-G35*Invoerblad!$E$48</f>
        <v>#REF!</v>
      </c>
      <c r="H37" s="28" t="e">
        <f>-H35*Invoerblad!$E$48</f>
        <v>#REF!</v>
      </c>
      <c r="I37" s="28" t="e">
        <f>-I35*Invoerblad!$E$48</f>
        <v>#REF!</v>
      </c>
      <c r="J37" s="28" t="e">
        <f>-J35*Invoerblad!$E$48</f>
        <v>#REF!</v>
      </c>
      <c r="K37" s="28" t="e">
        <f>-K35*Invoerblad!$E$48</f>
        <v>#REF!</v>
      </c>
      <c r="L37" s="28" t="e">
        <f>-L35*Invoerblad!$E$48</f>
        <v>#REF!</v>
      </c>
      <c r="M37" s="28" t="e">
        <f>-M35*Invoerblad!$E$48</f>
        <v>#REF!</v>
      </c>
      <c r="N37" s="28" t="e">
        <f>-N35*Invoerblad!$E$48</f>
        <v>#REF!</v>
      </c>
      <c r="O37" s="28" t="e">
        <f>-O35*Invoerblad!$E$48</f>
        <v>#REF!</v>
      </c>
      <c r="P37" s="28" t="e">
        <f>-P35*Invoerblad!$E$48</f>
        <v>#REF!</v>
      </c>
      <c r="Q37" s="28" t="e">
        <f>-Q35*Invoerblad!$E$48</f>
        <v>#REF!</v>
      </c>
    </row>
    <row r="38" spans="1:17" ht="17.399999999999999" x14ac:dyDescent="0.3">
      <c r="A38" s="121" t="s">
        <v>241</v>
      </c>
      <c r="B38" s="122"/>
      <c r="C38" s="28" t="e">
        <f>+C30+C37</f>
        <v>#REF!</v>
      </c>
      <c r="D38" s="28" t="e">
        <f t="shared" ref="D38:L38" si="6">+D30+D37</f>
        <v>#REF!</v>
      </c>
      <c r="E38" s="28" t="e">
        <f t="shared" si="6"/>
        <v>#REF!</v>
      </c>
      <c r="F38" s="28" t="e">
        <f t="shared" si="6"/>
        <v>#REF!</v>
      </c>
      <c r="G38" s="28" t="e">
        <f t="shared" si="6"/>
        <v>#REF!</v>
      </c>
      <c r="H38" s="28" t="e">
        <f t="shared" si="6"/>
        <v>#REF!</v>
      </c>
      <c r="I38" s="28" t="e">
        <f t="shared" si="6"/>
        <v>#REF!</v>
      </c>
      <c r="J38" s="28" t="e">
        <f t="shared" si="6"/>
        <v>#REF!</v>
      </c>
      <c r="K38" s="28" t="e">
        <f t="shared" si="6"/>
        <v>#REF!</v>
      </c>
      <c r="L38" s="28" t="e">
        <f t="shared" si="6"/>
        <v>#REF!</v>
      </c>
      <c r="M38" s="28" t="e">
        <f>+M30+M37</f>
        <v>#REF!</v>
      </c>
      <c r="N38" s="28" t="e">
        <f>+N30+N37</f>
        <v>#REF!</v>
      </c>
      <c r="O38" s="28" t="e">
        <f>+O30+O37</f>
        <v>#REF!</v>
      </c>
      <c r="P38" s="28" t="e">
        <f>+P30+P37</f>
        <v>#REF!</v>
      </c>
      <c r="Q38" s="28" t="e">
        <f>+Q30+Q37</f>
        <v>#REF!</v>
      </c>
    </row>
    <row r="39" spans="1:17" ht="17.399999999999999" x14ac:dyDescent="0.3">
      <c r="A39" s="121"/>
      <c r="B39" s="122"/>
      <c r="C39" s="108"/>
      <c r="D39" s="6"/>
      <c r="E39" s="6"/>
      <c r="F39" s="6"/>
      <c r="G39" s="6"/>
      <c r="H39" s="6"/>
      <c r="I39" s="108"/>
      <c r="J39" s="108"/>
      <c r="K39" s="108"/>
      <c r="L39" s="108"/>
    </row>
    <row r="40" spans="1:17" ht="17.399999999999999" x14ac:dyDescent="0.3">
      <c r="A40" s="121" t="s">
        <v>242</v>
      </c>
      <c r="B40" s="28">
        <f>-Invoerblad!E34+Invoerblad!E44</f>
        <v>0</v>
      </c>
      <c r="C40" s="28" t="e">
        <f>+C38+C26+C27</f>
        <v>#REF!</v>
      </c>
      <c r="D40" s="28" t="e">
        <f t="shared" ref="D40:O40" si="7">+D38+D26+D27</f>
        <v>#REF!</v>
      </c>
      <c r="E40" s="28" t="e">
        <f t="shared" si="7"/>
        <v>#REF!</v>
      </c>
      <c r="F40" s="28" t="e">
        <f t="shared" si="7"/>
        <v>#REF!</v>
      </c>
      <c r="G40" s="28" t="e">
        <f t="shared" si="7"/>
        <v>#REF!</v>
      </c>
      <c r="H40" s="28" t="e">
        <f t="shared" si="7"/>
        <v>#REF!</v>
      </c>
      <c r="I40" s="28" t="e">
        <f t="shared" si="7"/>
        <v>#REF!</v>
      </c>
      <c r="J40" s="28" t="e">
        <f t="shared" si="7"/>
        <v>#REF!</v>
      </c>
      <c r="K40" s="28" t="e">
        <f t="shared" si="7"/>
        <v>#REF!</v>
      </c>
      <c r="L40" s="28" t="e">
        <f t="shared" si="7"/>
        <v>#REF!</v>
      </c>
      <c r="M40" s="28" t="e">
        <f t="shared" si="7"/>
        <v>#REF!</v>
      </c>
      <c r="N40" s="28" t="e">
        <f t="shared" si="7"/>
        <v>#REF!</v>
      </c>
      <c r="O40" s="28" t="e">
        <f t="shared" si="7"/>
        <v>#REF!</v>
      </c>
      <c r="P40" s="28" t="e">
        <f>+P38+P26+P27</f>
        <v>#REF!</v>
      </c>
      <c r="Q40" s="28" t="e">
        <f>+Q38+Q26+Q27</f>
        <v>#REF!</v>
      </c>
    </row>
    <row r="41" spans="1:17" ht="17.399999999999999" x14ac:dyDescent="0.3">
      <c r="A41" s="121"/>
      <c r="B41" s="213" t="e">
        <f>IRR(B40:Q40)</f>
        <v>#VALUE!</v>
      </c>
      <c r="C41" s="158" t="e">
        <f>+B40+C40</f>
        <v>#REF!</v>
      </c>
      <c r="D41" s="158" t="e">
        <f>+C41+D40</f>
        <v>#REF!</v>
      </c>
      <c r="E41" s="158" t="e">
        <f t="shared" ref="E41:L41" si="8">+D41+E40</f>
        <v>#REF!</v>
      </c>
      <c r="F41" s="158" t="e">
        <f t="shared" si="8"/>
        <v>#REF!</v>
      </c>
      <c r="G41" s="158" t="e">
        <f t="shared" si="8"/>
        <v>#REF!</v>
      </c>
      <c r="H41" s="158" t="e">
        <f t="shared" si="8"/>
        <v>#REF!</v>
      </c>
      <c r="I41" s="158" t="e">
        <f t="shared" si="8"/>
        <v>#REF!</v>
      </c>
      <c r="J41" s="158" t="e">
        <f t="shared" si="8"/>
        <v>#REF!</v>
      </c>
      <c r="K41" s="158" t="e">
        <f t="shared" si="8"/>
        <v>#REF!</v>
      </c>
      <c r="L41" s="158" t="e">
        <f t="shared" si="8"/>
        <v>#REF!</v>
      </c>
      <c r="M41" s="158" t="e">
        <f>+L41+M40</f>
        <v>#REF!</v>
      </c>
      <c r="N41" s="158" t="e">
        <f>+M41+N40</f>
        <v>#REF!</v>
      </c>
      <c r="O41" s="158" t="e">
        <f>+N41+O40</f>
        <v>#REF!</v>
      </c>
      <c r="P41" s="158" t="e">
        <f>+O41+P40</f>
        <v>#REF!</v>
      </c>
      <c r="Q41" s="158" t="e">
        <f>+P41+Q40</f>
        <v>#REF!</v>
      </c>
    </row>
    <row r="42" spans="1:17" ht="17.399999999999999" x14ac:dyDescent="0.3">
      <c r="A42" s="121"/>
      <c r="B42" s="158" t="e">
        <f>SUM(C42:L42)</f>
        <v>#REF!</v>
      </c>
      <c r="C42" s="158" t="e">
        <f>+C40/(1+0.08)^C6</f>
        <v>#REF!</v>
      </c>
      <c r="D42" s="158" t="e">
        <f t="shared" ref="D42:O42" si="9">+D40/(1+0.08)^D6</f>
        <v>#REF!</v>
      </c>
      <c r="E42" s="158" t="e">
        <f t="shared" si="9"/>
        <v>#REF!</v>
      </c>
      <c r="F42" s="158" t="e">
        <f t="shared" si="9"/>
        <v>#REF!</v>
      </c>
      <c r="G42" s="158" t="e">
        <f t="shared" si="9"/>
        <v>#REF!</v>
      </c>
      <c r="H42" s="158" t="e">
        <f t="shared" si="9"/>
        <v>#REF!</v>
      </c>
      <c r="I42" s="158" t="e">
        <f t="shared" si="9"/>
        <v>#REF!</v>
      </c>
      <c r="J42" s="158" t="e">
        <f t="shared" si="9"/>
        <v>#REF!</v>
      </c>
      <c r="K42" s="158" t="e">
        <f t="shared" si="9"/>
        <v>#REF!</v>
      </c>
      <c r="L42" s="158" t="e">
        <f t="shared" si="9"/>
        <v>#REF!</v>
      </c>
      <c r="M42" s="158" t="e">
        <f t="shared" si="9"/>
        <v>#REF!</v>
      </c>
      <c r="N42" s="158" t="e">
        <f t="shared" si="9"/>
        <v>#REF!</v>
      </c>
      <c r="O42" s="158" t="e">
        <f t="shared" si="9"/>
        <v>#REF!</v>
      </c>
      <c r="P42" s="158" t="e">
        <f>+P40/(1+0.08)^P6</f>
        <v>#REF!</v>
      </c>
      <c r="Q42" s="158" t="e">
        <f>+Q40/(1+0.08)^Q6</f>
        <v>#REF!</v>
      </c>
    </row>
    <row r="43" spans="1:17" ht="17.399999999999999" x14ac:dyDescent="0.3">
      <c r="A43" s="121"/>
      <c r="B43" s="158"/>
      <c r="C43" s="158"/>
      <c r="D43" s="158"/>
      <c r="E43" s="158"/>
      <c r="F43" s="158"/>
      <c r="G43" s="158"/>
      <c r="H43" s="158"/>
      <c r="I43" s="158"/>
      <c r="J43" s="158"/>
      <c r="K43" s="158"/>
      <c r="L43" s="158"/>
    </row>
    <row r="44" spans="1:17" x14ac:dyDescent="0.25">
      <c r="A44" t="s">
        <v>18</v>
      </c>
      <c r="C44" s="169">
        <f>PMT(Invoerblad!E73,Invoerblad!E74,Invoerblad!E34)</f>
        <v>0</v>
      </c>
      <c r="D44" s="169">
        <f>+C44</f>
        <v>0</v>
      </c>
      <c r="E44" s="169">
        <f t="shared" ref="E44:Q44" si="10">+D44</f>
        <v>0</v>
      </c>
      <c r="F44" s="169">
        <f t="shared" si="10"/>
        <v>0</v>
      </c>
      <c r="G44" s="169">
        <f t="shared" si="10"/>
        <v>0</v>
      </c>
      <c r="H44" s="169">
        <f t="shared" si="10"/>
        <v>0</v>
      </c>
      <c r="I44" s="169">
        <f t="shared" si="10"/>
        <v>0</v>
      </c>
      <c r="J44" s="169">
        <f t="shared" si="10"/>
        <v>0</v>
      </c>
      <c r="K44" s="169">
        <f t="shared" si="10"/>
        <v>0</v>
      </c>
      <c r="L44" s="169">
        <f t="shared" si="10"/>
        <v>0</v>
      </c>
      <c r="M44" s="169">
        <f t="shared" si="10"/>
        <v>0</v>
      </c>
      <c r="N44" s="169">
        <f t="shared" si="10"/>
        <v>0</v>
      </c>
      <c r="O44" s="169">
        <f t="shared" si="10"/>
        <v>0</v>
      </c>
      <c r="P44" s="169">
        <f t="shared" si="10"/>
        <v>0</v>
      </c>
      <c r="Q44" s="169">
        <f t="shared" si="10"/>
        <v>0</v>
      </c>
    </row>
    <row r="46" spans="1:17" x14ac:dyDescent="0.25">
      <c r="A46" t="s">
        <v>19</v>
      </c>
      <c r="B46" s="8">
        <f>+B40</f>
        <v>0</v>
      </c>
      <c r="C46" s="169" t="e">
        <f>+C17-C24+C37+C44</f>
        <v>#REF!</v>
      </c>
      <c r="D46" s="169" t="e">
        <f t="shared" ref="D46:Q46" si="11">+D17-D24+D37+D44</f>
        <v>#REF!</v>
      </c>
      <c r="E46" s="169" t="e">
        <f t="shared" si="11"/>
        <v>#REF!</v>
      </c>
      <c r="F46" s="169" t="e">
        <f t="shared" si="11"/>
        <v>#REF!</v>
      </c>
      <c r="G46" s="169" t="e">
        <f t="shared" si="11"/>
        <v>#REF!</v>
      </c>
      <c r="H46" s="169" t="e">
        <f t="shared" si="11"/>
        <v>#REF!</v>
      </c>
      <c r="I46" s="169" t="e">
        <f t="shared" si="11"/>
        <v>#REF!</v>
      </c>
      <c r="J46" s="169" t="e">
        <f t="shared" si="11"/>
        <v>#REF!</v>
      </c>
      <c r="K46" s="169" t="e">
        <f t="shared" si="11"/>
        <v>#REF!</v>
      </c>
      <c r="L46" s="169" t="e">
        <f t="shared" si="11"/>
        <v>#REF!</v>
      </c>
      <c r="M46" s="169" t="e">
        <f t="shared" si="11"/>
        <v>#REF!</v>
      </c>
      <c r="N46" s="169" t="e">
        <f t="shared" si="11"/>
        <v>#REF!</v>
      </c>
      <c r="O46" s="169" t="e">
        <f t="shared" si="11"/>
        <v>#REF!</v>
      </c>
      <c r="P46" s="169" t="e">
        <f t="shared" si="11"/>
        <v>#REF!</v>
      </c>
      <c r="Q46" s="169" t="e">
        <f t="shared" si="11"/>
        <v>#REF!</v>
      </c>
    </row>
    <row r="47" spans="1:17" x14ac:dyDescent="0.25">
      <c r="B47" s="213" t="e">
        <f>IRR(B46:Q46)</f>
        <v>#VALUE!</v>
      </c>
    </row>
    <row r="48" spans="1:17" x14ac:dyDescent="0.25">
      <c r="A48" t="s">
        <v>20</v>
      </c>
      <c r="B48" s="213"/>
    </row>
    <row r="50" spans="1:17" x14ac:dyDescent="0.25">
      <c r="A50" t="s">
        <v>21</v>
      </c>
      <c r="B50">
        <f>0.1*15+0.9*6</f>
        <v>6.9</v>
      </c>
    </row>
    <row r="52" spans="1:17" x14ac:dyDescent="0.25">
      <c r="A52" t="s">
        <v>23</v>
      </c>
      <c r="B52" s="7">
        <f>-Invoerblad!E69</f>
        <v>0</v>
      </c>
      <c r="C52" s="181" t="e">
        <f>+C46</f>
        <v>#REF!</v>
      </c>
      <c r="D52" s="181" t="e">
        <f t="shared" ref="D52:Q52" si="12">+D46</f>
        <v>#REF!</v>
      </c>
      <c r="E52" s="181" t="e">
        <f t="shared" si="12"/>
        <v>#REF!</v>
      </c>
      <c r="F52" s="181" t="e">
        <f t="shared" si="12"/>
        <v>#REF!</v>
      </c>
      <c r="G52" s="181" t="e">
        <f t="shared" si="12"/>
        <v>#REF!</v>
      </c>
      <c r="H52" s="181" t="e">
        <f t="shared" si="12"/>
        <v>#REF!</v>
      </c>
      <c r="I52" s="181" t="e">
        <f t="shared" si="12"/>
        <v>#REF!</v>
      </c>
      <c r="J52" s="181" t="e">
        <f t="shared" si="12"/>
        <v>#REF!</v>
      </c>
      <c r="K52" s="181" t="e">
        <f t="shared" si="12"/>
        <v>#REF!</v>
      </c>
      <c r="L52" s="181" t="e">
        <f t="shared" si="12"/>
        <v>#REF!</v>
      </c>
      <c r="M52" s="181" t="e">
        <f t="shared" si="12"/>
        <v>#REF!</v>
      </c>
      <c r="N52" s="181" t="e">
        <f t="shared" si="12"/>
        <v>#REF!</v>
      </c>
      <c r="O52" s="181" t="e">
        <f t="shared" si="12"/>
        <v>#REF!</v>
      </c>
      <c r="P52" s="181" t="e">
        <f t="shared" si="12"/>
        <v>#REF!</v>
      </c>
      <c r="Q52" s="181" t="e">
        <f t="shared" si="12"/>
        <v>#REF!</v>
      </c>
    </row>
    <row r="53" spans="1:17" x14ac:dyDescent="0.25">
      <c r="B53" s="35" t="e">
        <f>IRR(B52:Q52)</f>
        <v>#VALUE!</v>
      </c>
    </row>
  </sheetData>
  <customSheetViews>
    <customSheetView guid="{D98A0717-74D0-4F54-BB8F-A337A1A9E4DF}" scale="75" state="hidden" showRuler="0">
      <selection activeCell="B19" sqref="B19"/>
      <pageMargins left="0.75" right="0.75" top="1" bottom="1" header="0.5" footer="0.5"/>
      <headerFooter alignWithMargins="0"/>
    </customSheetView>
    <customSheetView guid="{5D986420-B83B-47C8-8160-784F77FFC196}" scale="75" state="hidden" showRuler="0">
      <selection activeCell="B19" sqref="B19"/>
      <pageMargins left="0.75" right="0.75" top="1" bottom="1" header="0.5" footer="0.5"/>
      <headerFooter alignWithMargins="0"/>
    </customSheetView>
    <customSheetView guid="{C9029B8D-126A-43F1-8BE9-BB8A7DE12FBF}" scale="75" state="hidden" showRuler="0">
      <selection activeCell="B19" sqref="B19"/>
      <pageMargins left="0.75" right="0.75" top="1" bottom="1" header="0.5" footer="0.5"/>
      <headerFooter alignWithMargins="0"/>
    </customSheetView>
    <customSheetView guid="{4284377C-91E6-4152-887E-8DA87560FDD6}" scale="75" state="hidden" showRuler="0">
      <selection activeCell="B19" sqref="B19"/>
      <pageMargins left="0.75" right="0.75" top="1" bottom="1" header="0.5" footer="0.5"/>
      <headerFooter alignWithMargins="0"/>
    </customSheetView>
    <customSheetView guid="{546B9E27-05F9-47A7-B161-BCC56D613799}" scale="75" state="hidden" showRuler="0">
      <selection activeCell="B19" sqref="B19"/>
      <pageMargins left="0.75" right="0.75" top="1" bottom="1" header="0.5" footer="0.5"/>
      <headerFooter alignWithMargins="0"/>
    </customSheetView>
  </customSheetViews>
  <phoneticPr fontId="3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0">
    <pageSetUpPr fitToPage="1"/>
  </sheetPr>
  <dimension ref="A1:G101"/>
  <sheetViews>
    <sheetView topLeftCell="A55" workbookViewId="0">
      <selection activeCell="K23" sqref="K23"/>
    </sheetView>
  </sheetViews>
  <sheetFormatPr defaultColWidth="9.33203125" defaultRowHeight="13.2" x14ac:dyDescent="0.25"/>
  <cols>
    <col min="1" max="1" width="3.33203125" style="495" customWidth="1"/>
    <col min="2" max="2" width="15.77734375" style="495" customWidth="1"/>
    <col min="3" max="3" width="9.33203125" style="495"/>
    <col min="4" max="4" width="42" style="495" customWidth="1"/>
    <col min="5" max="5" width="23" style="495" customWidth="1"/>
    <col min="6" max="6" width="20.6640625" style="495" customWidth="1"/>
    <col min="7" max="7" width="2.33203125" style="495" customWidth="1"/>
    <col min="8" max="16384" width="9.33203125" style="495"/>
  </cols>
  <sheetData>
    <row r="1" spans="1:7" x14ac:dyDescent="0.25">
      <c r="B1" s="493" t="s">
        <v>110</v>
      </c>
      <c r="C1" s="494"/>
      <c r="D1" s="494"/>
      <c r="E1" s="494"/>
      <c r="F1" s="494"/>
    </row>
    <row r="2" spans="1:7" ht="13.8" thickBot="1" x14ac:dyDescent="0.3">
      <c r="B2" s="504"/>
      <c r="C2" s="504"/>
      <c r="D2" s="504"/>
      <c r="E2" s="504"/>
      <c r="F2" s="504"/>
    </row>
    <row r="3" spans="1:7" x14ac:dyDescent="0.25">
      <c r="A3" s="517"/>
      <c r="B3" s="518" t="s">
        <v>226</v>
      </c>
      <c r="C3" s="505"/>
      <c r="D3" s="505"/>
      <c r="E3" s="505"/>
      <c r="F3" s="525"/>
      <c r="G3" s="524"/>
    </row>
    <row r="4" spans="1:7" x14ac:dyDescent="0.25">
      <c r="A4" s="517"/>
      <c r="B4" s="519" t="s">
        <v>152</v>
      </c>
      <c r="C4" s="494" t="s">
        <v>185</v>
      </c>
      <c r="D4" s="494"/>
      <c r="E4" s="497"/>
      <c r="F4" s="526">
        <f>+Invoerblad!E34</f>
        <v>0</v>
      </c>
      <c r="G4" s="524"/>
    </row>
    <row r="5" spans="1:7" x14ac:dyDescent="0.25">
      <c r="A5" s="517"/>
      <c r="B5" s="519" t="s">
        <v>153</v>
      </c>
      <c r="C5" s="494" t="s">
        <v>114</v>
      </c>
      <c r="D5" s="494"/>
      <c r="E5" s="497"/>
      <c r="F5" s="526"/>
      <c r="G5" s="524"/>
    </row>
    <row r="6" spans="1:7" x14ac:dyDescent="0.25">
      <c r="A6" s="517"/>
      <c r="B6" s="519"/>
      <c r="C6" s="494"/>
      <c r="D6" s="494" t="s">
        <v>99</v>
      </c>
      <c r="E6" s="497">
        <f>IF(LEFT(Invoerblad!F15,5)="apr09",0,'Rendement geinv. vermogen'!$B$29)</f>
        <v>0</v>
      </c>
      <c r="F6" s="526"/>
      <c r="G6" s="524"/>
    </row>
    <row r="7" spans="1:7" x14ac:dyDescent="0.25">
      <c r="A7" s="517"/>
      <c r="B7" s="519"/>
      <c r="C7" s="494"/>
      <c r="D7" s="494" t="s">
        <v>183</v>
      </c>
      <c r="E7" s="497">
        <f>+Invoerblad!E52</f>
        <v>0</v>
      </c>
      <c r="F7" s="526"/>
      <c r="G7" s="524"/>
    </row>
    <row r="8" spans="1:7" x14ac:dyDescent="0.25">
      <c r="A8" s="517"/>
      <c r="B8" s="519"/>
      <c r="C8" s="494"/>
      <c r="D8" s="494"/>
      <c r="E8" s="497"/>
      <c r="F8" s="526"/>
      <c r="G8" s="524"/>
    </row>
    <row r="9" spans="1:7" x14ac:dyDescent="0.25">
      <c r="A9" s="517"/>
      <c r="B9" s="519"/>
      <c r="C9" s="494" t="s">
        <v>170</v>
      </c>
      <c r="D9" s="498" t="s">
        <v>184</v>
      </c>
      <c r="E9" s="499">
        <f>SUM(E6:E7)</f>
        <v>0</v>
      </c>
      <c r="F9" s="526"/>
      <c r="G9" s="524"/>
    </row>
    <row r="10" spans="1:7" x14ac:dyDescent="0.25">
      <c r="A10" s="517"/>
      <c r="B10" s="519"/>
      <c r="C10" s="494"/>
      <c r="D10" s="498"/>
      <c r="E10" s="497"/>
      <c r="F10" s="526"/>
      <c r="G10" s="524"/>
    </row>
    <row r="11" spans="1:7" x14ac:dyDescent="0.25">
      <c r="A11" s="517"/>
      <c r="B11" s="519"/>
      <c r="C11" s="494"/>
      <c r="D11" s="494" t="str">
        <f>Invoerblad!B39</f>
        <v>…. subsidies (euro's)</v>
      </c>
      <c r="E11" s="497">
        <f>+Invoerblad!E39</f>
        <v>0</v>
      </c>
      <c r="F11" s="526"/>
      <c r="G11" s="524"/>
    </row>
    <row r="12" spans="1:7" x14ac:dyDescent="0.25">
      <c r="A12" s="517"/>
      <c r="B12" s="519"/>
      <c r="C12" s="494"/>
      <c r="D12" s="500" t="str">
        <f>Invoerblad!B40</f>
        <v>…. subsidie (euro's)</v>
      </c>
      <c r="E12" s="497">
        <f>+Invoerblad!E40</f>
        <v>0</v>
      </c>
      <c r="F12" s="526"/>
      <c r="G12" s="524"/>
    </row>
    <row r="13" spans="1:7" x14ac:dyDescent="0.25">
      <c r="A13" s="517"/>
      <c r="B13" s="519"/>
      <c r="C13" s="494"/>
      <c r="D13" s="500" t="str">
        <f>Invoerblad!B41</f>
        <v>…. subsidies (euro's)</v>
      </c>
      <c r="E13" s="497">
        <f>+Invoerblad!E41</f>
        <v>0</v>
      </c>
      <c r="F13" s="526"/>
      <c r="G13" s="524"/>
    </row>
    <row r="14" spans="1:7" x14ac:dyDescent="0.25">
      <c r="A14" s="517"/>
      <c r="B14" s="519"/>
      <c r="C14" s="494"/>
      <c r="D14" s="500" t="s">
        <v>335</v>
      </c>
      <c r="E14" s="497">
        <f>SUM(Invoerblad!E42)</f>
        <v>0</v>
      </c>
      <c r="F14" s="526"/>
      <c r="G14" s="524"/>
    </row>
    <row r="15" spans="1:7" x14ac:dyDescent="0.25">
      <c r="A15" s="517"/>
      <c r="B15" s="519"/>
      <c r="C15" s="494"/>
      <c r="D15" s="500" t="s">
        <v>292</v>
      </c>
      <c r="E15" s="501">
        <f>Invoerblad!E43</f>
        <v>0</v>
      </c>
      <c r="F15" s="526"/>
      <c r="G15" s="524"/>
    </row>
    <row r="16" spans="1:7" x14ac:dyDescent="0.25">
      <c r="A16" s="517"/>
      <c r="B16" s="519"/>
      <c r="C16" s="494"/>
      <c r="D16" s="494" t="s">
        <v>181</v>
      </c>
      <c r="E16" s="497">
        <f>+Invoerblad!E60</f>
        <v>0</v>
      </c>
      <c r="F16" s="526"/>
      <c r="G16" s="524"/>
    </row>
    <row r="17" spans="1:7" x14ac:dyDescent="0.25">
      <c r="A17" s="517"/>
      <c r="B17" s="519"/>
      <c r="C17" s="494"/>
      <c r="D17" s="494" t="s">
        <v>182</v>
      </c>
      <c r="E17" s="497">
        <f>+Invoerblad!E55</f>
        <v>0</v>
      </c>
      <c r="F17" s="526"/>
      <c r="G17" s="524"/>
    </row>
    <row r="18" spans="1:7" x14ac:dyDescent="0.25">
      <c r="A18" s="517"/>
      <c r="B18" s="519"/>
      <c r="C18" s="494" t="s">
        <v>171</v>
      </c>
      <c r="D18" s="498" t="s">
        <v>184</v>
      </c>
      <c r="E18" s="499">
        <f>SUM(E11:E17)</f>
        <v>0</v>
      </c>
      <c r="F18" s="526"/>
      <c r="G18" s="524"/>
    </row>
    <row r="19" spans="1:7" x14ac:dyDescent="0.25">
      <c r="A19" s="517"/>
      <c r="B19" s="519"/>
      <c r="C19" s="494" t="s">
        <v>186</v>
      </c>
      <c r="D19" s="498"/>
      <c r="E19" s="499"/>
      <c r="F19" s="526">
        <f>+E18+E9</f>
        <v>0</v>
      </c>
      <c r="G19" s="524"/>
    </row>
    <row r="20" spans="1:7" x14ac:dyDescent="0.25">
      <c r="A20" s="517"/>
      <c r="B20" s="519"/>
      <c r="C20" s="494"/>
      <c r="D20" s="494"/>
      <c r="E20" s="497"/>
      <c r="F20" s="526"/>
      <c r="G20" s="524"/>
    </row>
    <row r="21" spans="1:7" x14ac:dyDescent="0.25">
      <c r="A21" s="517"/>
      <c r="B21" s="519" t="s">
        <v>188</v>
      </c>
      <c r="C21" s="494" t="s">
        <v>187</v>
      </c>
      <c r="D21" s="494"/>
      <c r="E21" s="499"/>
      <c r="F21" s="526">
        <f>+F4-F19</f>
        <v>0</v>
      </c>
      <c r="G21" s="524"/>
    </row>
    <row r="22" spans="1:7" x14ac:dyDescent="0.25">
      <c r="A22" s="517"/>
      <c r="B22" s="519" t="s">
        <v>173</v>
      </c>
      <c r="C22" s="494" t="s">
        <v>180</v>
      </c>
      <c r="D22" s="494"/>
      <c r="E22" s="497"/>
      <c r="F22" s="526">
        <f>+'Rendement geinv. vermogen'!B20</f>
        <v>0</v>
      </c>
      <c r="G22" s="524"/>
    </row>
    <row r="23" spans="1:7" x14ac:dyDescent="0.25">
      <c r="A23" s="517"/>
      <c r="B23" s="519" t="s">
        <v>350</v>
      </c>
      <c r="C23" s="494" t="s">
        <v>374</v>
      </c>
      <c r="D23" s="494"/>
      <c r="E23" s="497"/>
      <c r="F23" s="526">
        <f>Invoerblad!I106</f>
        <v>0</v>
      </c>
      <c r="G23" s="524"/>
    </row>
    <row r="24" spans="1:7" x14ac:dyDescent="0.25">
      <c r="A24" s="517"/>
      <c r="B24" s="519" t="s">
        <v>154</v>
      </c>
      <c r="C24" s="494" t="s">
        <v>115</v>
      </c>
      <c r="D24" s="494"/>
      <c r="E24" s="497"/>
      <c r="F24" s="526">
        <f>SUM(Invoerblad!I110:I113)</f>
        <v>0</v>
      </c>
      <c r="G24" s="524"/>
    </row>
    <row r="25" spans="1:7" x14ac:dyDescent="0.25">
      <c r="A25" s="517"/>
      <c r="B25" s="519" t="s">
        <v>351</v>
      </c>
      <c r="C25" s="494" t="s">
        <v>231</v>
      </c>
      <c r="D25" s="494"/>
      <c r="E25" s="497"/>
      <c r="F25" s="526">
        <f>IF(+F21+F22-F23+F24&lt;0,0,+F21+F22-F23+F24)</f>
        <v>0</v>
      </c>
      <c r="G25" s="524"/>
    </row>
    <row r="26" spans="1:7" x14ac:dyDescent="0.25">
      <c r="A26" s="517"/>
      <c r="B26" s="519" t="s">
        <v>352</v>
      </c>
      <c r="C26" s="494" t="s">
        <v>251</v>
      </c>
      <c r="D26" s="494"/>
      <c r="E26" s="497"/>
      <c r="F26" s="526">
        <f>+Invoerblad!I91+Invoerblad!I30+Invoerblad!I92+Invoerblad!I93</f>
        <v>0</v>
      </c>
      <c r="G26" s="524"/>
    </row>
    <row r="27" spans="1:7" x14ac:dyDescent="0.25">
      <c r="A27" s="517"/>
      <c r="B27" s="519"/>
      <c r="C27" s="494"/>
      <c r="D27" s="494"/>
      <c r="E27" s="497"/>
      <c r="F27" s="526"/>
      <c r="G27" s="524"/>
    </row>
    <row r="28" spans="1:7" x14ac:dyDescent="0.25">
      <c r="A28" s="517"/>
      <c r="B28" s="519" t="s">
        <v>354</v>
      </c>
      <c r="C28" s="496" t="s">
        <v>486</v>
      </c>
      <c r="D28" s="494"/>
      <c r="E28" s="497"/>
      <c r="F28" s="526">
        <f>F25-F26</f>
        <v>0</v>
      </c>
      <c r="G28" s="524"/>
    </row>
    <row r="29" spans="1:7" x14ac:dyDescent="0.25">
      <c r="A29" s="517"/>
      <c r="B29" s="519" t="s">
        <v>338</v>
      </c>
      <c r="C29" s="496" t="s">
        <v>487</v>
      </c>
      <c r="D29" s="494"/>
      <c r="E29" s="497"/>
      <c r="F29" s="526">
        <f>F21+F22-F26</f>
        <v>0</v>
      </c>
      <c r="G29" s="524"/>
    </row>
    <row r="30" spans="1:7" x14ac:dyDescent="0.25">
      <c r="A30" s="517"/>
      <c r="B30" s="519"/>
      <c r="C30" s="496"/>
      <c r="D30" s="494"/>
      <c r="E30" s="497"/>
      <c r="F30" s="527"/>
      <c r="G30" s="524"/>
    </row>
    <row r="31" spans="1:7" x14ac:dyDescent="0.25">
      <c r="A31" s="517"/>
      <c r="B31" s="519" t="s">
        <v>353</v>
      </c>
      <c r="C31" s="496" t="s">
        <v>488</v>
      </c>
      <c r="D31" s="494"/>
      <c r="E31" s="497"/>
      <c r="F31" s="527">
        <f>IF(F28&lt;0,-F28,0)</f>
        <v>0</v>
      </c>
      <c r="G31" s="524"/>
    </row>
    <row r="32" spans="1:7" ht="13.8" thickBot="1" x14ac:dyDescent="0.3">
      <c r="A32" s="517"/>
      <c r="B32" s="523" t="s">
        <v>355</v>
      </c>
      <c r="C32" s="515" t="s">
        <v>489</v>
      </c>
      <c r="D32" s="514"/>
      <c r="E32" s="516"/>
      <c r="F32" s="528">
        <f>IF(F29&lt;0,-F29,0)</f>
        <v>0</v>
      </c>
      <c r="G32" s="524"/>
    </row>
    <row r="33" spans="1:7" ht="13.8" thickBot="1" x14ac:dyDescent="0.3">
      <c r="B33" s="509"/>
      <c r="C33" s="509"/>
      <c r="D33" s="509"/>
      <c r="E33" s="510"/>
      <c r="F33" s="510"/>
    </row>
    <row r="34" spans="1:7" x14ac:dyDescent="0.25">
      <c r="A34" s="517"/>
      <c r="B34" s="518" t="s">
        <v>7</v>
      </c>
      <c r="C34" s="505"/>
      <c r="D34" s="505"/>
      <c r="E34" s="506"/>
      <c r="F34" s="525"/>
      <c r="G34" s="524"/>
    </row>
    <row r="35" spans="1:7" x14ac:dyDescent="0.25">
      <c r="A35" s="517"/>
      <c r="B35" s="519" t="s">
        <v>485</v>
      </c>
      <c r="C35" s="494"/>
      <c r="D35" s="494"/>
      <c r="E35" s="497"/>
      <c r="F35" s="526"/>
      <c r="G35" s="524"/>
    </row>
    <row r="36" spans="1:7" x14ac:dyDescent="0.25">
      <c r="A36" s="517"/>
      <c r="B36" s="520"/>
      <c r="C36" s="494"/>
      <c r="D36" s="494"/>
      <c r="E36" s="497"/>
      <c r="F36" s="526"/>
      <c r="G36" s="524"/>
    </row>
    <row r="37" spans="1:7" x14ac:dyDescent="0.25">
      <c r="A37" s="517"/>
      <c r="B37" s="520" t="s">
        <v>199</v>
      </c>
      <c r="C37" s="496" t="s">
        <v>440</v>
      </c>
      <c r="D37" s="494"/>
      <c r="E37" s="497"/>
      <c r="F37" s="527">
        <f>IF('Hulpberekeningen 1'!G48&lt;=10000,0,SMALL('Hulpberekeningen 1'!G46:G47,1))</f>
        <v>0</v>
      </c>
      <c r="G37" s="524"/>
    </row>
    <row r="38" spans="1:7" x14ac:dyDescent="0.25">
      <c r="A38" s="517"/>
      <c r="B38" s="519" t="s">
        <v>200</v>
      </c>
      <c r="C38" s="494" t="s">
        <v>27</v>
      </c>
      <c r="D38" s="494"/>
      <c r="E38" s="497"/>
      <c r="F38" s="527">
        <f>+'Hulpberekeningen 1'!$M$29</f>
        <v>0</v>
      </c>
      <c r="G38" s="524"/>
    </row>
    <row r="39" spans="1:7" x14ac:dyDescent="0.25">
      <c r="A39" s="517"/>
      <c r="B39" s="519"/>
      <c r="C39" s="494"/>
      <c r="D39" s="494"/>
      <c r="E39" s="497"/>
      <c r="F39" s="527"/>
      <c r="G39" s="524"/>
    </row>
    <row r="40" spans="1:7" x14ac:dyDescent="0.25">
      <c r="A40" s="517"/>
      <c r="B40" s="520" t="s">
        <v>227</v>
      </c>
      <c r="C40" s="496" t="s">
        <v>255</v>
      </c>
      <c r="D40" s="494"/>
      <c r="E40" s="497"/>
      <c r="F40" s="529">
        <f ca="1">+'Hulpberekeningen 1'!M15</f>
        <v>0</v>
      </c>
      <c r="G40" s="524"/>
    </row>
    <row r="41" spans="1:7" x14ac:dyDescent="0.25">
      <c r="A41" s="517"/>
      <c r="B41" s="520" t="s">
        <v>337</v>
      </c>
      <c r="C41" s="496" t="s">
        <v>452</v>
      </c>
      <c r="D41" s="494"/>
      <c r="E41" s="497"/>
      <c r="F41" s="529">
        <f ca="1">'Hulpberekeningen 1'!G42</f>
        <v>0</v>
      </c>
      <c r="G41" s="524"/>
    </row>
    <row r="42" spans="1:7" x14ac:dyDescent="0.25">
      <c r="A42" s="517"/>
      <c r="B42" s="519"/>
      <c r="C42" s="494"/>
      <c r="D42" s="494"/>
      <c r="E42" s="497"/>
      <c r="F42" s="526"/>
      <c r="G42" s="524"/>
    </row>
    <row r="43" spans="1:7" x14ac:dyDescent="0.25">
      <c r="A43" s="517"/>
      <c r="B43" s="519" t="s">
        <v>228</v>
      </c>
      <c r="C43" s="494" t="s">
        <v>25</v>
      </c>
      <c r="D43" s="494"/>
      <c r="E43" s="497"/>
      <c r="F43" s="527">
        <f>+'Hulpberekeningen 1'!W10</f>
        <v>0</v>
      </c>
      <c r="G43" s="524"/>
    </row>
    <row r="44" spans="1:7" ht="13.8" thickBot="1" x14ac:dyDescent="0.3">
      <c r="A44" s="517"/>
      <c r="B44" s="522" t="s">
        <v>347</v>
      </c>
      <c r="C44" s="511" t="s">
        <v>26</v>
      </c>
      <c r="D44" s="511"/>
      <c r="E44" s="511"/>
      <c r="F44" s="530">
        <f ca="1">+F43-F40</f>
        <v>0</v>
      </c>
      <c r="G44" s="524"/>
    </row>
    <row r="45" spans="1:7" ht="13.8" thickBot="1" x14ac:dyDescent="0.3">
      <c r="B45" s="508"/>
      <c r="C45" s="508"/>
      <c r="D45" s="508"/>
      <c r="E45" s="508"/>
      <c r="F45" s="508"/>
    </row>
    <row r="46" spans="1:7" x14ac:dyDescent="0.25">
      <c r="A46" s="517"/>
      <c r="B46" s="518" t="s">
        <v>430</v>
      </c>
      <c r="C46" s="505"/>
      <c r="D46" s="505"/>
      <c r="E46" s="506"/>
      <c r="F46" s="525"/>
      <c r="G46" s="524"/>
    </row>
    <row r="47" spans="1:7" x14ac:dyDescent="0.25">
      <c r="A47" s="517"/>
      <c r="B47" s="519"/>
      <c r="C47" s="494"/>
      <c r="D47" s="494"/>
      <c r="E47" s="497"/>
      <c r="F47" s="526"/>
      <c r="G47" s="524"/>
    </row>
    <row r="48" spans="1:7" x14ac:dyDescent="0.25">
      <c r="A48" s="517"/>
      <c r="B48" s="520" t="s">
        <v>151</v>
      </c>
      <c r="C48" s="496" t="s">
        <v>431</v>
      </c>
      <c r="D48" s="494"/>
      <c r="E48" s="499" t="s">
        <v>432</v>
      </c>
      <c r="F48" s="531" t="s">
        <v>433</v>
      </c>
      <c r="G48" s="524"/>
    </row>
    <row r="49" spans="1:7" x14ac:dyDescent="0.25">
      <c r="A49" s="517"/>
      <c r="B49" s="521">
        <v>17</v>
      </c>
      <c r="C49" s="562">
        <f ca="1">IF(E49=0,0,E49/F49)</f>
        <v>0</v>
      </c>
      <c r="D49" s="502" t="s">
        <v>434</v>
      </c>
      <c r="E49" s="497">
        <f ca="1">IF('Hulpberekeningen 1'!G38&gt;0,'Hulpberekeningen 1'!G38,0)</f>
        <v>0</v>
      </c>
      <c r="F49" s="532">
        <f ca="1">IF('Hulpberekeningen 1'!G$38&gt;0,'Hulpberekeningen 1'!G$39,0)</f>
        <v>0</v>
      </c>
      <c r="G49" s="524"/>
    </row>
    <row r="50" spans="1:7" x14ac:dyDescent="0.25">
      <c r="A50" s="517"/>
      <c r="B50" s="521">
        <v>16</v>
      </c>
      <c r="C50" s="562">
        <f ca="1">IF(E50=0,0,E50/F50)</f>
        <v>0</v>
      </c>
      <c r="D50" s="502" t="s">
        <v>434</v>
      </c>
      <c r="E50" s="497">
        <f ca="1">IF('Hulpberekeningen 1'!H38&gt;0,'Hulpberekeningen 1'!H38,0)</f>
        <v>0</v>
      </c>
      <c r="F50" s="532">
        <f ca="1">IF('Hulpberekeningen 1'!H$38&gt;0,'Hulpberekeningen 1'!H$39,0)</f>
        <v>0</v>
      </c>
      <c r="G50" s="524"/>
    </row>
    <row r="51" spans="1:7" x14ac:dyDescent="0.25">
      <c r="A51" s="517"/>
      <c r="B51" s="521">
        <v>15</v>
      </c>
      <c r="C51" s="562">
        <f ca="1">IF(E51=0,0,E51/F51)</f>
        <v>0</v>
      </c>
      <c r="D51" s="502" t="s">
        <v>434</v>
      </c>
      <c r="E51" s="497">
        <f ca="1">IF('Hulpberekeningen 1'!I38&gt;0,'Hulpberekeningen 1'!I38,0)</f>
        <v>0</v>
      </c>
      <c r="F51" s="532">
        <f ca="1">IF('Hulpberekeningen 1'!I$38&gt;0,'Hulpberekeningen 1'!I$39,0)</f>
        <v>0</v>
      </c>
      <c r="G51" s="524"/>
    </row>
    <row r="52" spans="1:7" x14ac:dyDescent="0.25">
      <c r="A52" s="517"/>
      <c r="B52" s="521">
        <v>14</v>
      </c>
      <c r="C52" s="562">
        <f ca="1">IF(E52=0,0,E52/F52)</f>
        <v>0</v>
      </c>
      <c r="D52" s="502" t="s">
        <v>434</v>
      </c>
      <c r="E52" s="497">
        <f ca="1">IF('Hulpberekeningen 1'!J38&gt;0,'Hulpberekeningen 1'!J38,0)</f>
        <v>0</v>
      </c>
      <c r="F52" s="532">
        <f ca="1">IF('Hulpberekeningen 1'!J$38&gt;0,'Hulpberekeningen 1'!J$39,0)</f>
        <v>0</v>
      </c>
      <c r="G52" s="524"/>
    </row>
    <row r="53" spans="1:7" x14ac:dyDescent="0.25">
      <c r="A53" s="517"/>
      <c r="B53" s="521">
        <v>13</v>
      </c>
      <c r="C53" s="562">
        <f ca="1">IF(E53=0,0,E53/F53)</f>
        <v>0</v>
      </c>
      <c r="D53" s="502" t="s">
        <v>434</v>
      </c>
      <c r="E53" s="497">
        <f ca="1">IF('Hulpberekeningen 1'!K38&gt;0,'Hulpberekeningen 1'!K38,0)</f>
        <v>0</v>
      </c>
      <c r="F53" s="532">
        <f ca="1">IF('Hulpberekeningen 1'!K$38&gt;0,'Hulpberekeningen 1'!K$39,0)</f>
        <v>0</v>
      </c>
      <c r="G53" s="524"/>
    </row>
    <row r="54" spans="1:7" x14ac:dyDescent="0.25">
      <c r="A54" s="517"/>
      <c r="B54" s="520"/>
      <c r="C54" s="494"/>
      <c r="D54" s="494"/>
      <c r="E54" s="497"/>
      <c r="F54" s="526"/>
      <c r="G54" s="524"/>
    </row>
    <row r="55" spans="1:7" x14ac:dyDescent="0.25">
      <c r="A55" s="517"/>
      <c r="B55" s="520"/>
      <c r="C55" s="496"/>
      <c r="D55" s="503" t="s">
        <v>428</v>
      </c>
      <c r="E55" s="497"/>
      <c r="F55" s="533">
        <f ca="1">'Hulpberekeningen 1'!G42</f>
        <v>0</v>
      </c>
      <c r="G55" s="524"/>
    </row>
    <row r="56" spans="1:7" ht="13.8" thickBot="1" x14ac:dyDescent="0.3">
      <c r="A56" s="517"/>
      <c r="B56" s="522"/>
      <c r="C56" s="511"/>
      <c r="D56" s="512" t="s">
        <v>429</v>
      </c>
      <c r="E56" s="513"/>
      <c r="F56" s="534">
        <f ca="1">'Hulpberekeningen 1'!G43</f>
        <v>0</v>
      </c>
      <c r="G56" s="524"/>
    </row>
    <row r="57" spans="1:7" ht="13.8" thickBot="1" x14ac:dyDescent="0.3">
      <c r="B57" s="508"/>
      <c r="C57" s="508"/>
      <c r="D57" s="508"/>
      <c r="E57" s="508"/>
      <c r="F57" s="508"/>
    </row>
    <row r="58" spans="1:7" x14ac:dyDescent="0.25">
      <c r="A58" s="517"/>
      <c r="B58" s="616" t="s">
        <v>435</v>
      </c>
      <c r="C58" s="617"/>
      <c r="D58" s="617"/>
      <c r="E58" s="535" t="s">
        <v>436</v>
      </c>
      <c r="F58" s="536" t="s">
        <v>437</v>
      </c>
      <c r="G58" s="524"/>
    </row>
    <row r="59" spans="1:7" x14ac:dyDescent="0.25">
      <c r="A59" s="517"/>
      <c r="B59" s="614" t="s">
        <v>2</v>
      </c>
      <c r="C59" s="615"/>
      <c r="D59" s="615"/>
      <c r="E59" s="537">
        <f>Invoerblad!E13</f>
        <v>0</v>
      </c>
      <c r="F59" s="538" t="s">
        <v>450</v>
      </c>
      <c r="G59" s="524"/>
    </row>
    <row r="60" spans="1:7" x14ac:dyDescent="0.25">
      <c r="A60" s="517"/>
      <c r="B60" s="614" t="s">
        <v>438</v>
      </c>
      <c r="C60" s="615"/>
      <c r="D60" s="615"/>
      <c r="E60" s="537">
        <f>Invoerblad!E14</f>
        <v>0</v>
      </c>
      <c r="F60" s="538" t="s">
        <v>450</v>
      </c>
      <c r="G60" s="524"/>
    </row>
    <row r="61" spans="1:7" x14ac:dyDescent="0.25">
      <c r="A61" s="517"/>
      <c r="B61" s="614" t="s">
        <v>298</v>
      </c>
      <c r="C61" s="615"/>
      <c r="D61" s="615"/>
      <c r="E61" s="539">
        <f>Invoerblad!E15</f>
        <v>15</v>
      </c>
      <c r="F61" s="540" t="s">
        <v>151</v>
      </c>
      <c r="G61" s="524"/>
    </row>
    <row r="62" spans="1:7" x14ac:dyDescent="0.25">
      <c r="A62" s="517"/>
      <c r="B62" s="614"/>
      <c r="C62" s="615"/>
      <c r="D62" s="615"/>
      <c r="E62" s="539"/>
      <c r="F62" s="540"/>
      <c r="G62" s="524"/>
    </row>
    <row r="63" spans="1:7" x14ac:dyDescent="0.25">
      <c r="A63" s="517"/>
      <c r="B63" s="614" t="s">
        <v>448</v>
      </c>
      <c r="C63" s="615"/>
      <c r="D63" s="615"/>
      <c r="E63" s="539">
        <f>Invoerblad!I19</f>
        <v>0</v>
      </c>
      <c r="F63" s="540" t="s">
        <v>451</v>
      </c>
      <c r="G63" s="524"/>
    </row>
    <row r="64" spans="1:7" x14ac:dyDescent="0.25">
      <c r="A64" s="517"/>
      <c r="B64" s="614" t="s">
        <v>449</v>
      </c>
      <c r="C64" s="615"/>
      <c r="D64" s="615"/>
      <c r="E64" s="539">
        <f>Invoerblad!I20</f>
        <v>0</v>
      </c>
      <c r="F64" s="540" t="s">
        <v>451</v>
      </c>
      <c r="G64" s="524"/>
    </row>
    <row r="65" spans="1:7" x14ac:dyDescent="0.25">
      <c r="A65" s="517"/>
      <c r="B65" s="614"/>
      <c r="C65" s="615"/>
      <c r="D65" s="615"/>
      <c r="E65" s="539"/>
      <c r="F65" s="540"/>
      <c r="G65" s="524"/>
    </row>
    <row r="66" spans="1:7" x14ac:dyDescent="0.25">
      <c r="A66" s="517"/>
      <c r="B66" s="614" t="s">
        <v>28</v>
      </c>
      <c r="C66" s="615"/>
      <c r="D66" s="615"/>
      <c r="E66" s="541">
        <f>Invoerblad!E24</f>
        <v>0</v>
      </c>
      <c r="F66" s="542"/>
      <c r="G66" s="524"/>
    </row>
    <row r="67" spans="1:7" x14ac:dyDescent="0.25">
      <c r="A67" s="517"/>
      <c r="B67" s="614" t="s">
        <v>258</v>
      </c>
      <c r="C67" s="615"/>
      <c r="D67" s="615"/>
      <c r="E67" s="541">
        <f>Invoerblad!E25</f>
        <v>0</v>
      </c>
      <c r="F67" s="542"/>
      <c r="G67" s="524"/>
    </row>
    <row r="68" spans="1:7" x14ac:dyDescent="0.25">
      <c r="A68" s="517"/>
      <c r="B68" s="614" t="s">
        <v>259</v>
      </c>
      <c r="C68" s="615"/>
      <c r="D68" s="615"/>
      <c r="E68" s="541">
        <f>Invoerblad!E26</f>
        <v>0</v>
      </c>
      <c r="F68" s="542"/>
      <c r="G68" s="524"/>
    </row>
    <row r="69" spans="1:7" x14ac:dyDescent="0.25">
      <c r="A69" s="517"/>
      <c r="B69" s="614"/>
      <c r="C69" s="615"/>
      <c r="D69" s="615"/>
      <c r="E69" s="539"/>
      <c r="F69" s="540"/>
      <c r="G69" s="524"/>
    </row>
    <row r="70" spans="1:7" x14ac:dyDescent="0.25">
      <c r="A70" s="517"/>
      <c r="B70" s="614" t="s">
        <v>317</v>
      </c>
      <c r="C70" s="615"/>
      <c r="D70" s="615"/>
      <c r="E70" s="550" t="str">
        <f>IF(Invoerblad!E48*100=0,"-",Invoerblad!E48*100)</f>
        <v>-</v>
      </c>
      <c r="F70" s="544" t="s">
        <v>107</v>
      </c>
      <c r="G70" s="524"/>
    </row>
    <row r="71" spans="1:7" x14ac:dyDescent="0.25">
      <c r="A71" s="517"/>
      <c r="B71" s="614" t="s">
        <v>378</v>
      </c>
      <c r="C71" s="615"/>
      <c r="D71" s="615"/>
      <c r="E71" s="550" t="str">
        <f>IF(Invoerblad!E49*100=0,"-",Invoerblad!E49*100)</f>
        <v>-</v>
      </c>
      <c r="F71" s="544" t="s">
        <v>107</v>
      </c>
      <c r="G71" s="524"/>
    </row>
    <row r="72" spans="1:7" x14ac:dyDescent="0.25">
      <c r="A72" s="517"/>
      <c r="B72" s="614" t="s">
        <v>279</v>
      </c>
      <c r="C72" s="615"/>
      <c r="D72" s="615"/>
      <c r="E72" s="551" t="str">
        <f>IF(Invoerblad!E50=0,"-",Invoerblad!E50)</f>
        <v>-</v>
      </c>
      <c r="F72" s="546" t="s">
        <v>439</v>
      </c>
      <c r="G72" s="524"/>
    </row>
    <row r="73" spans="1:7" x14ac:dyDescent="0.25">
      <c r="A73" s="517"/>
      <c r="B73" s="614" t="s">
        <v>441</v>
      </c>
      <c r="C73" s="615"/>
      <c r="D73" s="615"/>
      <c r="E73" s="551" t="str">
        <f>IF(Invoerblad!E51=0,"-",Invoerblad!E51)</f>
        <v>-</v>
      </c>
      <c r="F73" s="546" t="s">
        <v>439</v>
      </c>
      <c r="G73" s="524"/>
    </row>
    <row r="74" spans="1:7" x14ac:dyDescent="0.25">
      <c r="A74" s="517"/>
      <c r="B74" s="614" t="s">
        <v>176</v>
      </c>
      <c r="C74" s="615"/>
      <c r="D74" s="615"/>
      <c r="E74" s="551" t="str">
        <f>IF(Invoerblad!E52=0,"-",Invoerblad!E52)</f>
        <v>-</v>
      </c>
      <c r="F74" s="546" t="s">
        <v>439</v>
      </c>
      <c r="G74" s="524"/>
    </row>
    <row r="75" spans="1:7" x14ac:dyDescent="0.25">
      <c r="A75" s="517"/>
      <c r="B75" s="614" t="s">
        <v>287</v>
      </c>
      <c r="C75" s="615"/>
      <c r="D75" s="615"/>
      <c r="E75" s="551" t="str">
        <f>IF(Invoerblad!E54=0,"-",Invoerblad!E54)</f>
        <v>-</v>
      </c>
      <c r="F75" s="546" t="s">
        <v>439</v>
      </c>
      <c r="G75" s="524"/>
    </row>
    <row r="76" spans="1:7" x14ac:dyDescent="0.25">
      <c r="A76" s="517"/>
      <c r="B76" s="614" t="s">
        <v>288</v>
      </c>
      <c r="C76" s="615"/>
      <c r="D76" s="615"/>
      <c r="E76" s="551" t="str">
        <f>IF(Invoerblad!E55=0,"-",Invoerblad!E55)</f>
        <v>-</v>
      </c>
      <c r="F76" s="546" t="s">
        <v>439</v>
      </c>
      <c r="G76" s="524"/>
    </row>
    <row r="77" spans="1:7" x14ac:dyDescent="0.25">
      <c r="A77" s="517"/>
      <c r="B77" s="614" t="s">
        <v>280</v>
      </c>
      <c r="C77" s="615"/>
      <c r="D77" s="615"/>
      <c r="E77" s="551" t="str">
        <f>IF(Invoerblad!E57=0,"-",Invoerblad!E57)</f>
        <v>-</v>
      </c>
      <c r="F77" s="546" t="s">
        <v>439</v>
      </c>
      <c r="G77" s="524"/>
    </row>
    <row r="78" spans="1:7" x14ac:dyDescent="0.25">
      <c r="A78" s="517"/>
      <c r="B78" s="614" t="s">
        <v>179</v>
      </c>
      <c r="C78" s="615"/>
      <c r="D78" s="615"/>
      <c r="E78" s="551" t="str">
        <f>IF(Invoerblad!E58*100=0,"-",Invoerblad!E58*100)</f>
        <v>-</v>
      </c>
      <c r="F78" s="546" t="s">
        <v>107</v>
      </c>
      <c r="G78" s="524"/>
    </row>
    <row r="79" spans="1:7" x14ac:dyDescent="0.25">
      <c r="A79" s="517"/>
      <c r="B79" s="614" t="s">
        <v>194</v>
      </c>
      <c r="C79" s="615"/>
      <c r="D79" s="615"/>
      <c r="E79" s="551" t="str">
        <f>IF(Invoerblad!E59=0,"-",Invoerblad!E59)</f>
        <v>-</v>
      </c>
      <c r="F79" s="546" t="s">
        <v>439</v>
      </c>
      <c r="G79" s="524"/>
    </row>
    <row r="80" spans="1:7" x14ac:dyDescent="0.25">
      <c r="A80" s="517"/>
      <c r="B80" s="614" t="s">
        <v>178</v>
      </c>
      <c r="C80" s="615"/>
      <c r="D80" s="615"/>
      <c r="E80" s="551" t="str">
        <f>IF(Invoerblad!E60=0,"-",Invoerblad!E60)</f>
        <v>-</v>
      </c>
      <c r="F80" s="546" t="s">
        <v>439</v>
      </c>
      <c r="G80" s="524"/>
    </row>
    <row r="81" spans="1:7" x14ac:dyDescent="0.25">
      <c r="A81" s="517"/>
      <c r="B81" s="614" t="s">
        <v>379</v>
      </c>
      <c r="C81" s="615"/>
      <c r="D81" s="615"/>
      <c r="E81" s="551" t="str">
        <f>IF(Invoerblad!E61=0,"-",Invoerblad!E61)</f>
        <v>-</v>
      </c>
      <c r="F81" s="546" t="s">
        <v>439</v>
      </c>
      <c r="G81" s="524"/>
    </row>
    <row r="82" spans="1:7" x14ac:dyDescent="0.25">
      <c r="A82" s="517"/>
      <c r="B82" s="614" t="s">
        <v>263</v>
      </c>
      <c r="C82" s="615"/>
      <c r="D82" s="615"/>
      <c r="E82" s="545">
        <f>Invoerblad!E65</f>
        <v>0</v>
      </c>
      <c r="F82" s="546" t="s">
        <v>439</v>
      </c>
      <c r="G82" s="524"/>
    </row>
    <row r="83" spans="1:7" x14ac:dyDescent="0.25">
      <c r="A83" s="517"/>
      <c r="B83" s="614" t="s">
        <v>281</v>
      </c>
      <c r="C83" s="615"/>
      <c r="D83" s="615"/>
      <c r="E83" s="545">
        <f>Invoerblad!E66</f>
        <v>0</v>
      </c>
      <c r="F83" s="546" t="s">
        <v>439</v>
      </c>
      <c r="G83" s="524"/>
    </row>
    <row r="84" spans="1:7" x14ac:dyDescent="0.25">
      <c r="A84" s="517"/>
      <c r="B84" s="614" t="s">
        <v>161</v>
      </c>
      <c r="C84" s="615"/>
      <c r="D84" s="615"/>
      <c r="E84" s="543">
        <f>Invoerblad!E67*100</f>
        <v>0</v>
      </c>
      <c r="F84" s="544" t="s">
        <v>107</v>
      </c>
      <c r="G84" s="524"/>
    </row>
    <row r="85" spans="1:7" x14ac:dyDescent="0.25">
      <c r="A85" s="517"/>
      <c r="B85" s="614" t="s">
        <v>162</v>
      </c>
      <c r="C85" s="615"/>
      <c r="D85" s="615"/>
      <c r="E85" s="543">
        <f>Invoerblad!E68*100</f>
        <v>100</v>
      </c>
      <c r="F85" s="544" t="s">
        <v>107</v>
      </c>
      <c r="G85" s="524"/>
    </row>
    <row r="86" spans="1:7" x14ac:dyDescent="0.25">
      <c r="A86" s="517"/>
      <c r="B86" s="614" t="s">
        <v>161</v>
      </c>
      <c r="C86" s="615"/>
      <c r="D86" s="615"/>
      <c r="E86" s="545">
        <f>Invoerblad!E69</f>
        <v>0</v>
      </c>
      <c r="F86" s="546" t="s">
        <v>439</v>
      </c>
      <c r="G86" s="524"/>
    </row>
    <row r="87" spans="1:7" x14ac:dyDescent="0.25">
      <c r="A87" s="517"/>
      <c r="B87" s="614" t="s">
        <v>156</v>
      </c>
      <c r="C87" s="615"/>
      <c r="D87" s="615"/>
      <c r="E87" s="545">
        <f>Invoerblad!E70</f>
        <v>0</v>
      </c>
      <c r="F87" s="546" t="s">
        <v>439</v>
      </c>
      <c r="G87" s="524"/>
    </row>
    <row r="88" spans="1:7" x14ac:dyDescent="0.25">
      <c r="A88" s="517"/>
      <c r="B88" s="614" t="s">
        <v>282</v>
      </c>
      <c r="C88" s="615"/>
      <c r="D88" s="615"/>
      <c r="E88" s="545">
        <f>Invoerblad!E71</f>
        <v>0</v>
      </c>
      <c r="F88" s="546" t="s">
        <v>439</v>
      </c>
      <c r="G88" s="524"/>
    </row>
    <row r="89" spans="1:7" x14ac:dyDescent="0.25">
      <c r="A89" s="517"/>
      <c r="B89" s="614" t="s">
        <v>109</v>
      </c>
      <c r="C89" s="615"/>
      <c r="D89" s="615"/>
      <c r="E89" s="545">
        <f>Invoerblad!E72</f>
        <v>0</v>
      </c>
      <c r="F89" s="546" t="s">
        <v>439</v>
      </c>
      <c r="G89" s="524"/>
    </row>
    <row r="90" spans="1:7" x14ac:dyDescent="0.25">
      <c r="A90" s="517"/>
      <c r="B90" s="614" t="s">
        <v>206</v>
      </c>
      <c r="C90" s="615"/>
      <c r="D90" s="615"/>
      <c r="E90" s="543">
        <f>Invoerblad!E73*100</f>
        <v>6</v>
      </c>
      <c r="F90" s="544" t="s">
        <v>107</v>
      </c>
      <c r="G90" s="524"/>
    </row>
    <row r="91" spans="1:7" x14ac:dyDescent="0.25">
      <c r="A91" s="517"/>
      <c r="B91" s="614" t="s">
        <v>155</v>
      </c>
      <c r="C91" s="615"/>
      <c r="D91" s="615"/>
      <c r="E91" s="539">
        <f>Invoerblad!E74</f>
        <v>15</v>
      </c>
      <c r="F91" s="540" t="s">
        <v>151</v>
      </c>
      <c r="G91" s="524"/>
    </row>
    <row r="92" spans="1:7" x14ac:dyDescent="0.25">
      <c r="A92" s="517"/>
      <c r="B92" s="614" t="s">
        <v>262</v>
      </c>
      <c r="C92" s="615"/>
      <c r="D92" s="615"/>
      <c r="E92" s="543">
        <f>Invoerblad!E75*100</f>
        <v>0</v>
      </c>
      <c r="F92" s="544" t="s">
        <v>107</v>
      </c>
      <c r="G92" s="524"/>
    </row>
    <row r="93" spans="1:7" x14ac:dyDescent="0.25">
      <c r="A93" s="517"/>
      <c r="B93" s="614" t="s">
        <v>313</v>
      </c>
      <c r="C93" s="615"/>
      <c r="D93" s="615"/>
      <c r="E93" s="545">
        <f>Invoerblad!K79</f>
        <v>0</v>
      </c>
      <c r="F93" s="546" t="s">
        <v>439</v>
      </c>
      <c r="G93" s="524"/>
    </row>
    <row r="94" spans="1:7" x14ac:dyDescent="0.25">
      <c r="A94" s="517"/>
      <c r="B94" s="614" t="s">
        <v>314</v>
      </c>
      <c r="C94" s="615"/>
      <c r="D94" s="615"/>
      <c r="E94" s="545">
        <f>Invoerblad!K80</f>
        <v>0</v>
      </c>
      <c r="F94" s="546" t="s">
        <v>439</v>
      </c>
      <c r="G94" s="524"/>
    </row>
    <row r="95" spans="1:7" x14ac:dyDescent="0.25">
      <c r="A95" s="517"/>
      <c r="B95" s="614" t="s">
        <v>442</v>
      </c>
      <c r="C95" s="615"/>
      <c r="D95" s="615"/>
      <c r="E95" s="545">
        <f>Invoerblad!H81</f>
        <v>0</v>
      </c>
      <c r="F95" s="546" t="s">
        <v>439</v>
      </c>
      <c r="G95" s="524"/>
    </row>
    <row r="96" spans="1:7" x14ac:dyDescent="0.25">
      <c r="A96" s="517"/>
      <c r="B96" s="614" t="s">
        <v>443</v>
      </c>
      <c r="C96" s="615"/>
      <c r="D96" s="615"/>
      <c r="E96" s="545">
        <f>Invoerblad!H102</f>
        <v>0</v>
      </c>
      <c r="F96" s="546" t="s">
        <v>439</v>
      </c>
      <c r="G96" s="524"/>
    </row>
    <row r="97" spans="1:7" x14ac:dyDescent="0.25">
      <c r="A97" s="517"/>
      <c r="B97" s="614" t="s">
        <v>444</v>
      </c>
      <c r="C97" s="615"/>
      <c r="D97" s="615"/>
      <c r="E97" s="545">
        <f>Invoerblad!H103</f>
        <v>0</v>
      </c>
      <c r="F97" s="546" t="s">
        <v>439</v>
      </c>
      <c r="G97" s="524"/>
    </row>
    <row r="98" spans="1:7" x14ac:dyDescent="0.25">
      <c r="A98" s="517"/>
      <c r="B98" s="614" t="s">
        <v>445</v>
      </c>
      <c r="C98" s="615"/>
      <c r="D98" s="615"/>
      <c r="E98" s="545">
        <f>Invoerblad!H106</f>
        <v>0</v>
      </c>
      <c r="F98" s="546" t="s">
        <v>439</v>
      </c>
      <c r="G98" s="524"/>
    </row>
    <row r="99" spans="1:7" x14ac:dyDescent="0.25">
      <c r="A99" s="517"/>
      <c r="B99" s="614" t="s">
        <v>446</v>
      </c>
      <c r="C99" s="615"/>
      <c r="D99" s="615"/>
      <c r="E99" s="545" t="str">
        <f>IF(Invoerblad!H110=0,"-",Invoerblad!H110)</f>
        <v>-</v>
      </c>
      <c r="F99" s="546" t="s">
        <v>439</v>
      </c>
      <c r="G99" s="524"/>
    </row>
    <row r="100" spans="1:7" ht="13.8" thickBot="1" x14ac:dyDescent="0.3">
      <c r="A100" s="517"/>
      <c r="B100" s="618" t="s">
        <v>447</v>
      </c>
      <c r="C100" s="619"/>
      <c r="D100" s="619"/>
      <c r="E100" s="547" t="str">
        <f>IF(Invoerblad!H111=0,"-",Invoerblad!H111)</f>
        <v>-</v>
      </c>
      <c r="F100" s="548" t="s">
        <v>439</v>
      </c>
      <c r="G100" s="524"/>
    </row>
    <row r="101" spans="1:7" x14ac:dyDescent="0.25">
      <c r="B101" s="507"/>
      <c r="C101" s="507"/>
      <c r="D101" s="507"/>
      <c r="E101" s="507"/>
      <c r="F101" s="507"/>
    </row>
  </sheetData>
  <customSheetViews>
    <customSheetView guid="{D98A0717-74D0-4F54-BB8F-A337A1A9E4DF}" fitToPage="1" showRuler="0">
      <pageMargins left="0.75" right="0.75" top="1" bottom="1" header="0.5" footer="0.5"/>
      <pageSetup paperSize="9" scale="66" orientation="landscape"/>
      <headerFooter alignWithMargins="0"/>
    </customSheetView>
    <customSheetView guid="{5D986420-B83B-47C8-8160-784F77FFC196}" fitToPage="1" showRuler="0">
      <pageMargins left="0.75" right="0.75" top="1" bottom="1" header="0.5" footer="0.5"/>
      <pageSetup paperSize="9" scale="66" orientation="landscape"/>
      <headerFooter alignWithMargins="0"/>
    </customSheetView>
    <customSheetView guid="{C9029B8D-126A-43F1-8BE9-BB8A7DE12FBF}" fitToPage="1" showRuler="0">
      <pageMargins left="0.75" right="0.75" top="1" bottom="1" header="0.5" footer="0.5"/>
      <pageSetup paperSize="9" scale="66" orientation="landscape"/>
      <headerFooter alignWithMargins="0"/>
    </customSheetView>
    <customSheetView guid="{4284377C-91E6-4152-887E-8DA87560FDD6}" fitToPage="1" showRuler="0">
      <pageMargins left="0.75" right="0.75" top="1" bottom="1" header="0.5" footer="0.5"/>
      <pageSetup paperSize="9" scale="66" orientation="landscape"/>
      <headerFooter alignWithMargins="0"/>
    </customSheetView>
    <customSheetView guid="{546B9E27-05F9-47A7-B161-BCC56D613799}" fitToPage="1" showRuler="0">
      <pageMargins left="0.75" right="0.75" top="1" bottom="1" header="0.5" footer="0.5"/>
      <pageSetup paperSize="9" scale="66" orientation="landscape"/>
      <headerFooter alignWithMargins="0"/>
    </customSheetView>
  </customSheetViews>
  <mergeCells count="43">
    <mergeCell ref="B93:D93"/>
    <mergeCell ref="B88:D88"/>
    <mergeCell ref="B89:D89"/>
    <mergeCell ref="B100:D100"/>
    <mergeCell ref="B97:D97"/>
    <mergeCell ref="B98:D98"/>
    <mergeCell ref="B99:D99"/>
    <mergeCell ref="B95:D95"/>
    <mergeCell ref="B96:D96"/>
    <mergeCell ref="B94:D94"/>
    <mergeCell ref="B90:D90"/>
    <mergeCell ref="B91:D91"/>
    <mergeCell ref="B92:D92"/>
    <mergeCell ref="B83:D83"/>
    <mergeCell ref="B84:D84"/>
    <mergeCell ref="B87:D87"/>
    <mergeCell ref="B79:D79"/>
    <mergeCell ref="B80:D80"/>
    <mergeCell ref="B81:D81"/>
    <mergeCell ref="B82:D82"/>
    <mergeCell ref="B85:D85"/>
    <mergeCell ref="B86:D86"/>
    <mergeCell ref="B78:D78"/>
    <mergeCell ref="B67:D67"/>
    <mergeCell ref="B68:D68"/>
    <mergeCell ref="B69:D69"/>
    <mergeCell ref="B70:D70"/>
    <mergeCell ref="B71:D71"/>
    <mergeCell ref="B76:D76"/>
    <mergeCell ref="B75:D75"/>
    <mergeCell ref="B73:D73"/>
    <mergeCell ref="B74:D74"/>
    <mergeCell ref="B77:D77"/>
    <mergeCell ref="B63:D63"/>
    <mergeCell ref="B64:D64"/>
    <mergeCell ref="B62:D62"/>
    <mergeCell ref="B72:D72"/>
    <mergeCell ref="B58:D58"/>
    <mergeCell ref="B59:D59"/>
    <mergeCell ref="B60:D60"/>
    <mergeCell ref="B61:D61"/>
    <mergeCell ref="B65:D65"/>
    <mergeCell ref="B66:D66"/>
  </mergeCells>
  <phoneticPr fontId="34" type="noConversion"/>
  <pageMargins left="0.75" right="0.75" top="1" bottom="1" header="0.5" footer="0.5"/>
  <pageSetup paperSize="9" scale="66"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4:R46"/>
  <sheetViews>
    <sheetView workbookViewId="0">
      <selection activeCell="J9" sqref="J9:J11"/>
    </sheetView>
  </sheetViews>
  <sheetFormatPr defaultColWidth="9.33203125" defaultRowHeight="13.2" x14ac:dyDescent="0.25"/>
  <cols>
    <col min="1" max="1" width="6.6640625" style="567" customWidth="1"/>
    <col min="2" max="2" width="44.6640625" style="567" bestFit="1" customWidth="1"/>
    <col min="3" max="3" width="30" style="566" customWidth="1"/>
    <col min="4" max="4" width="38.77734375" style="566" bestFit="1" customWidth="1"/>
    <col min="5" max="8" width="9.33203125" style="567"/>
    <col min="9" max="9" width="16" style="567" bestFit="1" customWidth="1"/>
    <col min="10" max="10" width="25.33203125" style="567" customWidth="1"/>
    <col min="11" max="18" width="12" style="567" bestFit="1" customWidth="1"/>
    <col min="19" max="16384" width="9.33203125" style="567"/>
  </cols>
  <sheetData>
    <row r="4" spans="2:18" x14ac:dyDescent="0.25">
      <c r="B4" s="564" t="s">
        <v>480</v>
      </c>
      <c r="C4" s="565">
        <v>0.02</v>
      </c>
    </row>
    <row r="7" spans="2:18" ht="13.8" thickBot="1" x14ac:dyDescent="0.3">
      <c r="J7" s="567" t="s">
        <v>497</v>
      </c>
    </row>
    <row r="8" spans="2:18" ht="13.8" thickBot="1" x14ac:dyDescent="0.3">
      <c r="B8" s="568" t="s">
        <v>422</v>
      </c>
      <c r="C8" s="620" t="s">
        <v>481</v>
      </c>
      <c r="D8" s="621"/>
      <c r="K8" s="587" t="s">
        <v>490</v>
      </c>
      <c r="L8" s="587" t="s">
        <v>491</v>
      </c>
      <c r="M8" s="587" t="s">
        <v>492</v>
      </c>
      <c r="N8" s="587" t="s">
        <v>493</v>
      </c>
      <c r="O8" s="587" t="s">
        <v>494</v>
      </c>
      <c r="P8" s="587" t="s">
        <v>495</v>
      </c>
      <c r="Q8" s="587" t="s">
        <v>506</v>
      </c>
      <c r="R8" s="587" t="s">
        <v>507</v>
      </c>
    </row>
    <row r="9" spans="2:18" x14ac:dyDescent="0.25">
      <c r="B9" s="569"/>
      <c r="C9" s="570"/>
      <c r="D9" s="570"/>
      <c r="J9" s="568" t="s">
        <v>510</v>
      </c>
      <c r="K9" s="585">
        <v>25800</v>
      </c>
      <c r="L9" s="585">
        <v>15300</v>
      </c>
      <c r="M9" s="585">
        <v>15300</v>
      </c>
      <c r="N9" s="585">
        <v>15300</v>
      </c>
      <c r="O9" s="585">
        <v>15300</v>
      </c>
      <c r="P9" s="586">
        <v>12400</v>
      </c>
      <c r="Q9" s="586">
        <v>12400</v>
      </c>
      <c r="R9" s="586">
        <v>12300</v>
      </c>
    </row>
    <row r="10" spans="2:18" x14ac:dyDescent="0.25">
      <c r="B10" s="568" t="s">
        <v>510</v>
      </c>
      <c r="C10" s="568"/>
      <c r="D10" s="572"/>
      <c r="J10" s="568" t="s">
        <v>511</v>
      </c>
      <c r="K10" s="585">
        <v>25800</v>
      </c>
      <c r="L10" s="585">
        <v>15300</v>
      </c>
      <c r="M10" s="585">
        <v>15300</v>
      </c>
      <c r="N10" s="585">
        <v>15300</v>
      </c>
      <c r="O10" s="585">
        <v>15300</v>
      </c>
      <c r="P10" s="585">
        <v>12400</v>
      </c>
      <c r="Q10" s="585">
        <v>12400</v>
      </c>
      <c r="R10" s="585">
        <v>12300</v>
      </c>
    </row>
    <row r="11" spans="2:18" x14ac:dyDescent="0.25">
      <c r="B11" s="573">
        <v>2011</v>
      </c>
      <c r="C11" s="574">
        <v>25800</v>
      </c>
      <c r="D11" s="574">
        <v>11</v>
      </c>
      <c r="J11" s="568" t="s">
        <v>512</v>
      </c>
      <c r="K11" s="585"/>
      <c r="L11" s="585"/>
      <c r="M11" s="585">
        <v>15300</v>
      </c>
      <c r="N11" s="585">
        <v>15300</v>
      </c>
      <c r="O11" s="585">
        <v>15300</v>
      </c>
      <c r="P11" s="585">
        <v>12400</v>
      </c>
      <c r="Q11" s="585">
        <v>12400</v>
      </c>
      <c r="R11" s="585">
        <v>24000</v>
      </c>
    </row>
    <row r="12" spans="2:18" x14ac:dyDescent="0.25">
      <c r="B12" s="573">
        <v>2012</v>
      </c>
      <c r="C12" s="574">
        <v>15300</v>
      </c>
      <c r="D12" s="574">
        <v>10</v>
      </c>
      <c r="J12" s="568"/>
      <c r="K12" s="585"/>
      <c r="L12" s="585"/>
      <c r="M12" s="585"/>
      <c r="N12" s="585"/>
      <c r="O12" s="585"/>
      <c r="P12" s="585"/>
      <c r="Q12" s="585"/>
      <c r="R12" s="585"/>
    </row>
    <row r="13" spans="2:18" x14ac:dyDescent="0.25">
      <c r="B13" s="573">
        <v>2013</v>
      </c>
      <c r="C13" s="574">
        <v>15300</v>
      </c>
      <c r="D13" s="574">
        <v>16.3</v>
      </c>
      <c r="J13" s="568"/>
      <c r="K13" s="585"/>
      <c r="L13" s="585"/>
      <c r="M13" s="585"/>
      <c r="N13" s="585"/>
      <c r="O13" s="585"/>
      <c r="P13" s="585"/>
      <c r="Q13" s="585"/>
      <c r="R13" s="585"/>
    </row>
    <row r="14" spans="2:18" x14ac:dyDescent="0.25">
      <c r="B14" s="573">
        <v>2014</v>
      </c>
      <c r="C14" s="574">
        <v>15300</v>
      </c>
      <c r="D14" s="574">
        <v>14.8</v>
      </c>
    </row>
    <row r="15" spans="2:18" ht="13.8" thickBot="1" x14ac:dyDescent="0.3">
      <c r="B15" s="576"/>
      <c r="C15" s="571"/>
      <c r="D15" s="571"/>
      <c r="J15" s="567" t="s">
        <v>496</v>
      </c>
    </row>
    <row r="16" spans="2:18" ht="13.8" thickBot="1" x14ac:dyDescent="0.3">
      <c r="B16" s="568" t="s">
        <v>511</v>
      </c>
      <c r="C16" s="568"/>
      <c r="D16" s="572"/>
      <c r="K16" s="587" t="s">
        <v>490</v>
      </c>
      <c r="L16" s="587" t="s">
        <v>491</v>
      </c>
      <c r="M16" s="587" t="s">
        <v>492</v>
      </c>
      <c r="N16" s="587" t="s">
        <v>493</v>
      </c>
      <c r="O16" s="587" t="s">
        <v>494</v>
      </c>
      <c r="P16" s="587" t="s">
        <v>495</v>
      </c>
      <c r="Q16" s="587" t="s">
        <v>506</v>
      </c>
      <c r="R16" s="587" t="s">
        <v>507</v>
      </c>
    </row>
    <row r="17" spans="2:18" x14ac:dyDescent="0.25">
      <c r="B17" s="573">
        <v>2011</v>
      </c>
      <c r="C17" s="574">
        <v>25800</v>
      </c>
      <c r="D17" s="574">
        <v>9.5</v>
      </c>
      <c r="J17" s="568" t="s">
        <v>510</v>
      </c>
      <c r="K17" s="585">
        <v>11</v>
      </c>
      <c r="L17" s="585">
        <v>10</v>
      </c>
      <c r="M17" s="585">
        <v>16.3</v>
      </c>
      <c r="N17" s="585">
        <v>14.8</v>
      </c>
      <c r="O17" s="585">
        <v>14.3</v>
      </c>
      <c r="P17" s="586">
        <v>13.9</v>
      </c>
      <c r="Q17" s="586">
        <v>16.600000000000001</v>
      </c>
      <c r="R17" s="586">
        <v>12.2</v>
      </c>
    </row>
    <row r="18" spans="2:18" x14ac:dyDescent="0.25">
      <c r="B18" s="573">
        <v>2012</v>
      </c>
      <c r="C18" s="574">
        <v>15300</v>
      </c>
      <c r="D18" s="574">
        <v>10</v>
      </c>
      <c r="J18" s="568" t="s">
        <v>511</v>
      </c>
      <c r="K18" s="585">
        <v>9.5</v>
      </c>
      <c r="L18" s="585">
        <v>10</v>
      </c>
      <c r="M18" s="585">
        <v>14.8</v>
      </c>
      <c r="N18" s="585">
        <v>14.8</v>
      </c>
      <c r="O18" s="585">
        <v>14.3</v>
      </c>
      <c r="P18" s="585">
        <v>13.9</v>
      </c>
      <c r="Q18" s="585">
        <v>16.600000000000001</v>
      </c>
      <c r="R18" s="585">
        <v>12.2</v>
      </c>
    </row>
    <row r="19" spans="2:18" x14ac:dyDescent="0.25">
      <c r="B19" s="573">
        <v>2013</v>
      </c>
      <c r="C19" s="574">
        <v>15300</v>
      </c>
      <c r="D19" s="574">
        <v>14.8</v>
      </c>
      <c r="J19" s="568" t="s">
        <v>512</v>
      </c>
      <c r="K19" s="585"/>
      <c r="L19" s="585"/>
      <c r="M19" s="585">
        <v>22.3</v>
      </c>
      <c r="N19" s="585">
        <v>21.8</v>
      </c>
      <c r="O19" s="585">
        <v>21.3</v>
      </c>
      <c r="P19" s="585">
        <v>20.9</v>
      </c>
      <c r="Q19" s="585">
        <v>23.6</v>
      </c>
      <c r="R19" s="585">
        <v>14.7</v>
      </c>
    </row>
    <row r="20" spans="2:18" x14ac:dyDescent="0.25">
      <c r="B20" s="573">
        <v>2014</v>
      </c>
      <c r="C20" s="574">
        <v>15300</v>
      </c>
      <c r="D20" s="574">
        <v>14.8</v>
      </c>
      <c r="E20" s="575"/>
      <c r="J20" s="568"/>
      <c r="K20" s="585"/>
      <c r="L20" s="585"/>
      <c r="M20" s="585"/>
      <c r="N20" s="585"/>
      <c r="O20" s="585"/>
      <c r="P20" s="585"/>
      <c r="Q20" s="585"/>
      <c r="R20" s="585"/>
    </row>
    <row r="21" spans="2:18" x14ac:dyDescent="0.25">
      <c r="B21" s="576"/>
      <c r="C21" s="571"/>
      <c r="D21" s="571"/>
      <c r="J21" s="568"/>
      <c r="K21" s="585"/>
      <c r="L21" s="585"/>
      <c r="M21" s="585"/>
      <c r="N21" s="585"/>
      <c r="O21" s="585"/>
      <c r="P21" s="585"/>
      <c r="Q21" s="585"/>
      <c r="R21" s="585"/>
    </row>
    <row r="22" spans="2:18" x14ac:dyDescent="0.25">
      <c r="B22" s="568" t="s">
        <v>512</v>
      </c>
      <c r="C22" s="568"/>
      <c r="D22" s="572"/>
    </row>
    <row r="23" spans="2:18" x14ac:dyDescent="0.25">
      <c r="B23" s="573">
        <v>2011</v>
      </c>
      <c r="C23" s="574"/>
      <c r="D23" s="574"/>
    </row>
    <row r="24" spans="2:18" x14ac:dyDescent="0.25">
      <c r="B24" s="573">
        <v>2012</v>
      </c>
      <c r="C24" s="574"/>
      <c r="D24" s="574"/>
    </row>
    <row r="25" spans="2:18" x14ac:dyDescent="0.25">
      <c r="B25" s="573">
        <v>2013</v>
      </c>
      <c r="C25" s="574">
        <v>15300</v>
      </c>
      <c r="D25" s="574">
        <v>22.3</v>
      </c>
    </row>
    <row r="26" spans="2:18" x14ac:dyDescent="0.25">
      <c r="B26" s="573">
        <v>2014</v>
      </c>
      <c r="C26" s="574">
        <v>15300</v>
      </c>
      <c r="D26" s="574">
        <v>21.8</v>
      </c>
      <c r="E26" s="575"/>
      <c r="I26" s="567" t="s">
        <v>498</v>
      </c>
      <c r="J26" s="567">
        <f>SUMPRODUCT((J9:J12=Invoerblad!E9)*(Stamblad!K8:P8=LEFT(Invoerblad!E8,5))*Stamblad!K9:P12)</f>
        <v>0</v>
      </c>
    </row>
    <row r="27" spans="2:18" x14ac:dyDescent="0.25">
      <c r="B27" s="573"/>
      <c r="C27" s="574"/>
      <c r="D27" s="574"/>
      <c r="I27" s="567" t="s">
        <v>499</v>
      </c>
      <c r="J27" s="567">
        <f>SUMPRODUCT((J17:J21=Invoerblad!E9)*(Stamblad!K16:P16=LEFT(Invoerblad!E8,5))*Stamblad!K17:P21)</f>
        <v>0</v>
      </c>
    </row>
    <row r="28" spans="2:18" x14ac:dyDescent="0.25">
      <c r="B28" s="576"/>
      <c r="C28" s="571"/>
      <c r="D28" s="571"/>
    </row>
    <row r="29" spans="2:18" x14ac:dyDescent="0.25">
      <c r="B29" s="568"/>
      <c r="C29" s="568"/>
      <c r="D29" s="572"/>
    </row>
    <row r="30" spans="2:18" x14ac:dyDescent="0.25">
      <c r="B30" s="573"/>
      <c r="C30" s="574"/>
      <c r="D30" s="574"/>
    </row>
    <row r="31" spans="2:18" x14ac:dyDescent="0.25">
      <c r="B31" s="573"/>
      <c r="C31" s="574"/>
      <c r="D31" s="574"/>
    </row>
    <row r="32" spans="2:18" x14ac:dyDescent="0.25">
      <c r="B32" s="573"/>
      <c r="C32" s="574"/>
      <c r="D32" s="574"/>
    </row>
    <row r="33" spans="2:4" x14ac:dyDescent="0.25">
      <c r="B33" s="573"/>
      <c r="C33" s="574"/>
      <c r="D33" s="574"/>
    </row>
    <row r="34" spans="2:4" x14ac:dyDescent="0.25">
      <c r="B34" s="576"/>
      <c r="C34" s="574"/>
      <c r="D34" s="574"/>
    </row>
    <row r="35" spans="2:4" x14ac:dyDescent="0.25">
      <c r="B35" s="576"/>
      <c r="C35" s="574"/>
      <c r="D35" s="574"/>
    </row>
    <row r="36" spans="2:4" x14ac:dyDescent="0.25">
      <c r="B36" s="576"/>
      <c r="C36" s="574"/>
      <c r="D36" s="574"/>
    </row>
    <row r="37" spans="2:4" x14ac:dyDescent="0.25">
      <c r="B37" s="576"/>
      <c r="C37" s="574"/>
      <c r="D37" s="574"/>
    </row>
    <row r="38" spans="2:4" x14ac:dyDescent="0.25">
      <c r="B38" s="576"/>
      <c r="C38" s="571"/>
      <c r="D38" s="571"/>
    </row>
    <row r="39" spans="2:4" x14ac:dyDescent="0.25">
      <c r="B39" s="576"/>
      <c r="C39" s="571"/>
      <c r="D39" s="571"/>
    </row>
    <row r="40" spans="2:4" x14ac:dyDescent="0.25">
      <c r="B40" s="576"/>
      <c r="C40" s="571"/>
      <c r="D40" s="571"/>
    </row>
    <row r="41" spans="2:4" x14ac:dyDescent="0.25">
      <c r="B41" s="576"/>
      <c r="C41" s="571"/>
      <c r="D41" s="571"/>
    </row>
    <row r="42" spans="2:4" x14ac:dyDescent="0.25">
      <c r="B42" s="576"/>
      <c r="C42" s="571"/>
      <c r="D42" s="571"/>
    </row>
    <row r="43" spans="2:4" x14ac:dyDescent="0.25">
      <c r="B43" s="576"/>
      <c r="C43" s="571"/>
      <c r="D43" s="571"/>
    </row>
    <row r="44" spans="2:4" x14ac:dyDescent="0.25">
      <c r="B44" s="576"/>
      <c r="C44" s="571"/>
      <c r="D44" s="571"/>
    </row>
    <row r="45" spans="2:4" x14ac:dyDescent="0.25">
      <c r="B45" s="576"/>
      <c r="C45" s="571"/>
      <c r="D45" s="571"/>
    </row>
    <row r="46" spans="2:4" x14ac:dyDescent="0.25">
      <c r="B46" s="577"/>
      <c r="C46" s="578"/>
      <c r="D46" s="578"/>
    </row>
  </sheetData>
  <mergeCells count="1">
    <mergeCell ref="C8:D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dimension ref="B1:Y80"/>
  <sheetViews>
    <sheetView zoomScale="75" workbookViewId="0">
      <selection activeCell="J18" sqref="J18"/>
    </sheetView>
  </sheetViews>
  <sheetFormatPr defaultRowHeight="13.2" x14ac:dyDescent="0.25"/>
  <cols>
    <col min="1" max="1" width="6.44140625" customWidth="1"/>
    <col min="2" max="2" width="45.33203125" customWidth="1"/>
    <col min="3" max="6" width="2.77734375" customWidth="1"/>
    <col min="7" max="7" width="18.77734375" bestFit="1" customWidth="1"/>
    <col min="8" max="8" width="16.33203125" bestFit="1" customWidth="1"/>
    <col min="9" max="9" width="15.44140625" bestFit="1" customWidth="1"/>
    <col min="10" max="10" width="15.6640625" bestFit="1" customWidth="1"/>
    <col min="11" max="12" width="15.109375" bestFit="1" customWidth="1"/>
    <col min="13" max="13" width="20.44140625" bestFit="1" customWidth="1"/>
    <col min="14" max="14" width="16" bestFit="1" customWidth="1"/>
    <col min="15" max="15" width="16.33203125" bestFit="1" customWidth="1"/>
    <col min="16" max="16" width="15.6640625" bestFit="1" customWidth="1"/>
    <col min="17" max="18" width="16" bestFit="1" customWidth="1"/>
    <col min="19" max="19" width="15.6640625" bestFit="1" customWidth="1"/>
    <col min="20" max="21" width="14.33203125" bestFit="1" customWidth="1"/>
    <col min="22" max="24" width="13.77734375" customWidth="1"/>
  </cols>
  <sheetData>
    <row r="1" spans="2:25" ht="13.8" x14ac:dyDescent="0.25">
      <c r="C1" s="26"/>
      <c r="D1" s="26"/>
      <c r="E1" s="26"/>
    </row>
    <row r="2" spans="2:25" ht="13.8" x14ac:dyDescent="0.25">
      <c r="B2" s="2" t="s">
        <v>32</v>
      </c>
      <c r="D2" s="85"/>
      <c r="E2" s="26"/>
      <c r="F2" s="26"/>
      <c r="G2" s="85" t="s">
        <v>189</v>
      </c>
      <c r="H2" s="26"/>
      <c r="I2" s="26"/>
      <c r="J2" s="26"/>
      <c r="K2" s="26"/>
      <c r="L2" s="26"/>
      <c r="M2" s="26"/>
      <c r="N2" s="26"/>
      <c r="O2" s="26"/>
      <c r="P2" s="26"/>
      <c r="Q2" s="26"/>
      <c r="R2" s="26"/>
    </row>
    <row r="3" spans="2:25" ht="13.8" x14ac:dyDescent="0.25">
      <c r="B3" s="11"/>
      <c r="C3" s="26"/>
      <c r="D3" s="26"/>
      <c r="E3" s="26"/>
      <c r="F3" s="150"/>
      <c r="G3" s="2">
        <v>1</v>
      </c>
      <c r="H3" s="2">
        <v>2</v>
      </c>
      <c r="I3" s="2">
        <v>3</v>
      </c>
      <c r="J3" s="2">
        <v>4</v>
      </c>
      <c r="K3" s="2">
        <v>5</v>
      </c>
      <c r="L3" s="2">
        <v>6</v>
      </c>
      <c r="M3" s="2">
        <v>7</v>
      </c>
      <c r="N3" s="2">
        <v>8</v>
      </c>
      <c r="O3" s="2">
        <v>9</v>
      </c>
      <c r="P3" s="2">
        <v>10</v>
      </c>
      <c r="Q3" s="2">
        <v>11</v>
      </c>
      <c r="R3" s="2">
        <v>12</v>
      </c>
      <c r="S3" s="2">
        <v>13</v>
      </c>
      <c r="T3" s="2">
        <v>14</v>
      </c>
      <c r="U3" s="2">
        <v>15</v>
      </c>
      <c r="V3" s="2">
        <v>16</v>
      </c>
      <c r="W3" s="2">
        <v>17</v>
      </c>
      <c r="X3" s="2">
        <v>18</v>
      </c>
    </row>
    <row r="4" spans="2:25" ht="13.8" x14ac:dyDescent="0.25">
      <c r="B4" t="s">
        <v>9</v>
      </c>
      <c r="C4" s="26"/>
      <c r="D4" s="26"/>
      <c r="E4" s="26"/>
      <c r="G4" s="7">
        <f>+Invoerblad!K91+Invoerblad!K30+Invoerblad!K92+Invoerblad!K93</f>
        <v>0</v>
      </c>
      <c r="H4" s="7">
        <f>+Invoerblad!L91+Invoerblad!L30+Invoerblad!L92+Invoerblad!L93</f>
        <v>0</v>
      </c>
      <c r="I4" s="7">
        <f>+Invoerblad!M91+Invoerblad!M30+Invoerblad!M92+Invoerblad!M93</f>
        <v>0</v>
      </c>
      <c r="J4" s="7">
        <f>+Invoerblad!N91+Invoerblad!N30+Invoerblad!N92+Invoerblad!N93</f>
        <v>0</v>
      </c>
      <c r="K4" s="7">
        <f>+Invoerblad!O91+Invoerblad!O30+Invoerblad!O92+Invoerblad!O93</f>
        <v>0</v>
      </c>
      <c r="L4" s="7">
        <f>+Invoerblad!P91+Invoerblad!P30+Invoerblad!P92+Invoerblad!P93</f>
        <v>0</v>
      </c>
      <c r="M4" s="7">
        <f>+Invoerblad!Q91+Invoerblad!Q30+Invoerblad!Q92+Invoerblad!Q93</f>
        <v>0</v>
      </c>
      <c r="N4" s="7">
        <f>+Invoerblad!R91+Invoerblad!R30+Invoerblad!R92+Invoerblad!R93</f>
        <v>0</v>
      </c>
      <c r="O4" s="7">
        <f>+Invoerblad!S91+Invoerblad!S30+Invoerblad!S92+Invoerblad!S93</f>
        <v>0</v>
      </c>
      <c r="P4" s="7">
        <f>+Invoerblad!T91+Invoerblad!T30+Invoerblad!T92+Invoerblad!T93</f>
        <v>0</v>
      </c>
      <c r="Q4" s="7">
        <f>+Invoerblad!U91+Invoerblad!U30+Invoerblad!U92+Invoerblad!U93</f>
        <v>0</v>
      </c>
      <c r="R4" s="7">
        <f>+Invoerblad!V91+Invoerblad!V30+Invoerblad!V92+Invoerblad!V93</f>
        <v>0</v>
      </c>
      <c r="S4" s="7">
        <f>+Invoerblad!W91+Invoerblad!W30+Invoerblad!W92+Invoerblad!W93</f>
        <v>0</v>
      </c>
      <c r="T4" s="7">
        <f>+Invoerblad!X91+Invoerblad!X30+Invoerblad!X92+Invoerblad!X93</f>
        <v>0</v>
      </c>
      <c r="U4" s="7">
        <f>+Invoerblad!Y91+Invoerblad!Y30+Invoerblad!Y92+Invoerblad!Y93</f>
        <v>0</v>
      </c>
      <c r="V4" s="7">
        <f>+Invoerblad!Z91+Invoerblad!Z30+Invoerblad!Z92+Invoerblad!Z93</f>
        <v>0</v>
      </c>
      <c r="W4" s="7">
        <f>+Invoerblad!AA91+Invoerblad!AA30+Invoerblad!AA92+Invoerblad!AA93</f>
        <v>0</v>
      </c>
      <c r="X4" s="7">
        <f>+Invoerblad!AB91+Invoerblad!AB30+Invoerblad!AB92+Invoerblad!AB93</f>
        <v>0</v>
      </c>
    </row>
    <row r="5" spans="2:25" ht="13.8" x14ac:dyDescent="0.25">
      <c r="B5" s="143" t="s">
        <v>8</v>
      </c>
      <c r="C5" s="26"/>
      <c r="D5" s="26"/>
      <c r="E5" s="26"/>
      <c r="F5" s="150"/>
      <c r="G5" s="208">
        <f>1/POWER(1+Invoerblad!$E$75,G3)*'Hulpberekeningen 2'!$E$36*'Hulpberekeningen 2'!$E$43*G4*'Hulpberekeningen 2'!$E$54</f>
        <v>0</v>
      </c>
      <c r="H5" s="208">
        <f>1/POWER(1+Invoerblad!$E$75,H3)*'Hulpberekeningen 2'!$E$36*'Hulpberekeningen 2'!$E$43*H4*'Hulpberekeningen 2'!$E$54</f>
        <v>0</v>
      </c>
      <c r="I5" s="208">
        <f>1/POWER(1+Invoerblad!$E$75,I3)*'Hulpberekeningen 2'!$E$36*'Hulpberekeningen 2'!$E$43*I4*'Hulpberekeningen 2'!$E$54</f>
        <v>0</v>
      </c>
      <c r="J5" s="208">
        <f>1/POWER(1+Invoerblad!$E$75,J3)*'Hulpberekeningen 2'!$E$36*'Hulpberekeningen 2'!$E$43*J4*'Hulpberekeningen 2'!$E$54</f>
        <v>0</v>
      </c>
      <c r="K5" s="208">
        <f>1/POWER(1+Invoerblad!$E$75,K3)*'Hulpberekeningen 2'!$E$36*'Hulpberekeningen 2'!$E$43*K4*'Hulpberekeningen 2'!$E$54</f>
        <v>0</v>
      </c>
      <c r="L5" s="208">
        <f>1/POWER(1+Invoerblad!$E$75,L3)*'Hulpberekeningen 2'!$E$36*'Hulpberekeningen 2'!$E$43*L4*'Hulpberekeningen 2'!$E$54</f>
        <v>0</v>
      </c>
      <c r="M5" s="208">
        <f>1/POWER(1+Invoerblad!$E$75,M3)*'Hulpberekeningen 2'!$E$36*'Hulpberekeningen 2'!$E$43*M4*'Hulpberekeningen 2'!$E$54</f>
        <v>0</v>
      </c>
      <c r="N5" s="208">
        <f>1/POWER(1+Invoerblad!$E$75,N3)*'Hulpberekeningen 2'!$E$36*'Hulpberekeningen 2'!$E$43*N4*'Hulpberekeningen 2'!$E$54</f>
        <v>0</v>
      </c>
      <c r="O5" s="208">
        <f>1/POWER(1+Invoerblad!$E$75,O3)*'Hulpberekeningen 2'!$E$36*'Hulpberekeningen 2'!$E$43*O4*'Hulpberekeningen 2'!$E$54</f>
        <v>0</v>
      </c>
      <c r="P5" s="208">
        <f>1/POWER(1+Invoerblad!$E$75,P3)*'Hulpberekeningen 2'!$E$36*'Hulpberekeningen 2'!$E$43*P4*'Hulpberekeningen 2'!$E$54</f>
        <v>0</v>
      </c>
      <c r="Q5" s="208">
        <f>1/POWER(1+Invoerblad!$E$75,Q3)*'Hulpberekeningen 2'!$E$36*'Hulpberekeningen 2'!$E$43*Q4*'Hulpberekeningen 2'!$E$54</f>
        <v>0</v>
      </c>
      <c r="R5" s="208">
        <f>1/POWER(1+Invoerblad!$E$75,R3)*'Hulpberekeningen 2'!$E$36*'Hulpberekeningen 2'!$E$43*R4*'Hulpberekeningen 2'!$E$54</f>
        <v>0</v>
      </c>
      <c r="S5" s="208">
        <f>1/POWER(1+Invoerblad!$E$75,S3)*'Hulpberekeningen 2'!$E$36*'Hulpberekeningen 2'!$E$43*S4*'Hulpberekeningen 2'!$E$54</f>
        <v>0</v>
      </c>
      <c r="T5" s="208">
        <f>1/POWER(1+Invoerblad!$E$75,T3)*'Hulpberekeningen 2'!$E$36*'Hulpberekeningen 2'!$E$43*T4*'Hulpberekeningen 2'!$E$54</f>
        <v>0</v>
      </c>
      <c r="U5" s="208">
        <f>1/POWER(1+Invoerblad!$E$75,U3)*'Hulpberekeningen 2'!$E$36*'Hulpberekeningen 2'!$E$43*U4*'Hulpberekeningen 2'!$E$54</f>
        <v>0</v>
      </c>
      <c r="V5" s="208">
        <f>1/POWER(1+Invoerblad!$E$75,V3)*'Hulpberekeningen 2'!$E$36*'Hulpberekeningen 2'!$E$43*V4*'Hulpberekeningen 2'!$E$54</f>
        <v>0</v>
      </c>
      <c r="W5" s="208">
        <f>1/POWER(1+Invoerblad!$E$75,W3)*'Hulpberekeningen 2'!$E$36*'Hulpberekeningen 2'!$E$43*W4*'Hulpberekeningen 2'!$E$54</f>
        <v>0</v>
      </c>
      <c r="X5" s="208">
        <f>1/POWER(1+Invoerblad!$E$75,X3)*'Hulpberekeningen 2'!$E$36*'Hulpberekeningen 2'!$E$43*X4*'Hulpberekeningen 2'!$E$54</f>
        <v>0</v>
      </c>
    </row>
    <row r="6" spans="2:25" ht="13.8" x14ac:dyDescent="0.25">
      <c r="B6" s="14"/>
      <c r="C6" s="26"/>
      <c r="D6" s="26"/>
      <c r="E6" s="26"/>
      <c r="F6" s="150"/>
      <c r="G6" s="8">
        <f>+H6+G5</f>
        <v>0</v>
      </c>
      <c r="H6" s="8">
        <f t="shared" ref="H6:R6" si="0">+I6+H5</f>
        <v>0</v>
      </c>
      <c r="I6" s="8">
        <f t="shared" si="0"/>
        <v>0</v>
      </c>
      <c r="J6" s="8">
        <f t="shared" si="0"/>
        <v>0</v>
      </c>
      <c r="K6" s="8">
        <f t="shared" si="0"/>
        <v>0</v>
      </c>
      <c r="L6" s="8">
        <f t="shared" si="0"/>
        <v>0</v>
      </c>
      <c r="M6" s="8">
        <f t="shared" si="0"/>
        <v>0</v>
      </c>
      <c r="N6" s="8">
        <f t="shared" si="0"/>
        <v>0</v>
      </c>
      <c r="O6" s="8">
        <f t="shared" si="0"/>
        <v>0</v>
      </c>
      <c r="P6" s="8">
        <f t="shared" si="0"/>
        <v>0</v>
      </c>
      <c r="Q6" s="8">
        <f t="shared" si="0"/>
        <v>0</v>
      </c>
      <c r="R6" s="8">
        <f t="shared" si="0"/>
        <v>0</v>
      </c>
      <c r="S6" s="8">
        <f t="shared" ref="S6:X6" si="1">+T6+S5</f>
        <v>0</v>
      </c>
      <c r="T6" s="8">
        <f t="shared" si="1"/>
        <v>0</v>
      </c>
      <c r="U6" s="8">
        <f t="shared" si="1"/>
        <v>0</v>
      </c>
      <c r="V6" s="8">
        <f t="shared" si="1"/>
        <v>0</v>
      </c>
      <c r="W6" s="8">
        <f t="shared" si="1"/>
        <v>0</v>
      </c>
      <c r="X6" s="8">
        <f t="shared" si="1"/>
        <v>0</v>
      </c>
    </row>
    <row r="7" spans="2:25" ht="13.8" x14ac:dyDescent="0.25">
      <c r="B7" s="14"/>
      <c r="C7" s="26"/>
      <c r="D7" s="26"/>
      <c r="E7" s="26"/>
      <c r="F7" s="150"/>
      <c r="G7" s="8"/>
      <c r="H7" s="8"/>
      <c r="I7" s="8"/>
      <c r="J7" s="8"/>
      <c r="K7" s="8"/>
      <c r="L7" s="8"/>
      <c r="M7" s="8"/>
      <c r="N7" s="8"/>
      <c r="O7" s="8"/>
      <c r="P7" s="8"/>
      <c r="Q7" s="8"/>
      <c r="R7" s="8"/>
      <c r="S7" s="8"/>
    </row>
    <row r="8" spans="2:25" ht="13.8" x14ac:dyDescent="0.25">
      <c r="B8" s="14" t="s">
        <v>189</v>
      </c>
      <c r="C8" s="26"/>
      <c r="D8" s="26"/>
      <c r="E8" s="26"/>
      <c r="F8" s="150"/>
      <c r="G8" s="150">
        <v>17</v>
      </c>
      <c r="H8" s="8">
        <v>16</v>
      </c>
      <c r="I8" s="8">
        <v>15</v>
      </c>
      <c r="J8" s="8">
        <v>14</v>
      </c>
      <c r="K8" s="8">
        <v>13</v>
      </c>
      <c r="L8" s="8">
        <v>12</v>
      </c>
      <c r="M8" s="8">
        <v>11</v>
      </c>
      <c r="N8" s="8">
        <v>10</v>
      </c>
      <c r="O8" s="8">
        <v>9</v>
      </c>
      <c r="P8" s="8">
        <v>8</v>
      </c>
      <c r="Q8" s="8">
        <v>7</v>
      </c>
      <c r="R8" s="8">
        <v>6</v>
      </c>
      <c r="S8" s="8">
        <v>5</v>
      </c>
      <c r="T8" s="8">
        <v>4</v>
      </c>
      <c r="U8" s="8">
        <v>3</v>
      </c>
      <c r="V8" s="8">
        <v>2</v>
      </c>
      <c r="W8" s="8">
        <v>1</v>
      </c>
    </row>
    <row r="9" spans="2:25" ht="13.8" x14ac:dyDescent="0.25">
      <c r="B9" s="14" t="s">
        <v>10</v>
      </c>
      <c r="C9" s="26"/>
      <c r="D9" s="26"/>
      <c r="E9" s="26"/>
      <c r="F9" s="150"/>
      <c r="G9" s="560">
        <f>+W4+X4</f>
        <v>0</v>
      </c>
      <c r="H9" s="8">
        <f>+V4</f>
        <v>0</v>
      </c>
      <c r="I9" s="8">
        <f>+U4</f>
        <v>0</v>
      </c>
      <c r="J9" s="8">
        <f>+T4</f>
        <v>0</v>
      </c>
      <c r="K9" s="8">
        <f>+S4</f>
        <v>0</v>
      </c>
      <c r="L9" s="8">
        <f>+R4</f>
        <v>0</v>
      </c>
      <c r="M9" s="8">
        <f>+Q4</f>
        <v>0</v>
      </c>
      <c r="N9" s="8">
        <f>+P4</f>
        <v>0</v>
      </c>
      <c r="O9" s="8">
        <f>+O4</f>
        <v>0</v>
      </c>
      <c r="P9" s="8">
        <f>+N4</f>
        <v>0</v>
      </c>
      <c r="Q9" s="8">
        <f>+M4</f>
        <v>0</v>
      </c>
      <c r="R9" s="8">
        <f>+L4</f>
        <v>0</v>
      </c>
      <c r="S9" s="8">
        <f>+K4</f>
        <v>0</v>
      </c>
      <c r="T9" s="8">
        <f>+J4</f>
        <v>0</v>
      </c>
      <c r="U9" s="8">
        <f>+I4</f>
        <v>0</v>
      </c>
      <c r="V9" s="8">
        <f>+H4</f>
        <v>0</v>
      </c>
      <c r="W9" s="8">
        <f>+G4</f>
        <v>0</v>
      </c>
    </row>
    <row r="10" spans="2:25" ht="13.8" x14ac:dyDescent="0.25">
      <c r="B10" s="14" t="s">
        <v>11</v>
      </c>
      <c r="C10" s="26"/>
      <c r="D10" s="26"/>
      <c r="E10" s="26"/>
      <c r="F10" s="150"/>
      <c r="G10" s="560">
        <f>+G9</f>
        <v>0</v>
      </c>
      <c r="H10" s="8">
        <f>+G10+H9</f>
        <v>0</v>
      </c>
      <c r="I10" s="8">
        <f t="shared" ref="I10:T10" si="2">+H10+I9</f>
        <v>0</v>
      </c>
      <c r="J10" s="8">
        <f t="shared" si="2"/>
        <v>0</v>
      </c>
      <c r="K10" s="8">
        <f t="shared" si="2"/>
        <v>0</v>
      </c>
      <c r="L10" s="8">
        <f t="shared" si="2"/>
        <v>0</v>
      </c>
      <c r="M10" s="8">
        <f t="shared" si="2"/>
        <v>0</v>
      </c>
      <c r="N10" s="8">
        <f t="shared" si="2"/>
        <v>0</v>
      </c>
      <c r="O10" s="8">
        <f t="shared" si="2"/>
        <v>0</v>
      </c>
      <c r="P10" s="8">
        <f t="shared" si="2"/>
        <v>0</v>
      </c>
      <c r="Q10" s="8">
        <f t="shared" si="2"/>
        <v>0</v>
      </c>
      <c r="R10" s="8">
        <f t="shared" si="2"/>
        <v>0</v>
      </c>
      <c r="S10" s="8">
        <f t="shared" si="2"/>
        <v>0</v>
      </c>
      <c r="T10" s="8">
        <f t="shared" si="2"/>
        <v>0</v>
      </c>
      <c r="U10" s="8">
        <f>+T10+U9</f>
        <v>0</v>
      </c>
      <c r="V10" s="8">
        <f>+U10+V9</f>
        <v>0</v>
      </c>
      <c r="W10" s="8">
        <f>+V10+W9</f>
        <v>0</v>
      </c>
    </row>
    <row r="11" spans="2:25" ht="13.8" x14ac:dyDescent="0.25">
      <c r="B11" s="14" t="s">
        <v>12</v>
      </c>
      <c r="C11" s="26"/>
      <c r="D11" s="26"/>
      <c r="E11" s="26"/>
      <c r="F11" s="150"/>
      <c r="G11" s="560">
        <f>+W5+X5</f>
        <v>0</v>
      </c>
      <c r="H11" s="8">
        <f>+V5</f>
        <v>0</v>
      </c>
      <c r="I11" s="8">
        <f>+U5</f>
        <v>0</v>
      </c>
      <c r="J11" s="8">
        <f>+T5</f>
        <v>0</v>
      </c>
      <c r="K11" s="8">
        <f>+S5</f>
        <v>0</v>
      </c>
      <c r="L11" s="8">
        <f>+R5</f>
        <v>0</v>
      </c>
      <c r="M11" s="8">
        <f>+Q5</f>
        <v>0</v>
      </c>
      <c r="N11" s="8">
        <f>+P5</f>
        <v>0</v>
      </c>
      <c r="O11" s="8">
        <f>+O5</f>
        <v>0</v>
      </c>
      <c r="P11" s="8">
        <f>+N5</f>
        <v>0</v>
      </c>
      <c r="Q11" s="8">
        <f>+M5</f>
        <v>0</v>
      </c>
      <c r="R11" s="8">
        <f>+L5</f>
        <v>0</v>
      </c>
      <c r="S11" s="8">
        <f>+K5</f>
        <v>0</v>
      </c>
      <c r="T11" s="8">
        <f>+J5</f>
        <v>0</v>
      </c>
      <c r="U11" s="8">
        <f>+I5</f>
        <v>0</v>
      </c>
      <c r="V11" s="8">
        <f>+H5</f>
        <v>0</v>
      </c>
      <c r="W11" s="8">
        <f>+G5</f>
        <v>0</v>
      </c>
      <c r="Y11" s="8"/>
    </row>
    <row r="12" spans="2:25" ht="13.8" x14ac:dyDescent="0.25">
      <c r="B12" s="14" t="s">
        <v>13</v>
      </c>
      <c r="C12" s="26"/>
      <c r="D12" s="26"/>
      <c r="E12" s="26"/>
      <c r="F12" s="150"/>
      <c r="G12" s="560">
        <f>+G11</f>
        <v>0</v>
      </c>
      <c r="H12" s="86">
        <f>IF(G11&lt;'Overzicht MSK toets'!$E$51,SUM($G11:H11),0)</f>
        <v>0</v>
      </c>
      <c r="I12" s="86">
        <f>IF(SUM($G11:H11)&lt;'Overzicht MSK toets'!$E$51,SUM($G11:I11),0)</f>
        <v>0</v>
      </c>
      <c r="J12" s="86">
        <f>IF(SUM($G11:I11)&lt;'Overzicht MSK toets'!$E$51,SUM($G11:J11),0)</f>
        <v>0</v>
      </c>
      <c r="K12" s="86">
        <f>IF(SUM($G11:J11)&lt;'Overzicht MSK toets'!$E$51,SUM($G11:K11),0)</f>
        <v>0</v>
      </c>
      <c r="L12" s="86">
        <f>IF(SUM($G11:K11)&lt;'Overzicht MSK toets'!$E$51,SUM($G11:L11),0)</f>
        <v>0</v>
      </c>
      <c r="M12" s="86">
        <f>IF(SUM($G11:L11)&lt;'Overzicht MSK toets'!$E$51,SUM($G11:M11),0)</f>
        <v>0</v>
      </c>
      <c r="N12" s="86">
        <f>IF(SUM($G11:M11)&lt;'Overzicht MSK toets'!$E$51,SUM($G11:N11),0)</f>
        <v>0</v>
      </c>
      <c r="O12" s="86">
        <f>IF(SUM($G11:N11)&lt;'Overzicht MSK toets'!$E$51,SUM($G11:O11),0)</f>
        <v>0</v>
      </c>
      <c r="P12" s="86">
        <f>IF(SUM($G11:O11)&lt;'Overzicht MSK toets'!$E$51,SUM($G11:P11),0)</f>
        <v>0</v>
      </c>
      <c r="Q12" s="86">
        <f>IF(SUM($G11:P11)&lt;'Overzicht MSK toets'!$E$51,SUM($G11:Q11),0)</f>
        <v>0</v>
      </c>
      <c r="R12" s="86">
        <f>IF(SUM($G11:Q11)&lt;'Overzicht MSK toets'!$E$51,SUM($G11:R11),0)</f>
        <v>0</v>
      </c>
      <c r="S12" s="86">
        <f>IF(SUM($G11:R11)&lt;'Overzicht MSK toets'!$E$51,SUM($G11:S11),0)</f>
        <v>0</v>
      </c>
      <c r="T12" s="86">
        <f>IF(SUM($G11:S11)&lt;'Overzicht MSK toets'!$E$51,SUM($G11:T11),0)</f>
        <v>0</v>
      </c>
      <c r="U12" s="86">
        <f>IF(SUM($G11:T11)&lt;'Overzicht MSK toets'!$E$51,SUM($G11:U11),0)</f>
        <v>0</v>
      </c>
      <c r="V12" s="86">
        <f>IF(SUM($G11:U11)&lt;'Overzicht MSK toets'!$E$51,SUM($G11:V11),0)</f>
        <v>0</v>
      </c>
      <c r="W12" s="86">
        <f>IF(SUM($G11:V11)&lt;'Overzicht MSK toets'!$E$51,SUM($G11:W11),0)</f>
        <v>0</v>
      </c>
      <c r="X12" s="86"/>
    </row>
    <row r="13" spans="2:25" ht="13.8" x14ac:dyDescent="0.25">
      <c r="B13" s="14"/>
      <c r="C13" s="26"/>
      <c r="D13" s="26"/>
      <c r="E13" s="26"/>
      <c r="F13" s="150"/>
      <c r="J13" s="87"/>
    </row>
    <row r="14" spans="2:25" ht="13.8" x14ac:dyDescent="0.25">
      <c r="B14" s="14" t="s">
        <v>204</v>
      </c>
      <c r="C14" s="26"/>
      <c r="D14" s="26"/>
      <c r="E14" s="26"/>
      <c r="F14" s="150"/>
      <c r="G14" s="88" t="s">
        <v>201</v>
      </c>
      <c r="H14" s="127">
        <f>COUNTIF(G11:W11,OR(0,""))+6+K14</f>
        <v>5</v>
      </c>
      <c r="I14" s="89"/>
      <c r="J14" s="90" t="s">
        <v>202</v>
      </c>
      <c r="K14" s="127">
        <f>17-COUNTIF(G12:W12,0)-1</f>
        <v>-1</v>
      </c>
      <c r="L14" s="90" t="s">
        <v>203</v>
      </c>
      <c r="M14" s="622">
        <f ca="1">IF(INDIRECT("r11k"&amp;SUM($H$14+1),FALSE)=0,0,$K$14+('Overzicht MSK toets'!E51-INDIRECT("r12k"&amp;SUM($H$14),FALSE))/(INDIRECT("r11k"&amp;SUM($H$14+1),FALSE)))</f>
        <v>0</v>
      </c>
      <c r="N14" s="623"/>
      <c r="O14" s="129">
        <f ca="1">+M14-K14</f>
        <v>1</v>
      </c>
      <c r="P14" s="91"/>
      <c r="Q14" s="91"/>
    </row>
    <row r="15" spans="2:25" ht="13.8" x14ac:dyDescent="0.25">
      <c r="B15" s="14" t="s">
        <v>14</v>
      </c>
      <c r="C15" s="26"/>
      <c r="D15" s="26"/>
      <c r="E15" s="26"/>
      <c r="F15" s="150"/>
      <c r="G15" s="88"/>
      <c r="H15" s="127"/>
      <c r="I15" s="8"/>
      <c r="J15" s="8"/>
      <c r="K15" s="127"/>
      <c r="L15" s="8"/>
      <c r="M15" s="128">
        <f ca="1">INDIRECT("r10k"&amp;H14,FALSE)+INDIRECT("r9k"&amp;H14+1,FALSE)*O14</f>
        <v>0</v>
      </c>
      <c r="N15" s="8"/>
      <c r="O15" s="8"/>
      <c r="P15" s="8"/>
    </row>
    <row r="16" spans="2:25" ht="13.8" x14ac:dyDescent="0.25">
      <c r="B16" s="14"/>
      <c r="C16" s="26"/>
      <c r="D16" s="26"/>
      <c r="E16" s="26"/>
      <c r="F16" s="150"/>
      <c r="G16" s="88" t="s">
        <v>201</v>
      </c>
      <c r="H16" s="561">
        <f>COUNTIF(G11:T11,0)+7</f>
        <v>21</v>
      </c>
      <c r="I16" s="8"/>
      <c r="J16" s="8"/>
      <c r="K16" s="127"/>
      <c r="L16" s="8"/>
      <c r="M16" s="162">
        <f ca="1">(INDIRECT("r9k"&amp;SUM($H$16+1),FALSE))</f>
        <v>0</v>
      </c>
      <c r="N16" s="163"/>
      <c r="O16" s="8"/>
      <c r="P16" s="8"/>
    </row>
    <row r="17" spans="2:24" ht="13.8" x14ac:dyDescent="0.25">
      <c r="B17" s="14"/>
      <c r="C17" s="26"/>
      <c r="D17" s="26"/>
      <c r="E17" s="26"/>
      <c r="F17" s="150"/>
      <c r="G17" s="132">
        <f t="shared" ref="G17:V17" si="3">+H9</f>
        <v>0</v>
      </c>
      <c r="H17" s="132">
        <f t="shared" si="3"/>
        <v>0</v>
      </c>
      <c r="I17" s="132">
        <f t="shared" si="3"/>
        <v>0</v>
      </c>
      <c r="J17" s="132">
        <f t="shared" si="3"/>
        <v>0</v>
      </c>
      <c r="K17" s="132">
        <f t="shared" si="3"/>
        <v>0</v>
      </c>
      <c r="L17" s="132">
        <f t="shared" si="3"/>
        <v>0</v>
      </c>
      <c r="M17" s="132">
        <f t="shared" si="3"/>
        <v>0</v>
      </c>
      <c r="N17" s="132">
        <f t="shared" si="3"/>
        <v>0</v>
      </c>
      <c r="O17" s="132">
        <f t="shared" si="3"/>
        <v>0</v>
      </c>
      <c r="P17" s="132">
        <f t="shared" si="3"/>
        <v>0</v>
      </c>
      <c r="Q17" s="132">
        <f t="shared" si="3"/>
        <v>0</v>
      </c>
      <c r="R17" s="132">
        <f t="shared" si="3"/>
        <v>0</v>
      </c>
      <c r="S17" s="132">
        <f t="shared" si="3"/>
        <v>0</v>
      </c>
      <c r="T17" s="132">
        <f t="shared" si="3"/>
        <v>0</v>
      </c>
      <c r="U17" s="132">
        <f t="shared" si="3"/>
        <v>0</v>
      </c>
      <c r="V17" s="132">
        <f t="shared" si="3"/>
        <v>0</v>
      </c>
    </row>
    <row r="18" spans="2:24" ht="13.8" x14ac:dyDescent="0.25">
      <c r="B18" s="14"/>
      <c r="C18" s="26"/>
      <c r="D18" s="26"/>
      <c r="E18" s="26"/>
      <c r="F18" s="150"/>
      <c r="G18" s="132">
        <f t="shared" ref="G18:V18" si="4">+H10</f>
        <v>0</v>
      </c>
      <c r="H18" s="132">
        <f t="shared" si="4"/>
        <v>0</v>
      </c>
      <c r="I18" s="132">
        <f t="shared" si="4"/>
        <v>0</v>
      </c>
      <c r="J18" s="132">
        <f t="shared" si="4"/>
        <v>0</v>
      </c>
      <c r="K18" s="132">
        <f t="shared" si="4"/>
        <v>0</v>
      </c>
      <c r="L18" s="132">
        <f t="shared" si="4"/>
        <v>0</v>
      </c>
      <c r="M18" s="132">
        <f t="shared" si="4"/>
        <v>0</v>
      </c>
      <c r="N18" s="132">
        <f t="shared" si="4"/>
        <v>0</v>
      </c>
      <c r="O18" s="132">
        <f t="shared" si="4"/>
        <v>0</v>
      </c>
      <c r="P18" s="132">
        <f t="shared" si="4"/>
        <v>0</v>
      </c>
      <c r="Q18" s="132">
        <f t="shared" si="4"/>
        <v>0</v>
      </c>
      <c r="R18" s="132">
        <f t="shared" si="4"/>
        <v>0</v>
      </c>
      <c r="S18" s="132">
        <f t="shared" si="4"/>
        <v>0</v>
      </c>
      <c r="T18" s="132">
        <f t="shared" si="4"/>
        <v>0</v>
      </c>
      <c r="U18" s="132">
        <f t="shared" si="4"/>
        <v>0</v>
      </c>
      <c r="V18" s="132">
        <f t="shared" si="4"/>
        <v>0</v>
      </c>
    </row>
    <row r="19" spans="2:24" ht="13.8" x14ac:dyDescent="0.25">
      <c r="B19" s="14"/>
      <c r="C19" s="26"/>
      <c r="D19" s="26"/>
      <c r="E19" s="26"/>
      <c r="F19" s="150"/>
      <c r="G19" s="132">
        <f t="shared" ref="G19:V19" si="5">+H11</f>
        <v>0</v>
      </c>
      <c r="H19" s="132">
        <f t="shared" si="5"/>
        <v>0</v>
      </c>
      <c r="I19" s="132">
        <f t="shared" si="5"/>
        <v>0</v>
      </c>
      <c r="J19" s="132">
        <f t="shared" si="5"/>
        <v>0</v>
      </c>
      <c r="K19" s="132">
        <f t="shared" si="5"/>
        <v>0</v>
      </c>
      <c r="L19" s="132">
        <f t="shared" si="5"/>
        <v>0</v>
      </c>
      <c r="M19" s="132">
        <f t="shared" si="5"/>
        <v>0</v>
      </c>
      <c r="N19" s="132">
        <f t="shared" si="5"/>
        <v>0</v>
      </c>
      <c r="O19" s="132">
        <f t="shared" si="5"/>
        <v>0</v>
      </c>
      <c r="P19" s="132">
        <f t="shared" si="5"/>
        <v>0</v>
      </c>
      <c r="Q19" s="132">
        <f t="shared" si="5"/>
        <v>0</v>
      </c>
      <c r="R19" s="132">
        <f t="shared" si="5"/>
        <v>0</v>
      </c>
      <c r="S19" s="132">
        <f t="shared" si="5"/>
        <v>0</v>
      </c>
      <c r="T19" s="132">
        <f t="shared" si="5"/>
        <v>0</v>
      </c>
      <c r="U19" s="132">
        <f t="shared" si="5"/>
        <v>0</v>
      </c>
      <c r="V19" s="132">
        <f t="shared" si="5"/>
        <v>0</v>
      </c>
    </row>
    <row r="20" spans="2:24" ht="13.8" x14ac:dyDescent="0.25">
      <c r="B20" s="14"/>
      <c r="C20" s="26"/>
      <c r="D20" s="26"/>
      <c r="E20" s="26"/>
      <c r="F20" s="150"/>
      <c r="G20" s="86">
        <f>+G19</f>
        <v>0</v>
      </c>
      <c r="H20" s="86">
        <f>IF(G19&lt;'Overzicht MSK toets'!$D$23,SUM($G19:H19),0)</f>
        <v>0</v>
      </c>
      <c r="I20" s="86">
        <f>IF(SUM($G19:H19)&lt;'Overzicht MSK toets'!$D$23,SUM($G19:I19),0)</f>
        <v>0</v>
      </c>
      <c r="J20" s="86">
        <f>IF(SUM($G19:I19)&lt;'Overzicht MSK toets'!$D$23,SUM($G19:J19),0)</f>
        <v>0</v>
      </c>
      <c r="K20" s="86">
        <f>IF(SUM($G19:J19)&lt;'Overzicht MSK toets'!$D$23,SUM($G19:K19),0)</f>
        <v>0</v>
      </c>
      <c r="L20" s="86">
        <f>IF(SUM($G19:K19)&lt;'Overzicht MSK toets'!$D$23,SUM($G19:L19),0)</f>
        <v>0</v>
      </c>
      <c r="M20" s="86">
        <f>IF(SUM($G19:L19)&lt;'Overzicht MSK toets'!$D$23,SUM($G19:M19),0)</f>
        <v>0</v>
      </c>
      <c r="N20" s="86">
        <f>IF(SUM($G19:M19)&lt;'Overzicht MSK toets'!$D$23,SUM($G19:N19),0)</f>
        <v>0</v>
      </c>
      <c r="O20" s="86">
        <f>IF(SUM($G19:N19)&lt;'Overzicht MSK toets'!$D$23,SUM($G19:O19),0)</f>
        <v>0</v>
      </c>
      <c r="P20" s="86">
        <f>IF(SUM($G19:O19)&lt;'Overzicht MSK toets'!$D$23,SUM($G19:P19),0)</f>
        <v>0</v>
      </c>
      <c r="Q20" s="86">
        <f>IF(SUM($G19:P19)&lt;'Overzicht MSK toets'!$D$23,SUM($G19:Q19),0)</f>
        <v>0</v>
      </c>
      <c r="R20" s="86">
        <f>IF(SUM($G19:Q19)&lt;'Overzicht MSK toets'!$D$23,SUM($G19:R19),0)</f>
        <v>0</v>
      </c>
      <c r="S20" s="86">
        <f>IF(SUM($G19:R19)&lt;'Overzicht MSK toets'!$D$23,SUM($G19:S19),0)</f>
        <v>0</v>
      </c>
      <c r="T20" s="86">
        <f>IF(SUM($G19:S19)&lt;'Overzicht MSK toets'!$D$23,SUM($G19:T19),0)</f>
        <v>0</v>
      </c>
      <c r="U20" s="86">
        <f>IF(SUM($G19:T19)&lt;'Overzicht MSK toets'!$D$23,SUM($G19:U19),0)</f>
        <v>0</v>
      </c>
      <c r="V20" s="86">
        <f>IF(SUM($G19:U19)&lt;'Overzicht MSK toets'!$D$23,SUM($G19:V19),0)</f>
        <v>0</v>
      </c>
      <c r="W20" s="126">
        <f>IF(AND(V20&lt;'Overzicht MSK toets'!$D$23,V20&lt;&gt;0,OR(V19&lt;&gt;"",V19&lt;&gt;"")),"jaren &gt; 10",0)</f>
        <v>0</v>
      </c>
    </row>
    <row r="21" spans="2:24" ht="13.8" x14ac:dyDescent="0.25">
      <c r="B21" s="14"/>
      <c r="C21" s="26"/>
      <c r="D21" s="26"/>
      <c r="E21" s="26"/>
      <c r="F21" s="150"/>
      <c r="J21" s="87"/>
    </row>
    <row r="22" spans="2:24" ht="13.8" x14ac:dyDescent="0.25">
      <c r="B22" s="14"/>
      <c r="C22" s="26"/>
      <c r="D22" s="26"/>
      <c r="E22" s="26"/>
      <c r="F22" s="150"/>
      <c r="G22" s="88" t="s">
        <v>201</v>
      </c>
      <c r="H22" s="127">
        <f>COUNTIF(G19:V19,0)+6+K22</f>
        <v>21</v>
      </c>
      <c r="I22" s="89"/>
      <c r="J22" s="90" t="s">
        <v>202</v>
      </c>
      <c r="K22" s="127">
        <f>16-COUNTIF(G20:V20,0)-1</f>
        <v>-1</v>
      </c>
      <c r="L22" s="90" t="s">
        <v>203</v>
      </c>
      <c r="M22" s="624">
        <f ca="1">IF(INDIRECT("r19k"&amp;SUM($H$22+1),FALSE)=0,0,$K$22+('Overzicht MSK toets'!$D$23-INDIRECT("r20k"&amp;SUM($H$22),FALSE))/(INDIRECT("r19k"&amp;SUM($H$22+1),FALSE)))</f>
        <v>0</v>
      </c>
      <c r="N22" s="625"/>
      <c r="O22" s="129">
        <f ca="1">+M22-K22</f>
        <v>1</v>
      </c>
      <c r="P22" s="91"/>
      <c r="Q22" s="91"/>
    </row>
    <row r="23" spans="2:24" ht="13.8" x14ac:dyDescent="0.25">
      <c r="B23" s="14"/>
      <c r="C23" s="26"/>
      <c r="D23" s="26"/>
      <c r="E23" s="26"/>
      <c r="F23" s="150"/>
      <c r="G23" s="88"/>
      <c r="H23" s="127"/>
      <c r="I23" s="8"/>
      <c r="J23" s="8"/>
      <c r="K23" s="127"/>
      <c r="L23" s="8"/>
      <c r="M23" s="128">
        <f ca="1">INDIRECT("r18k"&amp;H22,FALSE)+INDIRECT("r17k"&amp;H22+1,FALSE)*O22</f>
        <v>0</v>
      </c>
      <c r="N23" s="8"/>
      <c r="O23" s="8"/>
      <c r="P23" s="8"/>
    </row>
    <row r="24" spans="2:24" ht="13.8" x14ac:dyDescent="0.25">
      <c r="B24" s="14"/>
      <c r="C24" s="26"/>
      <c r="D24" s="26"/>
      <c r="E24" s="26"/>
      <c r="F24" s="150"/>
      <c r="G24" s="88"/>
      <c r="H24" s="127"/>
      <c r="I24" s="8"/>
      <c r="J24" s="8"/>
      <c r="K24" s="127"/>
      <c r="L24" s="8"/>
      <c r="M24" s="128"/>
      <c r="N24" s="8"/>
      <c r="O24" s="8"/>
      <c r="P24" s="8"/>
    </row>
    <row r="25" spans="2:24" ht="13.8" x14ac:dyDescent="0.25">
      <c r="B25" s="14"/>
      <c r="C25" s="26"/>
      <c r="D25" s="26"/>
      <c r="E25" s="26"/>
      <c r="F25" s="150"/>
      <c r="G25" s="559" t="s">
        <v>462</v>
      </c>
      <c r="H25" s="559" t="s">
        <v>463</v>
      </c>
      <c r="I25" s="559" t="s">
        <v>464</v>
      </c>
      <c r="J25" s="559" t="s">
        <v>465</v>
      </c>
      <c r="K25" s="559" t="s">
        <v>466</v>
      </c>
      <c r="L25" s="559" t="s">
        <v>467</v>
      </c>
      <c r="M25" s="559" t="s">
        <v>468</v>
      </c>
      <c r="N25" s="559" t="s">
        <v>469</v>
      </c>
      <c r="O25" s="559" t="s">
        <v>470</v>
      </c>
      <c r="P25" s="559" t="s">
        <v>471</v>
      </c>
      <c r="Q25" s="559" t="s">
        <v>472</v>
      </c>
      <c r="R25" s="559" t="s">
        <v>473</v>
      </c>
      <c r="S25" s="559" t="s">
        <v>474</v>
      </c>
      <c r="T25" s="559" t="s">
        <v>475</v>
      </c>
      <c r="U25" s="559" t="s">
        <v>476</v>
      </c>
      <c r="V25" s="559" t="s">
        <v>477</v>
      </c>
      <c r="W25" s="559" t="s">
        <v>478</v>
      </c>
      <c r="X25" s="559" t="s">
        <v>479</v>
      </c>
    </row>
    <row r="26" spans="2:24" ht="13.8" x14ac:dyDescent="0.25">
      <c r="B26" s="591" t="s">
        <v>502</v>
      </c>
      <c r="C26" s="26"/>
      <c r="D26" s="26"/>
      <c r="E26" s="26"/>
      <c r="F26" s="150"/>
      <c r="G26" s="8">
        <f>Invoerblad!K20+Invoerblad!K22</f>
        <v>0</v>
      </c>
      <c r="H26" s="8">
        <f>Invoerblad!L20+Invoerblad!L22</f>
        <v>0</v>
      </c>
      <c r="I26" s="8">
        <f>Invoerblad!M20+Invoerblad!M22</f>
        <v>0</v>
      </c>
      <c r="J26" s="8">
        <f>Invoerblad!N20+Invoerblad!N22</f>
        <v>0</v>
      </c>
      <c r="K26" s="8">
        <f>Invoerblad!O20+Invoerblad!O22</f>
        <v>0</v>
      </c>
      <c r="L26" s="8">
        <f>Invoerblad!P20+Invoerblad!P22</f>
        <v>0</v>
      </c>
      <c r="M26" s="8">
        <f>Invoerblad!Q20+Invoerblad!Q22</f>
        <v>0</v>
      </c>
      <c r="N26" s="8">
        <f>Invoerblad!R20+Invoerblad!R22</f>
        <v>0</v>
      </c>
      <c r="O26" s="8">
        <f>Invoerblad!S20+Invoerblad!S22</f>
        <v>0</v>
      </c>
      <c r="P26" s="8">
        <f>Invoerblad!T20+Invoerblad!T22</f>
        <v>0</v>
      </c>
      <c r="Q26" s="8">
        <f>Invoerblad!U20+Invoerblad!U22</f>
        <v>0</v>
      </c>
      <c r="R26" s="8">
        <f>Invoerblad!V20+Invoerblad!V22</f>
        <v>0</v>
      </c>
      <c r="S26" s="8">
        <f>Invoerblad!W20+Invoerblad!W22</f>
        <v>0</v>
      </c>
      <c r="T26" s="8">
        <f>Invoerblad!X20+Invoerblad!X22</f>
        <v>0</v>
      </c>
      <c r="U26" s="8">
        <f>Invoerblad!Y20+Invoerblad!Y22</f>
        <v>0</v>
      </c>
      <c r="V26" s="8">
        <f>Invoerblad!Z20+Invoerblad!Z22</f>
        <v>0</v>
      </c>
      <c r="W26" s="8">
        <f>Invoerblad!AA20+Invoerblad!AA22</f>
        <v>0</v>
      </c>
      <c r="X26" s="8">
        <f>Invoerblad!AB20+Invoerblad!AB22</f>
        <v>0</v>
      </c>
    </row>
    <row r="27" spans="2:24" ht="13.8" x14ac:dyDescent="0.25">
      <c r="B27" s="591" t="s">
        <v>501</v>
      </c>
      <c r="C27" s="26"/>
      <c r="D27" s="26"/>
      <c r="E27" s="26"/>
      <c r="F27" s="150"/>
      <c r="G27" s="8">
        <f>Invoerblad!K21</f>
        <v>0</v>
      </c>
      <c r="H27" s="8">
        <f>Invoerblad!L21</f>
        <v>0</v>
      </c>
      <c r="I27" s="8">
        <f>Invoerblad!M21</f>
        <v>0</v>
      </c>
      <c r="J27" s="8">
        <f>Invoerblad!N21</f>
        <v>0</v>
      </c>
      <c r="K27" s="8">
        <f>Invoerblad!O21</f>
        <v>0</v>
      </c>
      <c r="L27" s="8">
        <f>Invoerblad!P21</f>
        <v>0</v>
      </c>
      <c r="M27" s="8">
        <f>Invoerblad!Q21</f>
        <v>0</v>
      </c>
      <c r="N27" s="8">
        <f>Invoerblad!R21</f>
        <v>0</v>
      </c>
      <c r="O27" s="8">
        <f>Invoerblad!S21</f>
        <v>0</v>
      </c>
      <c r="P27" s="8">
        <f>Invoerblad!T21</f>
        <v>0</v>
      </c>
      <c r="Q27" s="8">
        <f>Invoerblad!U21</f>
        <v>0</v>
      </c>
      <c r="R27" s="8">
        <f>Invoerblad!V21</f>
        <v>0</v>
      </c>
      <c r="S27" s="8">
        <f>Invoerblad!W21</f>
        <v>0</v>
      </c>
      <c r="T27" s="8">
        <f>Invoerblad!X21</f>
        <v>0</v>
      </c>
      <c r="U27" s="8">
        <f>Invoerblad!Y21</f>
        <v>0</v>
      </c>
      <c r="V27" s="8">
        <f>Invoerblad!Z21</f>
        <v>0</v>
      </c>
      <c r="W27" s="8">
        <f>Invoerblad!AA21</f>
        <v>0</v>
      </c>
      <c r="X27" s="8">
        <f>Invoerblad!AB21</f>
        <v>0</v>
      </c>
    </row>
    <row r="28" spans="2:24" ht="13.8" x14ac:dyDescent="0.25">
      <c r="B28" s="591" t="s">
        <v>257</v>
      </c>
      <c r="C28" s="26"/>
      <c r="D28" s="26"/>
      <c r="E28" s="26"/>
      <c r="F28" s="150"/>
      <c r="G28" s="8">
        <f>+Invoerblad!K90</f>
        <v>0</v>
      </c>
      <c r="H28" s="8">
        <f>+Invoerblad!L90</f>
        <v>0</v>
      </c>
      <c r="I28" s="8">
        <f>+Invoerblad!M90</f>
        <v>0</v>
      </c>
      <c r="J28" s="8">
        <f>+Invoerblad!N90</f>
        <v>0</v>
      </c>
      <c r="K28" s="8">
        <f>+Invoerblad!O90</f>
        <v>0</v>
      </c>
      <c r="L28" s="8">
        <f>+Invoerblad!P90</f>
        <v>0</v>
      </c>
      <c r="M28" s="8">
        <f>+Invoerblad!Q90</f>
        <v>0</v>
      </c>
      <c r="N28" s="8">
        <f>+Invoerblad!R90</f>
        <v>0</v>
      </c>
      <c r="O28" s="8">
        <f>+Invoerblad!S90</f>
        <v>0</v>
      </c>
      <c r="P28" s="8">
        <f>+Invoerblad!T90</f>
        <v>0</v>
      </c>
      <c r="Q28" s="8">
        <f>+Invoerblad!U90</f>
        <v>0</v>
      </c>
      <c r="R28" s="8">
        <f>+Invoerblad!V90</f>
        <v>0</v>
      </c>
      <c r="S28" s="8">
        <f>+Invoerblad!W90</f>
        <v>0</v>
      </c>
      <c r="T28" s="8">
        <f>+Invoerblad!X90</f>
        <v>0</v>
      </c>
      <c r="U28" s="8">
        <f>+Invoerblad!Y90</f>
        <v>0</v>
      </c>
      <c r="V28" s="8">
        <f>+Invoerblad!Z90</f>
        <v>0</v>
      </c>
      <c r="W28" s="8">
        <f>+Invoerblad!AA90</f>
        <v>0</v>
      </c>
      <c r="X28" s="8">
        <f>+Invoerblad!AB90</f>
        <v>0</v>
      </c>
    </row>
    <row r="29" spans="2:24" ht="13.8" x14ac:dyDescent="0.25">
      <c r="C29" s="26"/>
      <c r="D29" s="26"/>
      <c r="E29" s="26"/>
      <c r="G29" t="s">
        <v>453</v>
      </c>
      <c r="M29">
        <f>COUNTIF(H9:W9,"&gt;0")</f>
        <v>0</v>
      </c>
    </row>
    <row r="30" spans="2:24" x14ac:dyDescent="0.25">
      <c r="G30" t="s">
        <v>340</v>
      </c>
      <c r="M30" s="162">
        <f ca="1">(INDIRECT("r27k"&amp;SUM($M$29+6),FALSE))</f>
        <v>0</v>
      </c>
    </row>
    <row r="32" spans="2:24" x14ac:dyDescent="0.25">
      <c r="B32" s="20" t="s">
        <v>189</v>
      </c>
      <c r="G32">
        <v>17</v>
      </c>
      <c r="H32" s="489">
        <v>16</v>
      </c>
      <c r="I32" s="489">
        <v>15</v>
      </c>
      <c r="J32" s="489">
        <v>14</v>
      </c>
      <c r="K32" s="489">
        <v>13</v>
      </c>
      <c r="L32" s="489">
        <v>12</v>
      </c>
      <c r="M32" s="489">
        <v>11</v>
      </c>
      <c r="N32" s="489">
        <v>10</v>
      </c>
      <c r="O32" s="489">
        <v>9</v>
      </c>
      <c r="P32" s="489">
        <v>8</v>
      </c>
      <c r="Q32" s="489">
        <v>7</v>
      </c>
      <c r="R32" s="489">
        <v>6</v>
      </c>
      <c r="S32" s="489">
        <v>5</v>
      </c>
      <c r="T32" s="489">
        <v>4</v>
      </c>
      <c r="U32" s="489">
        <v>3</v>
      </c>
      <c r="V32" s="489">
        <v>2</v>
      </c>
      <c r="W32" s="489">
        <v>1</v>
      </c>
    </row>
    <row r="33" spans="2:24" x14ac:dyDescent="0.25">
      <c r="B33" s="20" t="s">
        <v>503</v>
      </c>
      <c r="G33" s="8">
        <f>+W26</f>
        <v>0</v>
      </c>
      <c r="H33" s="8">
        <f>+V26</f>
        <v>0</v>
      </c>
      <c r="I33" s="8">
        <f>+U26</f>
        <v>0</v>
      </c>
      <c r="J33" s="8">
        <f>+T26</f>
        <v>0</v>
      </c>
      <c r="K33" s="8">
        <f>+S26</f>
        <v>0</v>
      </c>
      <c r="L33" s="8">
        <f>+R26</f>
        <v>0</v>
      </c>
      <c r="M33" s="8">
        <f>+Q26</f>
        <v>0</v>
      </c>
      <c r="N33" s="8">
        <f>+P26</f>
        <v>0</v>
      </c>
      <c r="O33" s="8">
        <f>+O26</f>
        <v>0</v>
      </c>
      <c r="P33" s="8">
        <f>+N26</f>
        <v>0</v>
      </c>
      <c r="Q33" s="8">
        <f>+M26</f>
        <v>0</v>
      </c>
      <c r="R33" s="8">
        <f>+L26</f>
        <v>0</v>
      </c>
      <c r="S33" s="8">
        <f>+K26</f>
        <v>0</v>
      </c>
      <c r="T33" s="8">
        <f>+J26</f>
        <v>0</v>
      </c>
      <c r="U33" s="8">
        <f>+I26</f>
        <v>0</v>
      </c>
      <c r="V33" s="8">
        <f>+H26</f>
        <v>0</v>
      </c>
      <c r="W33" s="8">
        <f>+G26</f>
        <v>0</v>
      </c>
    </row>
    <row r="34" spans="2:24" x14ac:dyDescent="0.25">
      <c r="B34" s="590" t="s">
        <v>500</v>
      </c>
      <c r="G34" s="8">
        <f>+W27</f>
        <v>0</v>
      </c>
      <c r="H34" s="8">
        <f>+V27</f>
        <v>0</v>
      </c>
      <c r="I34" s="8">
        <f>+U27</f>
        <v>0</v>
      </c>
      <c r="J34" s="8">
        <f>+T27</f>
        <v>0</v>
      </c>
      <c r="K34" s="8">
        <f>+S27</f>
        <v>0</v>
      </c>
      <c r="L34" s="8">
        <f>+R27</f>
        <v>0</v>
      </c>
      <c r="M34" s="8">
        <f>+Q27</f>
        <v>0</v>
      </c>
      <c r="N34" s="8">
        <f>+P27</f>
        <v>0</v>
      </c>
      <c r="O34" s="8">
        <f>+O27</f>
        <v>0</v>
      </c>
      <c r="P34" s="8">
        <f>+N27</f>
        <v>0</v>
      </c>
      <c r="Q34" s="8">
        <f>+M27</f>
        <v>0</v>
      </c>
      <c r="R34" s="8">
        <f>+L27</f>
        <v>0</v>
      </c>
      <c r="S34" s="8">
        <f>+K27</f>
        <v>0</v>
      </c>
      <c r="T34" s="8">
        <f>+J27</f>
        <v>0</v>
      </c>
      <c r="U34" s="8">
        <f>+I27</f>
        <v>0</v>
      </c>
      <c r="V34" s="8">
        <f>+H27</f>
        <v>0</v>
      </c>
      <c r="W34" s="8">
        <f>+G27</f>
        <v>0</v>
      </c>
    </row>
    <row r="35" spans="2:24" x14ac:dyDescent="0.25">
      <c r="B35" s="20" t="s">
        <v>423</v>
      </c>
      <c r="G35" s="8">
        <f>+W28</f>
        <v>0</v>
      </c>
      <c r="H35" s="8">
        <f>+V28</f>
        <v>0</v>
      </c>
      <c r="I35" s="8">
        <f>+U28</f>
        <v>0</v>
      </c>
      <c r="J35" s="8">
        <f>+T28</f>
        <v>0</v>
      </c>
      <c r="K35" s="8">
        <f>+S28</f>
        <v>0</v>
      </c>
      <c r="L35" s="8">
        <f>+R28</f>
        <v>0</v>
      </c>
      <c r="M35" s="8">
        <f>+Q28</f>
        <v>0</v>
      </c>
      <c r="N35" s="8">
        <f>+P28</f>
        <v>0</v>
      </c>
      <c r="O35" s="8">
        <f>+O28</f>
        <v>0</v>
      </c>
      <c r="P35" s="8">
        <f>+N28</f>
        <v>0</v>
      </c>
      <c r="Q35" s="8">
        <f>+M28</f>
        <v>0</v>
      </c>
      <c r="R35" s="8">
        <f>+L28</f>
        <v>0</v>
      </c>
      <c r="S35" s="8">
        <f>+K28</f>
        <v>0</v>
      </c>
      <c r="T35" s="8">
        <f>+J28</f>
        <v>0</v>
      </c>
      <c r="U35" s="8">
        <f>+I28</f>
        <v>0</v>
      </c>
      <c r="V35" s="8">
        <f>+H28</f>
        <v>0</v>
      </c>
      <c r="W35" s="8">
        <f>+G28</f>
        <v>0</v>
      </c>
    </row>
    <row r="36" spans="2:24" x14ac:dyDescent="0.25">
      <c r="B36" s="20" t="s">
        <v>424</v>
      </c>
      <c r="G36" s="8">
        <f>G9</f>
        <v>0</v>
      </c>
      <c r="H36" s="86">
        <f ca="1">IF(SUM(G9:$G9)&lt;$M$15,$M$15-SUM(G9:$G9),0)</f>
        <v>0</v>
      </c>
      <c r="I36" s="86">
        <f ca="1">IF(SUM($G9:H9)&lt;$M$15,$M$15-SUM($G9:H9),0)</f>
        <v>0</v>
      </c>
      <c r="J36" s="86">
        <f ca="1">IF(SUM($G9:I9)&lt;$M$15,$M$15-SUM($G9:I9),0)</f>
        <v>0</v>
      </c>
      <c r="K36" s="86">
        <f ca="1">IF(SUM($G9:J9)&lt;$M$15,$M$15-SUM($G9:J9),0)</f>
        <v>0</v>
      </c>
      <c r="L36" s="86">
        <f ca="1">IF(SUM($G9:K9)&lt;$M$15,$M$15-SUM($G9:K9),0)</f>
        <v>0</v>
      </c>
      <c r="M36" s="86">
        <f ca="1">IF(SUM($G9:L9)&lt;$M$15,$M$15-SUM($G9:L9),0)</f>
        <v>0</v>
      </c>
      <c r="N36" s="86">
        <f ca="1">IF(SUM($G9:M9)&lt;$M$15,$M$15-SUM($G9:M9),0)</f>
        <v>0</v>
      </c>
      <c r="O36" s="86">
        <f ca="1">IF(SUM($G9:N9)&lt;$M$15,$M$15-SUM($G9:N9),0)</f>
        <v>0</v>
      </c>
      <c r="P36" s="86">
        <f ca="1">IF(SUM($G9:O9)&lt;$M$15,$M$15-SUM($G9:O9),0)</f>
        <v>0</v>
      </c>
      <c r="Q36" s="86">
        <f ca="1">IF(SUM($G9:P9)&lt;$M$15,$M$15-SUM($G9:P9),0)</f>
        <v>0</v>
      </c>
      <c r="R36" s="86">
        <f ca="1">IF(SUM($G9:Q9)&lt;$M$15,$M$15-SUM($G9:Q9),0)</f>
        <v>0</v>
      </c>
      <c r="S36" s="86">
        <f ca="1">IF(SUM($G9:R9)&lt;$M$15,$M$15-SUM($G9:R9),0)</f>
        <v>0</v>
      </c>
      <c r="T36" s="86">
        <f ca="1">IF(SUM($G9:S9)&lt;$M$15,$M$15-SUM($G9:S9),0)</f>
        <v>0</v>
      </c>
      <c r="U36" s="86">
        <f ca="1">IF(SUM($G9:T9)&lt;$M$15,$M$15-SUM($G9:T9),0)</f>
        <v>0</v>
      </c>
      <c r="V36" s="86">
        <f ca="1">IF(SUM($G9:U9)&lt;$M$15,$M$15-SUM($G9:U9),0)</f>
        <v>0</v>
      </c>
      <c r="W36" s="86">
        <f ca="1">IF(SUM($G9:V9)&lt;$M$15,$M$15-SUM($G9:V9),0)</f>
        <v>0</v>
      </c>
    </row>
    <row r="37" spans="2:24" x14ac:dyDescent="0.25">
      <c r="B37" s="20" t="s">
        <v>425</v>
      </c>
      <c r="G37" s="8">
        <f ca="1">IF($M$15&lt;G9,$M$15,G9)</f>
        <v>0</v>
      </c>
      <c r="H37" s="86">
        <f ca="1">IF(SUM($G9:G9)&lt;$M$15,H9,0)</f>
        <v>0</v>
      </c>
      <c r="I37" s="86">
        <f ca="1">IF(SUM($G9:H9)&lt;$M$15,I9,0)</f>
        <v>0</v>
      </c>
      <c r="J37" s="86">
        <f ca="1">IF(SUM($G9:I9)&lt;$M$15,J9,0)</f>
        <v>0</v>
      </c>
      <c r="K37" s="86">
        <f ca="1">IF(SUM($G9:J9)&lt;$M$15,K9,0)</f>
        <v>0</v>
      </c>
      <c r="L37" s="86">
        <f ca="1">IF(SUM($G9:K9)&lt;$M$15,L9,0)</f>
        <v>0</v>
      </c>
      <c r="M37" s="86">
        <f ca="1">IF(SUM($G9:L9)&lt;$M$15,M9,0)</f>
        <v>0</v>
      </c>
      <c r="N37" s="86">
        <f ca="1">IF(SUM($G9:M9)&lt;$M$15,N9,0)</f>
        <v>0</v>
      </c>
      <c r="O37" s="86">
        <f ca="1">IF(SUM($G9:N9)&lt;$M$15,O9,0)</f>
        <v>0</v>
      </c>
      <c r="P37" s="86">
        <f ca="1">IF(SUM($G9:O9)&lt;$M$15,P9,0)</f>
        <v>0</v>
      </c>
      <c r="Q37" s="86">
        <f ca="1">IF(SUM($G9:P9)&lt;$M$15,Q9,0)</f>
        <v>0</v>
      </c>
      <c r="R37" s="86">
        <f ca="1">IF(SUM($G9:Q9)&lt;$M$15,R9,0)</f>
        <v>0</v>
      </c>
      <c r="S37" s="86">
        <f ca="1">IF(SUM($G9:R9)&lt;$M$15,S9,0)</f>
        <v>0</v>
      </c>
      <c r="T37" s="86">
        <f ca="1">IF(SUM($G9:S9)&lt;$M$15,T9,0)</f>
        <v>0</v>
      </c>
      <c r="U37" s="86">
        <f ca="1">IF(SUM($G9:T9)&lt;$M$15,U9,0)</f>
        <v>0</v>
      </c>
      <c r="V37" s="86">
        <f ca="1">IF(SUM($G9:U9)&lt;$M$15,V9,0)</f>
        <v>0</v>
      </c>
      <c r="W37" s="86">
        <f ca="1">IF(SUM($G9:V9)&lt;$M$15,W9,0)</f>
        <v>0</v>
      </c>
    </row>
    <row r="38" spans="2:24" x14ac:dyDescent="0.25">
      <c r="B38" s="488" t="s">
        <v>426</v>
      </c>
      <c r="C38" s="2"/>
      <c r="D38" s="2"/>
      <c r="E38" s="2"/>
      <c r="F38" s="2"/>
      <c r="G38" s="489">
        <f ca="1">IF(G36&gt;G37,G37,G36)</f>
        <v>0</v>
      </c>
      <c r="H38" s="490">
        <f ca="1">IF(H36&gt;H37,H37,H36)</f>
        <v>0</v>
      </c>
      <c r="I38" s="490">
        <f t="shared" ref="I38:W38" ca="1" si="6">IF(I36&gt;I37,I37,I36)</f>
        <v>0</v>
      </c>
      <c r="J38" s="490">
        <f t="shared" ca="1" si="6"/>
        <v>0</v>
      </c>
      <c r="K38" s="490">
        <f t="shared" ca="1" si="6"/>
        <v>0</v>
      </c>
      <c r="L38" s="490">
        <f t="shared" ca="1" si="6"/>
        <v>0</v>
      </c>
      <c r="M38" s="490">
        <f t="shared" ca="1" si="6"/>
        <v>0</v>
      </c>
      <c r="N38" s="490">
        <f t="shared" ca="1" si="6"/>
        <v>0</v>
      </c>
      <c r="O38" s="490">
        <f t="shared" ca="1" si="6"/>
        <v>0</v>
      </c>
      <c r="P38" s="490">
        <f t="shared" ca="1" si="6"/>
        <v>0</v>
      </c>
      <c r="Q38" s="490">
        <f t="shared" ca="1" si="6"/>
        <v>0</v>
      </c>
      <c r="R38" s="490">
        <f t="shared" ca="1" si="6"/>
        <v>0</v>
      </c>
      <c r="S38" s="490">
        <f t="shared" ca="1" si="6"/>
        <v>0</v>
      </c>
      <c r="T38" s="490">
        <f t="shared" ca="1" si="6"/>
        <v>0</v>
      </c>
      <c r="U38" s="490">
        <f t="shared" ca="1" si="6"/>
        <v>0</v>
      </c>
      <c r="V38" s="490">
        <f t="shared" ca="1" si="6"/>
        <v>0</v>
      </c>
      <c r="W38" s="490">
        <f t="shared" ca="1" si="6"/>
        <v>0</v>
      </c>
    </row>
    <row r="39" spans="2:24" x14ac:dyDescent="0.25">
      <c r="B39" s="20" t="s">
        <v>427</v>
      </c>
      <c r="G39" s="8" t="b">
        <f ca="1">IF(G38&gt;0,IF(G33=0,G38/H35,IF(G37=G38,(G33*80%)+(H33*20%)+(H34),(G38*80%/G35)+(G38*20%/H35))))</f>
        <v>0</v>
      </c>
      <c r="H39" s="8" t="b">
        <f t="shared" ref="H39:V39" ca="1" si="7">IF(H38&gt;0,IF(H33=0,H38/I35,IF(H37=H38,(H33*80%)+(I33*20%)+(I34),(H38*80%/H35)+(H38*20%/I35))))</f>
        <v>0</v>
      </c>
      <c r="I39" s="8" t="b">
        <f t="shared" ca="1" si="7"/>
        <v>0</v>
      </c>
      <c r="J39" s="8" t="b">
        <f t="shared" ca="1" si="7"/>
        <v>0</v>
      </c>
      <c r="K39" s="8" t="b">
        <f t="shared" ca="1" si="7"/>
        <v>0</v>
      </c>
      <c r="L39" s="8" t="b">
        <f t="shared" ca="1" si="7"/>
        <v>0</v>
      </c>
      <c r="M39" s="8" t="b">
        <f t="shared" ca="1" si="7"/>
        <v>0</v>
      </c>
      <c r="N39" s="8" t="b">
        <f t="shared" ca="1" si="7"/>
        <v>0</v>
      </c>
      <c r="O39" s="8" t="b">
        <f t="shared" ca="1" si="7"/>
        <v>0</v>
      </c>
      <c r="P39" s="8" t="b">
        <f t="shared" ca="1" si="7"/>
        <v>0</v>
      </c>
      <c r="Q39" s="8" t="b">
        <f t="shared" ca="1" si="7"/>
        <v>0</v>
      </c>
      <c r="R39" s="8" t="b">
        <f t="shared" ca="1" si="7"/>
        <v>0</v>
      </c>
      <c r="S39" s="8" t="b">
        <f t="shared" ca="1" si="7"/>
        <v>0</v>
      </c>
      <c r="T39" s="8" t="b">
        <f t="shared" ca="1" si="7"/>
        <v>0</v>
      </c>
      <c r="U39" s="8" t="b">
        <f t="shared" ca="1" si="7"/>
        <v>0</v>
      </c>
      <c r="V39" s="8" t="b">
        <f t="shared" ca="1" si="7"/>
        <v>0</v>
      </c>
      <c r="W39" s="8" t="b">
        <f ca="1">IF(W38&gt;0,IF(W33=0,W38/X35,IF(W37=W38,(W33*80%),(W38*80%/W35))))</f>
        <v>0</v>
      </c>
    </row>
    <row r="40" spans="2:24" x14ac:dyDescent="0.25">
      <c r="B40" s="20"/>
      <c r="G40" s="491"/>
      <c r="H40" s="491"/>
      <c r="I40" s="491"/>
      <c r="J40" s="491"/>
      <c r="K40" s="491"/>
      <c r="L40" s="491"/>
      <c r="M40" s="491"/>
      <c r="N40" s="491"/>
      <c r="O40" s="491"/>
      <c r="P40" s="491"/>
      <c r="Q40" s="491"/>
      <c r="R40" s="491"/>
      <c r="S40" s="491"/>
      <c r="T40" s="491"/>
      <c r="U40" s="491"/>
      <c r="V40" s="491"/>
      <c r="W40" s="491"/>
      <c r="X40" s="491"/>
    </row>
    <row r="41" spans="2:24" x14ac:dyDescent="0.25">
      <c r="B41" s="20"/>
      <c r="G41" s="491"/>
      <c r="H41" s="491"/>
      <c r="I41" s="491"/>
      <c r="J41" s="491"/>
      <c r="K41" s="491"/>
      <c r="L41" s="491"/>
      <c r="M41" s="491"/>
      <c r="N41" s="491"/>
      <c r="O41" s="491"/>
      <c r="P41" s="491"/>
      <c r="Q41" s="491"/>
      <c r="R41" s="491"/>
      <c r="S41" s="491"/>
      <c r="T41" s="491"/>
      <c r="U41" s="491"/>
      <c r="V41" s="491"/>
    </row>
    <row r="42" spans="2:24" x14ac:dyDescent="0.25">
      <c r="B42" s="20" t="s">
        <v>428</v>
      </c>
      <c r="G42" s="492">
        <f ca="1">SUM(G39:W39)</f>
        <v>0</v>
      </c>
      <c r="I42" s="563"/>
      <c r="M42" s="162"/>
    </row>
    <row r="43" spans="2:24" x14ac:dyDescent="0.25">
      <c r="B43" s="20" t="s">
        <v>429</v>
      </c>
      <c r="G43" s="492">
        <f ca="1">IF(G42=0,0,(M15)/SUM(G39:W39))</f>
        <v>0</v>
      </c>
      <c r="I43" s="8"/>
      <c r="J43" s="8"/>
    </row>
    <row r="44" spans="2:24" x14ac:dyDescent="0.25">
      <c r="I44" s="8"/>
      <c r="M44" s="8"/>
    </row>
    <row r="46" spans="2:24" x14ac:dyDescent="0.25">
      <c r="B46" t="s">
        <v>377</v>
      </c>
      <c r="G46" s="7">
        <f>+'Overzicht MSK toets'!D23</f>
        <v>0</v>
      </c>
    </row>
    <row r="47" spans="2:24" x14ac:dyDescent="0.25">
      <c r="G47" s="7">
        <f>LARGE('Overzicht MSK toets'!E40:E42,1)</f>
        <v>0</v>
      </c>
    </row>
    <row r="48" spans="2:24" x14ac:dyDescent="0.25">
      <c r="G48" s="112">
        <f>IF('Overzicht MSK toets'!E38&lt;0,-'Overzicht MSK toets'!E38,0)</f>
        <v>0</v>
      </c>
    </row>
    <row r="51" spans="2:23" ht="13.8" x14ac:dyDescent="0.25">
      <c r="B51" s="6"/>
      <c r="C51" s="6"/>
      <c r="D51" s="6"/>
      <c r="E51" s="6"/>
      <c r="F51" s="6"/>
      <c r="G51" s="85"/>
      <c r="H51" s="26"/>
      <c r="I51" s="26"/>
      <c r="J51" s="26"/>
      <c r="K51" s="26"/>
      <c r="L51" s="26"/>
      <c r="M51" s="26"/>
      <c r="N51" s="26"/>
      <c r="O51" s="26"/>
      <c r="P51" s="26"/>
      <c r="Q51" s="26"/>
      <c r="R51" s="26"/>
    </row>
    <row r="52" spans="2:23" x14ac:dyDescent="0.25">
      <c r="B52" s="6"/>
      <c r="C52" s="6"/>
      <c r="D52" s="6"/>
      <c r="E52" s="6"/>
      <c r="F52" s="6"/>
      <c r="G52" s="6"/>
      <c r="H52" s="6"/>
      <c r="I52" s="6"/>
      <c r="J52" s="125"/>
      <c r="K52" s="125"/>
      <c r="L52" s="125"/>
      <c r="M52" s="125"/>
      <c r="N52" s="125"/>
      <c r="O52" s="2"/>
      <c r="P52" s="2"/>
      <c r="Q52" s="2"/>
      <c r="R52" s="2"/>
      <c r="S52" s="2"/>
      <c r="T52" s="2"/>
      <c r="U52" s="2"/>
      <c r="V52" s="2"/>
      <c r="W52" s="2"/>
    </row>
    <row r="53" spans="2:23" x14ac:dyDescent="0.25">
      <c r="B53" s="6"/>
      <c r="C53" s="6"/>
      <c r="D53" s="6"/>
      <c r="E53" s="6"/>
      <c r="F53" s="6"/>
      <c r="G53" s="6"/>
      <c r="H53" s="6"/>
      <c r="I53" s="6"/>
      <c r="J53" s="6"/>
      <c r="K53" s="6"/>
      <c r="L53" s="6"/>
      <c r="M53" s="460"/>
      <c r="N53" s="6"/>
    </row>
    <row r="54" spans="2:23" x14ac:dyDescent="0.25">
      <c r="B54" s="6"/>
      <c r="C54" s="6"/>
      <c r="D54" s="6"/>
      <c r="E54" s="6"/>
      <c r="F54" s="6"/>
      <c r="G54" s="183"/>
      <c r="H54" s="183"/>
      <c r="I54" s="461"/>
      <c r="J54" s="6"/>
      <c r="K54" s="462"/>
      <c r="L54" s="6"/>
      <c r="M54" s="460"/>
      <c r="N54" s="6"/>
    </row>
    <row r="55" spans="2:23" x14ac:dyDescent="0.25">
      <c r="B55" s="6"/>
      <c r="C55" s="6"/>
      <c r="D55" s="6"/>
      <c r="E55" s="6"/>
      <c r="F55" s="6"/>
      <c r="G55" s="183"/>
      <c r="H55" s="183"/>
      <c r="I55" s="461"/>
      <c r="J55" s="6"/>
      <c r="K55" s="462"/>
      <c r="L55" s="6"/>
      <c r="M55" s="462"/>
      <c r="N55" s="6"/>
    </row>
    <row r="56" spans="2:23" x14ac:dyDescent="0.25">
      <c r="B56" s="6"/>
      <c r="C56" s="6"/>
      <c r="D56" s="6"/>
      <c r="E56" s="6"/>
      <c r="F56" s="6"/>
      <c r="G56" s="183"/>
      <c r="H56" s="183"/>
      <c r="I56" s="461"/>
      <c r="J56" s="6"/>
      <c r="K56" s="462"/>
      <c r="L56" s="6"/>
      <c r="M56" s="462"/>
      <c r="N56" s="6"/>
    </row>
    <row r="57" spans="2:23" x14ac:dyDescent="0.25">
      <c r="B57" s="6"/>
      <c r="C57" s="6"/>
      <c r="D57" s="6"/>
      <c r="E57" s="6"/>
      <c r="F57" s="6"/>
      <c r="G57" s="463"/>
      <c r="H57" s="341"/>
      <c r="I57" s="340"/>
      <c r="J57" s="6"/>
      <c r="K57" s="308"/>
      <c r="L57" s="6"/>
      <c r="M57" s="6"/>
      <c r="N57" s="6"/>
    </row>
    <row r="58" spans="2:23" x14ac:dyDescent="0.25">
      <c r="B58" s="6"/>
      <c r="C58" s="6"/>
      <c r="D58" s="6"/>
      <c r="E58" s="6"/>
      <c r="F58" s="6"/>
      <c r="G58" s="463"/>
      <c r="H58" s="463"/>
      <c r="I58" s="340"/>
      <c r="J58" s="6"/>
      <c r="K58" s="6"/>
      <c r="L58" s="6"/>
      <c r="M58" s="6"/>
      <c r="N58" s="6"/>
    </row>
    <row r="59" spans="2:23" x14ac:dyDescent="0.25">
      <c r="B59" s="6"/>
      <c r="C59" s="6"/>
      <c r="D59" s="6"/>
      <c r="E59" s="6"/>
      <c r="F59" s="6"/>
      <c r="G59" s="463"/>
      <c r="H59" s="463"/>
      <c r="I59" s="340"/>
      <c r="J59" s="6"/>
      <c r="K59" s="6"/>
      <c r="L59" s="6"/>
      <c r="M59" s="6"/>
      <c r="N59" s="6"/>
    </row>
    <row r="60" spans="2:23" x14ac:dyDescent="0.25">
      <c r="B60" s="6"/>
      <c r="C60" s="6"/>
      <c r="D60" s="6"/>
      <c r="E60" s="6"/>
      <c r="F60" s="6"/>
      <c r="G60" s="463"/>
      <c r="H60" s="463"/>
      <c r="I60" s="340"/>
      <c r="J60" s="6"/>
      <c r="K60" s="6"/>
      <c r="L60" s="6"/>
      <c r="M60" s="6"/>
      <c r="N60" s="6"/>
    </row>
    <row r="61" spans="2:23" x14ac:dyDescent="0.25">
      <c r="B61" s="6"/>
      <c r="C61" s="6"/>
      <c r="D61" s="6"/>
      <c r="E61" s="6"/>
      <c r="F61" s="6"/>
      <c r="G61" s="463"/>
      <c r="H61" s="463"/>
      <c r="I61" s="340"/>
      <c r="J61" s="6"/>
      <c r="K61" s="6"/>
      <c r="L61" s="6"/>
      <c r="M61" s="6"/>
      <c r="N61" s="6"/>
    </row>
    <row r="62" spans="2:23" x14ac:dyDescent="0.25">
      <c r="B62" s="6"/>
      <c r="C62" s="6"/>
      <c r="D62" s="6"/>
      <c r="E62" s="6"/>
      <c r="F62" s="6"/>
      <c r="G62" s="463"/>
      <c r="H62" s="463"/>
      <c r="I62" s="340"/>
      <c r="J62" s="6"/>
      <c r="K62" s="6"/>
      <c r="L62" s="6"/>
      <c r="M62" s="6"/>
      <c r="N62" s="6"/>
    </row>
    <row r="63" spans="2:23" x14ac:dyDescent="0.25">
      <c r="B63" s="6"/>
      <c r="C63" s="6"/>
      <c r="D63" s="6"/>
      <c r="E63" s="6"/>
      <c r="F63" s="6"/>
      <c r="G63" s="108"/>
      <c r="H63" s="108"/>
      <c r="I63" s="106"/>
      <c r="J63" s="6"/>
      <c r="K63" s="6"/>
      <c r="L63" s="6"/>
      <c r="M63" s="6"/>
      <c r="N63" s="6"/>
    </row>
    <row r="64" spans="2:23" x14ac:dyDescent="0.25">
      <c r="B64" s="6"/>
      <c r="C64" s="6"/>
      <c r="D64" s="6"/>
      <c r="E64" s="6"/>
      <c r="F64" s="6"/>
      <c r="G64" s="6"/>
      <c r="H64" s="6"/>
      <c r="I64" s="6"/>
      <c r="J64" s="6"/>
      <c r="K64" s="6"/>
      <c r="L64" s="6"/>
      <c r="M64" s="6"/>
      <c r="N64" s="6"/>
    </row>
    <row r="65" spans="2:14" x14ac:dyDescent="0.25">
      <c r="B65" s="6"/>
      <c r="C65" s="6"/>
      <c r="D65" s="6"/>
      <c r="E65" s="6"/>
      <c r="F65" s="6"/>
      <c r="G65" s="6"/>
      <c r="H65" s="6"/>
      <c r="I65" s="6"/>
      <c r="J65" s="6"/>
      <c r="K65" s="6"/>
      <c r="L65" s="6"/>
      <c r="M65" s="6"/>
      <c r="N65" s="6"/>
    </row>
    <row r="67" spans="2:14" ht="18" x14ac:dyDescent="0.35">
      <c r="B67" s="219"/>
    </row>
    <row r="68" spans="2:14" ht="18" x14ac:dyDescent="0.35">
      <c r="B68" s="219"/>
    </row>
    <row r="69" spans="2:14" ht="18" x14ac:dyDescent="0.35">
      <c r="B69" s="219"/>
    </row>
    <row r="70" spans="2:14" ht="18" x14ac:dyDescent="0.35">
      <c r="B70" s="219"/>
    </row>
    <row r="71" spans="2:14" ht="18" x14ac:dyDescent="0.35">
      <c r="B71" s="219"/>
    </row>
    <row r="72" spans="2:14" ht="18" x14ac:dyDescent="0.35">
      <c r="B72" s="219"/>
    </row>
    <row r="73" spans="2:14" ht="18" x14ac:dyDescent="0.35">
      <c r="B73" s="219"/>
    </row>
    <row r="74" spans="2:14" ht="18" x14ac:dyDescent="0.35">
      <c r="B74" s="219"/>
    </row>
    <row r="75" spans="2:14" ht="18" x14ac:dyDescent="0.35">
      <c r="B75" s="219"/>
    </row>
    <row r="76" spans="2:14" ht="18" x14ac:dyDescent="0.35">
      <c r="B76" s="219"/>
      <c r="G76" s="218"/>
    </row>
    <row r="77" spans="2:14" ht="18" x14ac:dyDescent="0.35">
      <c r="B77" s="219"/>
    </row>
    <row r="78" spans="2:14" ht="18" x14ac:dyDescent="0.35">
      <c r="B78" s="219"/>
    </row>
    <row r="79" spans="2:14" ht="18" x14ac:dyDescent="0.35">
      <c r="B79" s="219"/>
    </row>
    <row r="80" spans="2:14" ht="18" x14ac:dyDescent="0.35">
      <c r="B80" s="219"/>
    </row>
  </sheetData>
  <customSheetViews>
    <customSheetView guid="{D98A0717-74D0-4F54-BB8F-A337A1A9E4DF}" scale="75" showRuler="0">
      <selection activeCell="M40" sqref="M40"/>
      <pageMargins left="0.75" right="0.75" top="1" bottom="1" header="0.5" footer="0.5"/>
      <pageSetup paperSize="9" orientation="portrait"/>
      <headerFooter alignWithMargins="0"/>
    </customSheetView>
    <customSheetView guid="{5D986420-B83B-47C8-8160-784F77FFC196}" scale="75" showRuler="0">
      <selection activeCell="M40" sqref="M40"/>
      <pageMargins left="0.75" right="0.75" top="1" bottom="1" header="0.5" footer="0.5"/>
      <pageSetup paperSize="9" orientation="portrait"/>
      <headerFooter alignWithMargins="0"/>
    </customSheetView>
    <customSheetView guid="{C9029B8D-126A-43F1-8BE9-BB8A7DE12FBF}" scale="75" showRuler="0">
      <selection activeCell="M40" sqref="M40"/>
      <pageMargins left="0.75" right="0.75" top="1" bottom="1" header="0.5" footer="0.5"/>
      <pageSetup paperSize="9" orientation="portrait"/>
      <headerFooter alignWithMargins="0"/>
    </customSheetView>
    <customSheetView guid="{4284377C-91E6-4152-887E-8DA87560FDD6}" scale="75" showRuler="0">
      <selection activeCell="M40" sqref="M40"/>
      <pageMargins left="0.75" right="0.75" top="1" bottom="1" header="0.5" footer="0.5"/>
      <pageSetup paperSize="9" orientation="portrait"/>
      <headerFooter alignWithMargins="0"/>
    </customSheetView>
    <customSheetView guid="{546B9E27-05F9-47A7-B161-BCC56D613799}" scale="75" showRuler="0">
      <selection activeCell="M40" sqref="M40"/>
      <pageMargins left="0.75" right="0.75" top="1" bottom="1" header="0.5" footer="0.5"/>
      <pageSetup paperSize="9" orientation="portrait"/>
      <headerFooter alignWithMargins="0"/>
    </customSheetView>
  </customSheetViews>
  <mergeCells count="2">
    <mergeCell ref="M14:N14"/>
    <mergeCell ref="M22:N22"/>
  </mergeCells>
  <phoneticPr fontId="0" type="noConversion"/>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1:AB106"/>
  <sheetViews>
    <sheetView workbookViewId="0">
      <selection activeCell="E30" sqref="E30"/>
    </sheetView>
  </sheetViews>
  <sheetFormatPr defaultRowHeight="13.2" x14ac:dyDescent="0.25"/>
  <cols>
    <col min="2" max="2" width="33" bestFit="1" customWidth="1"/>
    <col min="3" max="3" width="12.6640625" bestFit="1" customWidth="1"/>
    <col min="4" max="4" width="11.44140625" bestFit="1" customWidth="1"/>
    <col min="5" max="5" width="12.44140625" bestFit="1" customWidth="1"/>
    <col min="6" max="6" width="13.6640625" bestFit="1" customWidth="1"/>
    <col min="7" max="7" width="14.6640625" bestFit="1" customWidth="1"/>
    <col min="18" max="18" width="19.109375" customWidth="1"/>
    <col min="19" max="19" width="17.77734375" customWidth="1"/>
    <col min="21" max="21" width="12.6640625" bestFit="1" customWidth="1"/>
    <col min="22" max="22" width="10" bestFit="1" customWidth="1"/>
    <col min="25" max="25" width="12.44140625" bestFit="1" customWidth="1"/>
    <col min="28" max="28" width="10" bestFit="1" customWidth="1"/>
  </cols>
  <sheetData>
    <row r="1" spans="2:15" x14ac:dyDescent="0.25">
      <c r="B1" t="s">
        <v>304</v>
      </c>
      <c r="E1" s="38">
        <f>+Invoerblad!E15</f>
        <v>15</v>
      </c>
    </row>
    <row r="2" spans="2:15" x14ac:dyDescent="0.25">
      <c r="B2" t="s">
        <v>363</v>
      </c>
      <c r="E2" s="449">
        <f>+Invoerblad!E25</f>
        <v>0</v>
      </c>
    </row>
    <row r="3" spans="2:15" x14ac:dyDescent="0.25">
      <c r="B3" t="s">
        <v>361</v>
      </c>
      <c r="D3" s="7">
        <f>MONTH(E3)-1</f>
        <v>0</v>
      </c>
      <c r="E3" s="449">
        <f>+Invoerblad!E26</f>
        <v>0</v>
      </c>
      <c r="F3" t="s">
        <v>368</v>
      </c>
    </row>
    <row r="4" spans="2:15" x14ac:dyDescent="0.25">
      <c r="B4" t="s">
        <v>362</v>
      </c>
      <c r="E4">
        <f>YEAR(E3)</f>
        <v>1900</v>
      </c>
      <c r="F4" t="s">
        <v>367</v>
      </c>
    </row>
    <row r="5" spans="2:15" ht="13.8" x14ac:dyDescent="0.25">
      <c r="B5" t="s">
        <v>366</v>
      </c>
      <c r="D5">
        <f>MONTH(E5)-1</f>
        <v>0</v>
      </c>
      <c r="E5" s="390">
        <f>DATE(E4,1,1)</f>
        <v>1</v>
      </c>
    </row>
    <row r="6" spans="2:15" x14ac:dyDescent="0.25">
      <c r="E6" s="172"/>
    </row>
    <row r="7" spans="2:15" x14ac:dyDescent="0.25">
      <c r="D7" t="s">
        <v>138</v>
      </c>
      <c r="E7" t="s">
        <v>140</v>
      </c>
    </row>
    <row r="8" spans="2:15" x14ac:dyDescent="0.25">
      <c r="B8" t="s">
        <v>364</v>
      </c>
      <c r="D8" s="172">
        <f>LARGE(E2:E3,1)</f>
        <v>0</v>
      </c>
      <c r="E8" s="172">
        <f>LARGE(E2:E3,1)</f>
        <v>0</v>
      </c>
      <c r="F8" t="s">
        <v>369</v>
      </c>
      <c r="L8">
        <v>5127</v>
      </c>
      <c r="M8">
        <v>350000</v>
      </c>
    </row>
    <row r="9" spans="2:15" x14ac:dyDescent="0.25">
      <c r="B9" t="s">
        <v>308</v>
      </c>
      <c r="D9" s="7">
        <f>YEAR(D8)</f>
        <v>1900</v>
      </c>
      <c r="E9" s="7">
        <f>YEAR(E8)</f>
        <v>1900</v>
      </c>
      <c r="M9">
        <v>282000</v>
      </c>
      <c r="N9">
        <f>+M9/M8</f>
        <v>0.80571428571428572</v>
      </c>
      <c r="O9">
        <f>+L8*N9</f>
        <v>4130.8971428571431</v>
      </c>
    </row>
    <row r="10" spans="2:15" ht="13.8" x14ac:dyDescent="0.25">
      <c r="B10" t="s">
        <v>309</v>
      </c>
      <c r="D10" s="475">
        <f>MONTH(D8)-1</f>
        <v>0</v>
      </c>
      <c r="E10" s="390">
        <f>DATE(E9,1,1)</f>
        <v>1</v>
      </c>
    </row>
    <row r="11" spans="2:15" x14ac:dyDescent="0.25">
      <c r="B11" t="s">
        <v>365</v>
      </c>
      <c r="D11" s="391">
        <f>(12-D10)/12</f>
        <v>1</v>
      </c>
      <c r="E11" s="391">
        <f>1-(E8-E10)/365</f>
        <v>1.0027397260273974</v>
      </c>
    </row>
    <row r="12" spans="2:15" x14ac:dyDescent="0.25">
      <c r="B12" t="s">
        <v>370</v>
      </c>
      <c r="D12" s="391">
        <f>1-(+D3-D5)/12</f>
        <v>1</v>
      </c>
      <c r="E12" s="391">
        <f>1-(+E3-E5)/365</f>
        <v>1.0027397260273974</v>
      </c>
    </row>
    <row r="14" spans="2:15" x14ac:dyDescent="0.25">
      <c r="B14" t="s">
        <v>301</v>
      </c>
      <c r="D14" s="391">
        <f>IF(E3&gt;E2,1-D11,1-D12)</f>
        <v>0</v>
      </c>
      <c r="E14" s="391">
        <f>IF(E3&gt;E2,1-E11,1-E12)</f>
        <v>-2.73972602739736E-3</v>
      </c>
      <c r="F14" t="s">
        <v>303</v>
      </c>
    </row>
    <row r="15" spans="2:15" x14ac:dyDescent="0.25">
      <c r="B15" t="s">
        <v>302</v>
      </c>
      <c r="D15" s="392">
        <f>1-D12</f>
        <v>0</v>
      </c>
      <c r="E15" s="392">
        <f>1-E12</f>
        <v>-2.73972602739736E-3</v>
      </c>
      <c r="F15" t="s">
        <v>303</v>
      </c>
    </row>
    <row r="17" spans="2:24" x14ac:dyDescent="0.25">
      <c r="B17" t="s">
        <v>305</v>
      </c>
      <c r="E17" s="391">
        <f>IF(E2&gt;E3,(+E2-E3)/365,0)</f>
        <v>0</v>
      </c>
      <c r="F17" s="169">
        <f>+E2-E3</f>
        <v>0</v>
      </c>
      <c r="G17" s="476">
        <v>-2.73972602739736E-3</v>
      </c>
    </row>
    <row r="18" spans="2:24" x14ac:dyDescent="0.25">
      <c r="B18" t="s">
        <v>306</v>
      </c>
      <c r="E18" s="392">
        <f>IF(Invoerblad!E26=DATE(2012,1,1),E1-E17-G17,E1-E17)</f>
        <v>15</v>
      </c>
    </row>
    <row r="19" spans="2:24" x14ac:dyDescent="0.25">
      <c r="B19" t="s">
        <v>307</v>
      </c>
      <c r="E19">
        <f>IF($E$11&lt;1,CEILING(E18-E11,1)+1,CEILING(E18,1))</f>
        <v>15</v>
      </c>
    </row>
    <row r="20" spans="2:24" x14ac:dyDescent="0.25">
      <c r="E20" s="392"/>
    </row>
    <row r="21" spans="2:24" x14ac:dyDescent="0.25">
      <c r="B21" t="s">
        <v>330</v>
      </c>
      <c r="E21">
        <v>1</v>
      </c>
      <c r="F21">
        <f>IF(COUNTA($E$21:E21)&gt;=$E$19,0,+E21+1)</f>
        <v>2</v>
      </c>
      <c r="G21">
        <f>IF(COUNTA($E$21:F21)&gt;=$E$19,0,+F21+1)</f>
        <v>3</v>
      </c>
      <c r="H21">
        <f>IF(COUNTA($E$21:G21)&gt;=$E$19,0,+G21+1)</f>
        <v>4</v>
      </c>
      <c r="I21">
        <f>IF(COUNTA($E$21:H21)&gt;=$E$19,0,+H21+1)</f>
        <v>5</v>
      </c>
      <c r="J21">
        <f>IF(COUNTA($E$21:I21)&gt;=$E$19,0,+I21+1)</f>
        <v>6</v>
      </c>
      <c r="K21">
        <f>IF(COUNTA($E$21:J21)&gt;=$E$19,0,+J21+1)</f>
        <v>7</v>
      </c>
      <c r="L21">
        <f>IF(COUNTA($E$21:K21)&gt;=$E$19,0,+K21+1)</f>
        <v>8</v>
      </c>
      <c r="M21">
        <f>IF(COUNTA($E$21:L21)&gt;=$E$19,0,+L21+1)</f>
        <v>9</v>
      </c>
      <c r="N21">
        <f>IF(COUNTA($E$21:M21)&gt;=$E$19,0,+M21+1)</f>
        <v>10</v>
      </c>
      <c r="O21">
        <f>IF(COUNTA($E$21:N21)&gt;=$E$19,0,+N21+1)</f>
        <v>11</v>
      </c>
      <c r="P21">
        <f>IF(COUNTA($E$21:O21)&gt;=$E$19,0,+O21+1)</f>
        <v>12</v>
      </c>
      <c r="Q21">
        <f>IF(COUNTA($E$21:P21)&gt;=$E$19,0,+P21+1)</f>
        <v>13</v>
      </c>
      <c r="R21">
        <f>IF(COUNTA($E$21:Q21)&gt;=$E$19,0,+Q21+1)</f>
        <v>14</v>
      </c>
      <c r="S21">
        <f>IF(COUNTA($E$21:R21)&gt;=$E$19,0,+R21+1)</f>
        <v>15</v>
      </c>
      <c r="T21">
        <f>IF(COUNTA($E$21:S21)&gt;=$E$19,0,+S21+1)</f>
        <v>0</v>
      </c>
      <c r="U21">
        <f>IF(COUNTA($E$21:T21)&gt;=$E$19,0,+T21+1)</f>
        <v>0</v>
      </c>
      <c r="V21">
        <f>IF(COUNTA($E$21:U21)&gt;=$E$19,0,+U21+1)</f>
        <v>0</v>
      </c>
      <c r="W21">
        <f>IF(COUNTA($E$21:V21)&gt;=$E$19,0,+V21+1)</f>
        <v>0</v>
      </c>
      <c r="X21">
        <f>IF(COUNTA($E$21:W21)&gt;=$E$19,0,+W21+1)</f>
        <v>0</v>
      </c>
    </row>
    <row r="22" spans="2:24" x14ac:dyDescent="0.25">
      <c r="B22" t="s">
        <v>330</v>
      </c>
      <c r="E22">
        <f>IF(ISBLANK($E$8),1,+$E$9)</f>
        <v>1900</v>
      </c>
      <c r="F22">
        <f>IF(F21&gt;0,+E22+1,0)</f>
        <v>1901</v>
      </c>
      <c r="G22">
        <f>IF(G21&gt;0,+F22+1,0)</f>
        <v>1902</v>
      </c>
      <c r="H22">
        <f>IF(H21&gt;0,+G22+1,0)</f>
        <v>1903</v>
      </c>
      <c r="I22">
        <f t="shared" ref="I22:U22" si="0">IF(I21&gt;0,+H22+1,0)</f>
        <v>1904</v>
      </c>
      <c r="J22">
        <f t="shared" si="0"/>
        <v>1905</v>
      </c>
      <c r="K22">
        <f t="shared" si="0"/>
        <v>1906</v>
      </c>
      <c r="L22">
        <f t="shared" si="0"/>
        <v>1907</v>
      </c>
      <c r="M22">
        <f t="shared" si="0"/>
        <v>1908</v>
      </c>
      <c r="N22">
        <f t="shared" si="0"/>
        <v>1909</v>
      </c>
      <c r="O22">
        <f t="shared" si="0"/>
        <v>1910</v>
      </c>
      <c r="P22">
        <f t="shared" si="0"/>
        <v>1911</v>
      </c>
      <c r="Q22">
        <f>IF(Q21&gt;0,+P22+1,0)</f>
        <v>1912</v>
      </c>
      <c r="R22">
        <f t="shared" si="0"/>
        <v>1913</v>
      </c>
      <c r="S22">
        <f t="shared" si="0"/>
        <v>1914</v>
      </c>
      <c r="T22">
        <f t="shared" si="0"/>
        <v>0</v>
      </c>
      <c r="U22">
        <f t="shared" si="0"/>
        <v>0</v>
      </c>
      <c r="V22">
        <f>IF(V21&gt;0,+U22+1,0)</f>
        <v>0</v>
      </c>
      <c r="W22">
        <f>IF(W21&gt;0,+V22+1,0)</f>
        <v>0</v>
      </c>
      <c r="X22">
        <f>IF(X21&gt;0,+W22+1,0)</f>
        <v>0</v>
      </c>
    </row>
    <row r="24" spans="2:24" x14ac:dyDescent="0.25">
      <c r="B24" t="s">
        <v>331</v>
      </c>
      <c r="C24" t="s">
        <v>139</v>
      </c>
      <c r="E24" s="392">
        <f>IF(E21=0,0,IF(E21=1,+$E$11,IF(D25+1&lt;=$E$18,1,IF(E22&gt;=0,$E$14,0))))</f>
        <v>1.0027397260273974</v>
      </c>
      <c r="F24" s="392">
        <f t="shared" ref="F24:X24" si="1">IF(F21=0,0,IF(F21=1,+$E$11,IF(E25+1&lt;=$E$18,1,IF(F22&gt;=0,$E$14,0))))</f>
        <v>1</v>
      </c>
      <c r="G24" s="392">
        <f t="shared" si="1"/>
        <v>1</v>
      </c>
      <c r="H24" s="392">
        <f t="shared" si="1"/>
        <v>1</v>
      </c>
      <c r="I24" s="392">
        <f t="shared" si="1"/>
        <v>1</v>
      </c>
      <c r="J24" s="392">
        <f t="shared" si="1"/>
        <v>1</v>
      </c>
      <c r="K24" s="392">
        <f t="shared" si="1"/>
        <v>1</v>
      </c>
      <c r="L24" s="392">
        <f t="shared" si="1"/>
        <v>1</v>
      </c>
      <c r="M24" s="392">
        <f t="shared" si="1"/>
        <v>1</v>
      </c>
      <c r="N24" s="392">
        <f t="shared" si="1"/>
        <v>1</v>
      </c>
      <c r="O24" s="392">
        <f t="shared" si="1"/>
        <v>1</v>
      </c>
      <c r="P24" s="392">
        <f t="shared" si="1"/>
        <v>1</v>
      </c>
      <c r="Q24" s="392">
        <f t="shared" si="1"/>
        <v>1</v>
      </c>
      <c r="R24" s="392">
        <f t="shared" si="1"/>
        <v>1</v>
      </c>
      <c r="S24" s="392">
        <f t="shared" si="1"/>
        <v>-2.73972602739736E-3</v>
      </c>
      <c r="T24" s="392">
        <f t="shared" si="1"/>
        <v>0</v>
      </c>
      <c r="U24" s="392">
        <f t="shared" si="1"/>
        <v>0</v>
      </c>
      <c r="V24" s="392">
        <f t="shared" si="1"/>
        <v>0</v>
      </c>
      <c r="W24" s="392">
        <f t="shared" si="1"/>
        <v>0</v>
      </c>
      <c r="X24" s="392">
        <f t="shared" si="1"/>
        <v>0</v>
      </c>
    </row>
    <row r="25" spans="2:24" x14ac:dyDescent="0.25">
      <c r="E25" s="392">
        <f>+E24</f>
        <v>1.0027397260273974</v>
      </c>
      <c r="F25" s="392">
        <f>+E25+F24</f>
        <v>2.0027397260273974</v>
      </c>
      <c r="G25" s="392">
        <f t="shared" ref="G25:X25" si="2">+F25+G24</f>
        <v>3.0027397260273974</v>
      </c>
      <c r="H25" s="392">
        <f t="shared" si="2"/>
        <v>4.0027397260273974</v>
      </c>
      <c r="I25" s="392">
        <f t="shared" si="2"/>
        <v>5.0027397260273974</v>
      </c>
      <c r="J25" s="392">
        <f t="shared" si="2"/>
        <v>6.0027397260273974</v>
      </c>
      <c r="K25" s="392">
        <f t="shared" si="2"/>
        <v>7.0027397260273974</v>
      </c>
      <c r="L25" s="392">
        <f t="shared" si="2"/>
        <v>8.0027397260273965</v>
      </c>
      <c r="M25" s="392">
        <f t="shared" si="2"/>
        <v>9.0027397260273965</v>
      </c>
      <c r="N25" s="392">
        <f t="shared" si="2"/>
        <v>10.002739726027396</v>
      </c>
      <c r="O25" s="392">
        <f t="shared" si="2"/>
        <v>11.002739726027396</v>
      </c>
      <c r="P25" s="392">
        <f t="shared" si="2"/>
        <v>12.002739726027396</v>
      </c>
      <c r="Q25" s="392">
        <f t="shared" si="2"/>
        <v>13.002739726027396</v>
      </c>
      <c r="R25" s="392">
        <f t="shared" si="2"/>
        <v>14.002739726027396</v>
      </c>
      <c r="S25" s="392">
        <f t="shared" si="2"/>
        <v>14</v>
      </c>
      <c r="T25" s="392">
        <f>+S25+T24</f>
        <v>14</v>
      </c>
      <c r="U25" s="392">
        <f t="shared" si="2"/>
        <v>14</v>
      </c>
      <c r="V25" s="392">
        <f t="shared" si="2"/>
        <v>14</v>
      </c>
      <c r="W25" s="392">
        <f t="shared" si="2"/>
        <v>14</v>
      </c>
      <c r="X25" s="392">
        <f t="shared" si="2"/>
        <v>14</v>
      </c>
    </row>
    <row r="26" spans="2:24" x14ac:dyDescent="0.25">
      <c r="B26" s="38"/>
      <c r="C26" s="38"/>
      <c r="D26" s="448"/>
      <c r="E26" s="38"/>
      <c r="F26" s="38"/>
      <c r="G26" s="38"/>
      <c r="H26" s="38"/>
      <c r="I26" s="38"/>
      <c r="J26" s="38"/>
      <c r="K26" s="38"/>
      <c r="L26" s="38"/>
      <c r="M26" s="38"/>
      <c r="N26" s="38"/>
      <c r="O26" s="38"/>
      <c r="P26" s="38"/>
      <c r="Q26" s="38"/>
      <c r="R26" s="38"/>
      <c r="S26" s="38"/>
      <c r="T26" s="38"/>
      <c r="U26" s="38"/>
      <c r="V26" s="38"/>
      <c r="W26" s="38"/>
      <c r="X26" s="38"/>
    </row>
    <row r="27" spans="2:24" x14ac:dyDescent="0.25">
      <c r="B27" t="s">
        <v>330</v>
      </c>
      <c r="E27">
        <v>1</v>
      </c>
      <c r="F27">
        <f>IF(COUNTA($E$27:E27)&gt;=$E$19,0,+E27+1)</f>
        <v>2</v>
      </c>
      <c r="G27">
        <f>IF(COUNTA($E$27:F27)&gt;=$E$19,0,+F27+1)</f>
        <v>3</v>
      </c>
      <c r="H27">
        <f>IF(COUNTA($E$27:G27)&gt;=$E$19,0,+G27+1)</f>
        <v>4</v>
      </c>
      <c r="I27">
        <f>IF(COUNTA($E$27:H27)&gt;=$E$19,0,+H27+1)</f>
        <v>5</v>
      </c>
      <c r="J27">
        <f>IF(COUNTA($E$27:I27)&gt;=$E$19,0,+I27+1)</f>
        <v>6</v>
      </c>
      <c r="K27">
        <f>IF(COUNTA($E$27:J27)&gt;=$E$19,0,+J27+1)</f>
        <v>7</v>
      </c>
      <c r="L27">
        <f>IF(COUNTA($E$27:K27)&gt;=$E$19,0,+K27+1)</f>
        <v>8</v>
      </c>
      <c r="M27">
        <f>IF(COUNTA($E$27:L27)&gt;=$E$19,0,+L27+1)</f>
        <v>9</v>
      </c>
      <c r="N27">
        <f>IF(COUNTA($E$27:M27)&gt;=$E$19,0,+M27+1)</f>
        <v>10</v>
      </c>
      <c r="O27">
        <f>IF(COUNTA($E$27:N27)&gt;=$E$19,0,+N27+1)</f>
        <v>11</v>
      </c>
      <c r="P27">
        <f>IF(COUNTA($E$27:O27)&gt;=$E$19,0,+O27+1)</f>
        <v>12</v>
      </c>
      <c r="Q27">
        <f>IF(COUNTA($E$27:P27)&gt;=$E$19,0,+P27+1)</f>
        <v>13</v>
      </c>
      <c r="R27">
        <f>IF(COUNTA($E$27:Q27)&gt;=$E$19,0,+Q27+1)</f>
        <v>14</v>
      </c>
      <c r="S27">
        <f>IF(COUNTA($E$27:R27)&gt;=$E$19,0,+R27+1)</f>
        <v>15</v>
      </c>
      <c r="T27">
        <f>IF(COUNTA($E$27:S27)&gt;=$E$19,0,+S27+1)</f>
        <v>0</v>
      </c>
      <c r="U27">
        <f>IF(COUNTA($E$27:T27)&gt;=$E$19,0,+T27+1)</f>
        <v>0</v>
      </c>
      <c r="V27">
        <f>IF(COUNTA($E$27:U27)&gt;=$E$19,0,+U27+1)</f>
        <v>0</v>
      </c>
      <c r="W27">
        <f>IF(COUNTA($E$27:V27)&gt;=$E$19,0,+V27+1)</f>
        <v>0</v>
      </c>
      <c r="X27">
        <f>IF(COUNTA($E$27:W27)&gt;=$E$19,0,+W27+1)</f>
        <v>0</v>
      </c>
    </row>
    <row r="28" spans="2:24" x14ac:dyDescent="0.25">
      <c r="B28" t="s">
        <v>330</v>
      </c>
      <c r="E28">
        <f>IF(ISBLANK($E$8),1,+$E$9)</f>
        <v>1900</v>
      </c>
      <c r="F28">
        <f t="shared" ref="F28:X28" si="3">IF(F27&gt;0,+E28+1,0)</f>
        <v>1901</v>
      </c>
      <c r="G28">
        <f t="shared" si="3"/>
        <v>1902</v>
      </c>
      <c r="H28">
        <f t="shared" si="3"/>
        <v>1903</v>
      </c>
      <c r="I28">
        <f t="shared" si="3"/>
        <v>1904</v>
      </c>
      <c r="J28">
        <f t="shared" si="3"/>
        <v>1905</v>
      </c>
      <c r="K28">
        <f t="shared" si="3"/>
        <v>1906</v>
      </c>
      <c r="L28">
        <f t="shared" si="3"/>
        <v>1907</v>
      </c>
      <c r="M28">
        <f t="shared" si="3"/>
        <v>1908</v>
      </c>
      <c r="N28">
        <f t="shared" si="3"/>
        <v>1909</v>
      </c>
      <c r="O28">
        <f t="shared" si="3"/>
        <v>1910</v>
      </c>
      <c r="P28">
        <f t="shared" si="3"/>
        <v>1911</v>
      </c>
      <c r="Q28">
        <f t="shared" si="3"/>
        <v>1912</v>
      </c>
      <c r="R28">
        <f t="shared" si="3"/>
        <v>1913</v>
      </c>
      <c r="S28">
        <f t="shared" si="3"/>
        <v>1914</v>
      </c>
      <c r="T28">
        <f t="shared" si="3"/>
        <v>0</v>
      </c>
      <c r="U28">
        <f t="shared" si="3"/>
        <v>0</v>
      </c>
      <c r="V28">
        <f t="shared" si="3"/>
        <v>0</v>
      </c>
      <c r="W28">
        <f t="shared" si="3"/>
        <v>0</v>
      </c>
      <c r="X28">
        <f t="shared" si="3"/>
        <v>0</v>
      </c>
    </row>
    <row r="30" spans="2:24" x14ac:dyDescent="0.25">
      <c r="B30" t="s">
        <v>331</v>
      </c>
      <c r="C30" t="s">
        <v>137</v>
      </c>
      <c r="E30" s="392">
        <f>IF(E27=0,0,IF(E27=1,+$D$11,IF(D31+1&lt;=$E$18,1,IF(E28&gt;=0,$D$14,0))))</f>
        <v>1</v>
      </c>
      <c r="F30" s="392">
        <f t="shared" ref="F30:X30" si="4">IF(F27=0,0,IF(F27=1,+$D$11,IF(E31+1&lt;=$E$18,1,IF(F28&gt;=0,$D$14,0))))</f>
        <v>1</v>
      </c>
      <c r="G30" s="392">
        <f t="shared" si="4"/>
        <v>1</v>
      </c>
      <c r="H30" s="392">
        <f t="shared" si="4"/>
        <v>1</v>
      </c>
      <c r="I30" s="392">
        <f t="shared" si="4"/>
        <v>1</v>
      </c>
      <c r="J30" s="392">
        <f t="shared" si="4"/>
        <v>1</v>
      </c>
      <c r="K30" s="392">
        <f t="shared" si="4"/>
        <v>1</v>
      </c>
      <c r="L30" s="392">
        <f t="shared" si="4"/>
        <v>1</v>
      </c>
      <c r="M30" s="392">
        <f t="shared" si="4"/>
        <v>1</v>
      </c>
      <c r="N30" s="392">
        <f t="shared" si="4"/>
        <v>1</v>
      </c>
      <c r="O30" s="392">
        <f t="shared" si="4"/>
        <v>1</v>
      </c>
      <c r="P30" s="392">
        <f t="shared" si="4"/>
        <v>1</v>
      </c>
      <c r="Q30" s="392">
        <f t="shared" si="4"/>
        <v>1</v>
      </c>
      <c r="R30" s="392">
        <f t="shared" si="4"/>
        <v>1</v>
      </c>
      <c r="S30" s="392">
        <f t="shared" si="4"/>
        <v>1</v>
      </c>
      <c r="T30" s="392">
        <f t="shared" si="4"/>
        <v>0</v>
      </c>
      <c r="U30" s="392">
        <f t="shared" si="4"/>
        <v>0</v>
      </c>
      <c r="V30" s="392">
        <f t="shared" si="4"/>
        <v>0</v>
      </c>
      <c r="W30" s="392">
        <f t="shared" si="4"/>
        <v>0</v>
      </c>
      <c r="X30" s="392">
        <f t="shared" si="4"/>
        <v>0</v>
      </c>
    </row>
    <row r="31" spans="2:24" x14ac:dyDescent="0.25">
      <c r="E31" s="392">
        <f>+E30</f>
        <v>1</v>
      </c>
      <c r="F31" s="392">
        <f t="shared" ref="F31:X31" si="5">+E31+F30</f>
        <v>2</v>
      </c>
      <c r="G31" s="392">
        <f t="shared" si="5"/>
        <v>3</v>
      </c>
      <c r="H31" s="392">
        <f t="shared" si="5"/>
        <v>4</v>
      </c>
      <c r="I31" s="392">
        <f t="shared" si="5"/>
        <v>5</v>
      </c>
      <c r="J31" s="392">
        <f t="shared" si="5"/>
        <v>6</v>
      </c>
      <c r="K31" s="392">
        <f t="shared" si="5"/>
        <v>7</v>
      </c>
      <c r="L31" s="392">
        <f t="shared" si="5"/>
        <v>8</v>
      </c>
      <c r="M31" s="392">
        <f t="shared" si="5"/>
        <v>9</v>
      </c>
      <c r="N31" s="392">
        <f t="shared" si="5"/>
        <v>10</v>
      </c>
      <c r="O31" s="392">
        <f t="shared" si="5"/>
        <v>11</v>
      </c>
      <c r="P31" s="392">
        <f t="shared" si="5"/>
        <v>12</v>
      </c>
      <c r="Q31" s="392">
        <f t="shared" si="5"/>
        <v>13</v>
      </c>
      <c r="R31" s="392">
        <f t="shared" si="5"/>
        <v>14</v>
      </c>
      <c r="S31" s="392">
        <f t="shared" si="5"/>
        <v>15</v>
      </c>
      <c r="T31" s="392">
        <f t="shared" si="5"/>
        <v>15</v>
      </c>
      <c r="U31" s="392">
        <f t="shared" si="5"/>
        <v>15</v>
      </c>
      <c r="V31" s="392">
        <f t="shared" si="5"/>
        <v>15</v>
      </c>
      <c r="W31" s="392">
        <f t="shared" si="5"/>
        <v>15</v>
      </c>
      <c r="X31" s="392">
        <f t="shared" si="5"/>
        <v>15</v>
      </c>
    </row>
    <row r="32" spans="2:24" x14ac:dyDescent="0.25">
      <c r="B32" s="38"/>
      <c r="C32" s="38"/>
      <c r="D32" s="38"/>
      <c r="E32" s="38"/>
      <c r="F32" s="38"/>
      <c r="G32" s="38"/>
      <c r="H32" s="38"/>
      <c r="I32" s="38"/>
      <c r="J32" s="38"/>
      <c r="K32" s="38"/>
      <c r="L32" s="38"/>
      <c r="M32" s="38"/>
      <c r="N32" s="38"/>
      <c r="O32" s="38"/>
      <c r="P32" s="38"/>
      <c r="Q32" s="38"/>
      <c r="R32" s="38"/>
      <c r="S32" s="38"/>
      <c r="T32" s="38"/>
      <c r="U32" s="38"/>
      <c r="V32" s="38"/>
      <c r="W32" s="38"/>
      <c r="X32" s="38"/>
    </row>
    <row r="33" spans="1:24" x14ac:dyDescent="0.25">
      <c r="F33" s="38"/>
      <c r="T33" s="393"/>
    </row>
    <row r="34" spans="1:24" ht="13.8" thickBot="1" x14ac:dyDescent="0.3">
      <c r="B34" s="2" t="s">
        <v>284</v>
      </c>
      <c r="F34" s="38"/>
    </row>
    <row r="35" spans="1:24" x14ac:dyDescent="0.25">
      <c r="E35" s="405">
        <f>IF(Invoerblad!$E$35&lt;=12,0,((Invoerblad!$E$35/12-1)/2))</f>
        <v>0</v>
      </c>
      <c r="F35">
        <f>+Invoerblad!E35</f>
        <v>0</v>
      </c>
      <c r="G35" t="s">
        <v>143</v>
      </c>
    </row>
    <row r="36" spans="1:24" ht="13.8" thickBot="1" x14ac:dyDescent="0.3">
      <c r="A36" t="s">
        <v>152</v>
      </c>
      <c r="B36" s="2" t="s">
        <v>285</v>
      </c>
      <c r="E36" s="446">
        <f>1/POWER((1+Invoerblad!$E$75),$E$35)</f>
        <v>1</v>
      </c>
      <c r="F36" t="s">
        <v>286</v>
      </c>
      <c r="N36" t="s">
        <v>289</v>
      </c>
    </row>
    <row r="37" spans="1:24" x14ac:dyDescent="0.25">
      <c r="F37" s="38" t="s">
        <v>325</v>
      </c>
    </row>
    <row r="39" spans="1:24" x14ac:dyDescent="0.25">
      <c r="B39" s="38"/>
      <c r="R39" s="38"/>
    </row>
    <row r="41" spans="1:24" ht="13.8" thickBot="1" x14ac:dyDescent="0.3"/>
    <row r="42" spans="1:24" ht="13.8" x14ac:dyDescent="0.25">
      <c r="A42" t="s">
        <v>153</v>
      </c>
      <c r="B42" s="2" t="s">
        <v>135</v>
      </c>
      <c r="E42" s="394">
        <f>+(E8-E10)/365</f>
        <v>-2.7397260273972603E-3</v>
      </c>
      <c r="F42" t="s">
        <v>290</v>
      </c>
      <c r="J42" s="378" t="s">
        <v>326</v>
      </c>
      <c r="K42" s="408"/>
      <c r="L42" s="378"/>
      <c r="M42" s="378"/>
      <c r="N42" s="378"/>
      <c r="O42" s="378"/>
      <c r="P42" s="378"/>
      <c r="Q42" s="378"/>
      <c r="R42" s="378"/>
      <c r="S42" s="378"/>
      <c r="T42" s="378"/>
      <c r="U42" s="378"/>
    </row>
    <row r="43" spans="1:24" ht="14.4" thickBot="1" x14ac:dyDescent="0.3">
      <c r="C43" t="s">
        <v>136</v>
      </c>
      <c r="E43" s="441">
        <f>+D48</f>
        <v>1</v>
      </c>
      <c r="H43" s="401"/>
      <c r="J43" s="441" t="s">
        <v>318</v>
      </c>
      <c r="K43" s="378"/>
      <c r="L43" s="378"/>
      <c r="M43" s="378"/>
      <c r="N43" s="378"/>
      <c r="O43" s="378"/>
      <c r="P43" s="378"/>
      <c r="Q43" s="378"/>
      <c r="R43" s="378"/>
      <c r="S43" s="378"/>
      <c r="T43" s="378"/>
      <c r="U43" s="442">
        <f>11000/193000000</f>
        <v>5.6994818652849744E-5</v>
      </c>
      <c r="V43">
        <f>POWER(1+Invoerblad!$E$75,E42)</f>
        <v>1</v>
      </c>
      <c r="W43" s="410">
        <f>+(E43-V43)/E43</f>
        <v>0</v>
      </c>
    </row>
    <row r="44" spans="1:24" ht="13.8" x14ac:dyDescent="0.25">
      <c r="E44" s="406"/>
      <c r="F44" s="172"/>
      <c r="G44" s="169"/>
    </row>
    <row r="45" spans="1:24" ht="14.4" thickBot="1" x14ac:dyDescent="0.3">
      <c r="D45" t="s">
        <v>327</v>
      </c>
      <c r="E45" s="406"/>
      <c r="F45" s="172"/>
      <c r="G45" s="169"/>
    </row>
    <row r="46" spans="1:24" x14ac:dyDescent="0.25">
      <c r="B46" s="392"/>
      <c r="D46" s="443">
        <f>NPV(Invoerblad!$E$75,'Hulpberekeningen 2'!$E$24:$X$24)</f>
        <v>14</v>
      </c>
      <c r="E46" s="435"/>
      <c r="F46" s="435">
        <f t="shared" ref="F46:P46" si="6">IF(F24=0,0,IF(F24&gt;=$E$42,$E$42,IF(F24&lt;$E$42,F24,"klopt niet")))</f>
        <v>-2.7397260273972603E-3</v>
      </c>
      <c r="G46" s="435">
        <f t="shared" si="6"/>
        <v>-2.7397260273972603E-3</v>
      </c>
      <c r="H46" s="435">
        <f t="shared" si="6"/>
        <v>-2.7397260273972603E-3</v>
      </c>
      <c r="I46" s="435">
        <f t="shared" si="6"/>
        <v>-2.7397260273972603E-3</v>
      </c>
      <c r="J46" s="435">
        <f t="shared" si="6"/>
        <v>-2.7397260273972603E-3</v>
      </c>
      <c r="K46" s="435">
        <f t="shared" si="6"/>
        <v>-2.7397260273972603E-3</v>
      </c>
      <c r="L46" s="435">
        <f t="shared" si="6"/>
        <v>-2.7397260273972603E-3</v>
      </c>
      <c r="M46" s="435">
        <f t="shared" si="6"/>
        <v>-2.7397260273972603E-3</v>
      </c>
      <c r="N46" s="435">
        <f t="shared" si="6"/>
        <v>-2.7397260273972603E-3</v>
      </c>
      <c r="O46" s="435">
        <f t="shared" si="6"/>
        <v>-2.7397260273972603E-3</v>
      </c>
      <c r="P46" s="435">
        <f t="shared" si="6"/>
        <v>-2.7397260273972603E-3</v>
      </c>
      <c r="Q46" s="435">
        <f>IF(Q24=0,0,IF(Q24&gt;=$E$42,$E$42,IF(Q24&lt;$E$42,Q24,"klopt niet")))</f>
        <v>-2.7397260273972603E-3</v>
      </c>
      <c r="R46" s="435">
        <f t="shared" ref="R46:X46" si="7">IF(R24=0,0,IF(R24&gt;=$E$42,$E$42,IF(R24&lt;$E$42,R24,"klopt niet")))</f>
        <v>-2.7397260273972603E-3</v>
      </c>
      <c r="S46" s="435">
        <f t="shared" si="7"/>
        <v>-2.73972602739736E-3</v>
      </c>
      <c r="T46" s="435">
        <f t="shared" si="7"/>
        <v>0</v>
      </c>
      <c r="U46" s="435">
        <f t="shared" si="7"/>
        <v>0</v>
      </c>
      <c r="V46" s="435">
        <f t="shared" si="7"/>
        <v>0</v>
      </c>
      <c r="W46" s="435">
        <f t="shared" si="7"/>
        <v>0</v>
      </c>
      <c r="X46" s="436">
        <f t="shared" si="7"/>
        <v>0</v>
      </c>
    </row>
    <row r="47" spans="1:24" ht="13.8" x14ac:dyDescent="0.25">
      <c r="D47" s="444">
        <f>NPV(Invoerblad!$E$75,'Hulpberekeningen 2'!F47:X47)</f>
        <v>0</v>
      </c>
      <c r="E47" s="411"/>
      <c r="F47" s="411">
        <f>(F46)-(F46)/(1+Invoerblad!$E$75)</f>
        <v>0</v>
      </c>
      <c r="G47" s="409">
        <f>(G46)-(G46)/(1+Invoerblad!$E$75)</f>
        <v>0</v>
      </c>
      <c r="H47" s="409">
        <f>(H46)-(H46)/(1+Invoerblad!$E$75)</f>
        <v>0</v>
      </c>
      <c r="I47" s="409">
        <f>(I46)-(I46)/(1+Invoerblad!$E$75)</f>
        <v>0</v>
      </c>
      <c r="J47" s="409">
        <f>(J46)-(J46)/(1+Invoerblad!$E$75)</f>
        <v>0</v>
      </c>
      <c r="K47" s="409">
        <f>(K46)-(K46)/(1+Invoerblad!$E$75)</f>
        <v>0</v>
      </c>
      <c r="L47" s="409">
        <f>(L46)-(L46)/(1+Invoerblad!$E$75)</f>
        <v>0</v>
      </c>
      <c r="M47" s="409">
        <f>(M46)-(M46)/(1+Invoerblad!$E$75)</f>
        <v>0</v>
      </c>
      <c r="N47" s="409">
        <f>(N46)-(N46)/(1+Invoerblad!$E$75)</f>
        <v>0</v>
      </c>
      <c r="O47" s="409">
        <f>(O46)-(O46)/(1+Invoerblad!$E$75)</f>
        <v>0</v>
      </c>
      <c r="P47" s="409">
        <f>(P46)-(P46)/(1+Invoerblad!$E$75)</f>
        <v>0</v>
      </c>
      <c r="Q47" s="409">
        <f>(Q46)-(Q46)/(1+Invoerblad!$E$75)</f>
        <v>0</v>
      </c>
      <c r="R47" s="409">
        <f>(R46)-(R46)/(1+Invoerblad!$E$75)</f>
        <v>0</v>
      </c>
      <c r="S47" s="409">
        <f>(S46)-(S46)/(1+Invoerblad!$E$75)</f>
        <v>0</v>
      </c>
      <c r="T47" s="409">
        <f>(T46)-(T46)/(1+Invoerblad!$E$75)</f>
        <v>0</v>
      </c>
      <c r="U47" s="409">
        <f>(U46)-(U46)/(1+Invoerblad!$E$75)</f>
        <v>0</v>
      </c>
      <c r="V47" s="409">
        <f>(V46)-(V46)/(1+Invoerblad!$E$75)</f>
        <v>0</v>
      </c>
      <c r="W47" s="409">
        <f>(W46)-(W46)/(1+Invoerblad!$E$75)</f>
        <v>0</v>
      </c>
      <c r="X47" s="437">
        <f>(X46)-(X46)/(1+Invoerblad!$E$75)</f>
        <v>0</v>
      </c>
    </row>
    <row r="48" spans="1:24" ht="14.4" thickBot="1" x14ac:dyDescent="0.3">
      <c r="D48" s="450">
        <f>1+D47/D46</f>
        <v>1</v>
      </c>
      <c r="E48" s="438"/>
      <c r="F48" s="439"/>
      <c r="G48" s="440"/>
      <c r="H48" s="29"/>
      <c r="I48" s="29"/>
      <c r="J48" s="29"/>
      <c r="K48" s="29"/>
      <c r="L48" s="29"/>
      <c r="M48" s="29"/>
      <c r="N48" s="29"/>
      <c r="O48" s="29"/>
      <c r="P48" s="29"/>
      <c r="Q48" s="29"/>
      <c r="R48" s="29"/>
      <c r="S48" s="29"/>
      <c r="T48" s="29"/>
      <c r="U48" s="29"/>
      <c r="V48" s="29"/>
      <c r="W48" s="29"/>
      <c r="X48" s="50"/>
    </row>
    <row r="49" spans="1:25" x14ac:dyDescent="0.25">
      <c r="E49" s="156"/>
    </row>
    <row r="52" spans="1:25" ht="13.8" thickBot="1" x14ac:dyDescent="0.3"/>
    <row r="53" spans="1:25" ht="13.8" x14ac:dyDescent="0.25">
      <c r="A53" t="s">
        <v>328</v>
      </c>
      <c r="B53" s="445" t="s">
        <v>412</v>
      </c>
      <c r="C53" s="38"/>
      <c r="D53" s="38"/>
      <c r="E53" s="394">
        <f>IF(E3&gt;E2,+(E3-E2)/365,0)</f>
        <v>0</v>
      </c>
      <c r="F53" s="38" t="s">
        <v>291</v>
      </c>
      <c r="G53" s="38"/>
      <c r="I53" t="s">
        <v>413</v>
      </c>
    </row>
    <row r="54" spans="1:25" ht="14.4" thickBot="1" x14ac:dyDescent="0.3">
      <c r="B54" s="38"/>
      <c r="C54" s="38"/>
      <c r="D54" s="38"/>
      <c r="E54" s="447">
        <f>1/POWER(1+Invoerblad!$E$75,E53)</f>
        <v>1</v>
      </c>
      <c r="F54" s="38"/>
      <c r="G54" s="38"/>
      <c r="I54" t="s">
        <v>414</v>
      </c>
    </row>
    <row r="55" spans="1:25" x14ac:dyDescent="0.25">
      <c r="B55" s="38"/>
      <c r="C55" s="38"/>
      <c r="D55" s="38"/>
      <c r="E55" s="38"/>
      <c r="F55" s="38"/>
      <c r="G55" s="38"/>
    </row>
    <row r="58" spans="1:25" x14ac:dyDescent="0.25">
      <c r="A58" s="2" t="s">
        <v>324</v>
      </c>
      <c r="B58" s="434" t="s">
        <v>324</v>
      </c>
      <c r="C58" s="383"/>
      <c r="D58" s="383" t="s">
        <v>397</v>
      </c>
      <c r="E58" s="383"/>
      <c r="F58" s="383"/>
      <c r="G58" s="383"/>
      <c r="H58" s="383"/>
      <c r="I58" s="383"/>
      <c r="J58" s="383"/>
      <c r="K58" s="383"/>
      <c r="L58" s="383"/>
      <c r="M58" s="383" t="s">
        <v>385</v>
      </c>
      <c r="N58" s="383"/>
      <c r="O58" s="383"/>
      <c r="P58" s="383"/>
      <c r="Q58" s="383"/>
      <c r="R58" s="383"/>
      <c r="S58" s="383"/>
      <c r="T58" s="383"/>
      <c r="U58" s="383"/>
      <c r="V58" s="383"/>
      <c r="W58" s="383"/>
      <c r="X58" s="383"/>
      <c r="Y58" s="379"/>
    </row>
    <row r="59" spans="1:25" x14ac:dyDescent="0.25">
      <c r="B59" s="380" t="s">
        <v>384</v>
      </c>
      <c r="C59" s="6" t="s">
        <v>398</v>
      </c>
      <c r="D59" s="6" t="s">
        <v>396</v>
      </c>
      <c r="E59" s="6" t="s">
        <v>203</v>
      </c>
      <c r="F59" s="6"/>
      <c r="G59" s="6"/>
      <c r="H59" s="6"/>
      <c r="I59" s="6"/>
      <c r="J59" s="6"/>
      <c r="K59" s="6"/>
      <c r="L59" s="6"/>
      <c r="M59" s="6"/>
      <c r="N59" s="6"/>
      <c r="O59" s="6"/>
      <c r="P59" s="6"/>
      <c r="Q59" s="6" t="s">
        <v>403</v>
      </c>
      <c r="R59" s="6"/>
      <c r="S59" s="6"/>
      <c r="T59" s="6"/>
      <c r="U59" s="6"/>
      <c r="V59" s="6" t="s">
        <v>408</v>
      </c>
      <c r="W59" s="6"/>
      <c r="X59" s="6" t="s">
        <v>410</v>
      </c>
      <c r="Y59" s="381"/>
    </row>
    <row r="60" spans="1:25" ht="13.8" thickBot="1" x14ac:dyDescent="0.3">
      <c r="B60" s="380"/>
      <c r="C60" s="6"/>
      <c r="D60" s="6"/>
      <c r="E60" s="6">
        <f>+E23</f>
        <v>0</v>
      </c>
      <c r="F60" s="6">
        <f t="shared" ref="F60:L60" si="8">+F23</f>
        <v>0</v>
      </c>
      <c r="G60" s="6">
        <f t="shared" si="8"/>
        <v>0</v>
      </c>
      <c r="H60" s="6">
        <f t="shared" si="8"/>
        <v>0</v>
      </c>
      <c r="I60" s="6">
        <f t="shared" si="8"/>
        <v>0</v>
      </c>
      <c r="J60" s="6">
        <f t="shared" si="8"/>
        <v>0</v>
      </c>
      <c r="K60" s="6">
        <f t="shared" si="8"/>
        <v>0</v>
      </c>
      <c r="L60" s="6">
        <f t="shared" si="8"/>
        <v>0</v>
      </c>
      <c r="M60" s="6" t="s">
        <v>399</v>
      </c>
      <c r="N60" s="6" t="s">
        <v>400</v>
      </c>
      <c r="O60" s="6" t="s">
        <v>401</v>
      </c>
      <c r="P60" s="6"/>
      <c r="Q60" s="6" t="s">
        <v>402</v>
      </c>
      <c r="R60" s="6" t="s">
        <v>404</v>
      </c>
      <c r="S60" s="6" t="s">
        <v>405</v>
      </c>
      <c r="T60" s="6" t="s">
        <v>406</v>
      </c>
      <c r="U60" s="6" t="s">
        <v>407</v>
      </c>
      <c r="V60" s="6" t="s">
        <v>409</v>
      </c>
      <c r="W60" s="6"/>
      <c r="X60" s="6" t="s">
        <v>411</v>
      </c>
      <c r="Y60" s="381"/>
    </row>
    <row r="61" spans="1:25" ht="13.8" thickBot="1" x14ac:dyDescent="0.3">
      <c r="B61" s="380" t="s">
        <v>383</v>
      </c>
      <c r="C61" s="419">
        <f>E61/1.0224+F61/(1.0224*1.0224)</f>
        <v>193.47523149678807</v>
      </c>
      <c r="D61" s="404">
        <v>193.47523149678807</v>
      </c>
      <c r="E61" s="6">
        <v>100</v>
      </c>
      <c r="F61" s="6">
        <v>100</v>
      </c>
      <c r="G61" s="6"/>
      <c r="H61" s="6"/>
      <c r="I61" s="6"/>
      <c r="J61" s="6"/>
      <c r="K61" s="6"/>
      <c r="L61" s="6"/>
      <c r="M61" s="6">
        <v>12</v>
      </c>
      <c r="N61" s="420">
        <v>39814</v>
      </c>
      <c r="O61" s="420">
        <v>39814</v>
      </c>
      <c r="P61" s="6"/>
      <c r="Q61" s="6">
        <v>0.5</v>
      </c>
      <c r="R61" s="6">
        <v>0</v>
      </c>
      <c r="S61" s="6">
        <v>0.5</v>
      </c>
      <c r="T61" s="6">
        <f>SUM(Q61:S61)</f>
        <v>1</v>
      </c>
      <c r="U61" s="6">
        <f>T61-1</f>
        <v>0</v>
      </c>
      <c r="V61" s="421">
        <f>1/POWER(1+Invoerblad!$E$75,'Hulpberekeningen 2'!U61)</f>
        <v>1</v>
      </c>
      <c r="W61" s="6"/>
      <c r="X61" s="6"/>
      <c r="Y61" s="381"/>
    </row>
    <row r="62" spans="1:25" ht="13.8" thickBot="1" x14ac:dyDescent="0.3">
      <c r="B62" s="380" t="s">
        <v>386</v>
      </c>
      <c r="C62" s="419">
        <f>E62/1.0224+F62/(1.0224*1.0224)</f>
        <v>193.47523149678807</v>
      </c>
      <c r="D62" s="402">
        <v>193.47523149678807</v>
      </c>
      <c r="E62" s="6">
        <v>100</v>
      </c>
      <c r="F62" s="6">
        <v>100</v>
      </c>
      <c r="G62" s="6"/>
      <c r="H62" s="6"/>
      <c r="I62" s="6"/>
      <c r="J62" s="6"/>
      <c r="K62" s="6"/>
      <c r="L62" s="6"/>
      <c r="M62" s="6">
        <v>6</v>
      </c>
      <c r="N62" s="420">
        <v>39814</v>
      </c>
      <c r="O62" s="420">
        <v>39814</v>
      </c>
      <c r="P62" s="6"/>
      <c r="Q62" s="6">
        <v>0.5</v>
      </c>
      <c r="R62" s="6"/>
      <c r="S62" s="6">
        <v>0.5</v>
      </c>
      <c r="T62" s="6">
        <f t="shared" ref="T62:T73" si="9">SUM(Q62:S62)</f>
        <v>1</v>
      </c>
      <c r="U62" s="6">
        <f t="shared" ref="U62:U73" si="10">T62-1</f>
        <v>0</v>
      </c>
      <c r="V62" s="421">
        <f>1/POWER(1+Invoerblad!$E$75,'Hulpberekeningen 2'!U62)</f>
        <v>1</v>
      </c>
      <c r="W62" s="6"/>
      <c r="X62" s="6"/>
      <c r="Y62" s="381"/>
    </row>
    <row r="63" spans="1:25" ht="13.8" thickBot="1" x14ac:dyDescent="0.3">
      <c r="B63" s="380" t="s">
        <v>387</v>
      </c>
      <c r="C63" s="422">
        <f>(E63/1.0224+F63/(1.0224*1.0224))*V63</f>
        <v>193.47523149678807</v>
      </c>
      <c r="D63" s="403">
        <v>192.40668837975733</v>
      </c>
      <c r="E63" s="6">
        <v>100</v>
      </c>
      <c r="F63" s="6">
        <v>100</v>
      </c>
      <c r="G63" s="6"/>
      <c r="H63" s="6"/>
      <c r="I63" s="6"/>
      <c r="J63" s="6"/>
      <c r="K63" s="6"/>
      <c r="L63" s="6"/>
      <c r="M63" s="6">
        <v>18</v>
      </c>
      <c r="N63" s="420">
        <v>39814</v>
      </c>
      <c r="O63" s="420">
        <v>39814</v>
      </c>
      <c r="P63" s="6"/>
      <c r="Q63" s="6">
        <v>0.75</v>
      </c>
      <c r="R63" s="6"/>
      <c r="S63" s="6">
        <v>0.5</v>
      </c>
      <c r="T63" s="6">
        <f t="shared" si="9"/>
        <v>1.25</v>
      </c>
      <c r="U63" s="423">
        <f t="shared" si="10"/>
        <v>0.25</v>
      </c>
      <c r="V63" s="421">
        <f>1/POWER(1+Invoerblad!$E$75,'Hulpberekeningen 2'!U63)</f>
        <v>1</v>
      </c>
      <c r="W63" s="6"/>
      <c r="X63" s="424">
        <f t="shared" ref="X63:X71" si="11">+D63-C63</f>
        <v>-1.0685431170307425</v>
      </c>
      <c r="Y63" s="381"/>
    </row>
    <row r="64" spans="1:25" ht="13.8" thickBot="1" x14ac:dyDescent="0.3">
      <c r="B64" s="380" t="s">
        <v>388</v>
      </c>
      <c r="C64" s="6">
        <v>193.47523149678807</v>
      </c>
      <c r="D64" s="402">
        <v>193.47523149678807</v>
      </c>
      <c r="E64" s="425">
        <v>50.410958904109584</v>
      </c>
      <c r="F64" s="425">
        <v>100</v>
      </c>
      <c r="G64" s="425">
        <v>49.589041095890416</v>
      </c>
      <c r="H64" s="6"/>
      <c r="I64" s="6"/>
      <c r="J64" s="6"/>
      <c r="K64" s="6"/>
      <c r="L64" s="6"/>
      <c r="M64" s="6">
        <v>12</v>
      </c>
      <c r="N64" s="420">
        <v>39995</v>
      </c>
      <c r="O64" s="420">
        <v>39995</v>
      </c>
      <c r="P64" s="6"/>
      <c r="Q64" s="6">
        <v>0.5</v>
      </c>
      <c r="R64" s="6"/>
      <c r="S64" s="6">
        <v>0.5</v>
      </c>
      <c r="T64" s="6">
        <f t="shared" si="9"/>
        <v>1</v>
      </c>
      <c r="U64" s="423">
        <f t="shared" si="10"/>
        <v>0</v>
      </c>
      <c r="V64" s="421">
        <f>1/POWER(1+Invoerblad!$E$75,'Hulpberekeningen 2'!U64)</f>
        <v>1</v>
      </c>
      <c r="W64" s="6"/>
      <c r="X64" s="424">
        <f t="shared" si="11"/>
        <v>0</v>
      </c>
      <c r="Y64" s="426">
        <f t="shared" ref="Y64:Y71" si="12">+X64/C64</f>
        <v>0</v>
      </c>
    </row>
    <row r="65" spans="2:28" ht="13.8" thickBot="1" x14ac:dyDescent="0.3">
      <c r="B65" s="380" t="s">
        <v>389</v>
      </c>
      <c r="C65" s="6">
        <v>193.47523149678807</v>
      </c>
      <c r="D65" s="402">
        <v>193.4752314967881</v>
      </c>
      <c r="E65" s="6">
        <v>25.205479452054792</v>
      </c>
      <c r="F65" s="6">
        <v>100</v>
      </c>
      <c r="G65" s="6">
        <v>74.794520547945211</v>
      </c>
      <c r="H65" s="6"/>
      <c r="I65" s="6"/>
      <c r="J65" s="6"/>
      <c r="K65" s="6"/>
      <c r="L65" s="6"/>
      <c r="M65" s="6">
        <v>12</v>
      </c>
      <c r="N65" s="420">
        <v>40087</v>
      </c>
      <c r="O65" s="420">
        <v>40087</v>
      </c>
      <c r="P65" s="6"/>
      <c r="Q65" s="6">
        <v>0.5</v>
      </c>
      <c r="R65" s="6"/>
      <c r="S65" s="6">
        <v>0.5</v>
      </c>
      <c r="T65" s="6">
        <f t="shared" si="9"/>
        <v>1</v>
      </c>
      <c r="U65" s="423">
        <f t="shared" si="10"/>
        <v>0</v>
      </c>
      <c r="V65" s="421">
        <f>1/POWER(1+Invoerblad!$E$75,'Hulpberekeningen 2'!U65)</f>
        <v>1</v>
      </c>
      <c r="W65" s="6"/>
      <c r="X65" s="424">
        <f t="shared" si="11"/>
        <v>0</v>
      </c>
      <c r="Y65" s="426">
        <f t="shared" si="12"/>
        <v>0</v>
      </c>
    </row>
    <row r="66" spans="2:28" ht="13.8" thickBot="1" x14ac:dyDescent="0.3">
      <c r="B66" s="380" t="s">
        <v>390</v>
      </c>
      <c r="C66" s="407">
        <v>192.40668837975733</v>
      </c>
      <c r="D66" s="402">
        <v>192.40668837975733</v>
      </c>
      <c r="E66" s="6">
        <v>50.410958904109584</v>
      </c>
      <c r="F66" s="6">
        <v>100</v>
      </c>
      <c r="G66" s="6">
        <v>49.589041095890416</v>
      </c>
      <c r="H66" s="6"/>
      <c r="I66" s="6"/>
      <c r="J66" s="6"/>
      <c r="K66" s="6"/>
      <c r="L66" s="6"/>
      <c r="M66" s="6">
        <v>18</v>
      </c>
      <c r="N66" s="420">
        <v>39995</v>
      </c>
      <c r="O66" s="420">
        <v>39995</v>
      </c>
      <c r="P66" s="6"/>
      <c r="Q66" s="6">
        <v>0.75</v>
      </c>
      <c r="R66" s="6"/>
      <c r="S66" s="6">
        <v>0.5</v>
      </c>
      <c r="T66" s="6">
        <f t="shared" si="9"/>
        <v>1.25</v>
      </c>
      <c r="U66" s="423">
        <f t="shared" si="10"/>
        <v>0.25</v>
      </c>
      <c r="V66" s="421">
        <f>1/POWER(1+Invoerblad!$E$75,'Hulpberekeningen 2'!U66)</f>
        <v>1</v>
      </c>
      <c r="W66" s="6"/>
      <c r="X66" s="424">
        <f t="shared" si="11"/>
        <v>0</v>
      </c>
      <c r="Y66" s="426">
        <f t="shared" si="12"/>
        <v>0</v>
      </c>
    </row>
    <row r="67" spans="2:28" ht="13.8" thickBot="1" x14ac:dyDescent="0.3">
      <c r="B67" s="380" t="s">
        <v>391</v>
      </c>
      <c r="C67" s="407">
        <v>192.40668837975733</v>
      </c>
      <c r="D67" s="402">
        <v>192.40668837975736</v>
      </c>
      <c r="E67" s="6">
        <v>25.205479452054792</v>
      </c>
      <c r="F67" s="6">
        <v>100</v>
      </c>
      <c r="G67" s="6">
        <v>74.794520547945211</v>
      </c>
      <c r="H67" s="6"/>
      <c r="I67" s="6"/>
      <c r="J67" s="6"/>
      <c r="K67" s="6"/>
      <c r="L67" s="6"/>
      <c r="M67" s="6">
        <v>18</v>
      </c>
      <c r="N67" s="420">
        <v>40087</v>
      </c>
      <c r="O67" s="420">
        <v>40087</v>
      </c>
      <c r="P67" s="6"/>
      <c r="Q67" s="6">
        <v>0.75</v>
      </c>
      <c r="R67" s="6"/>
      <c r="S67" s="6">
        <v>0.5</v>
      </c>
      <c r="T67" s="6">
        <f t="shared" si="9"/>
        <v>1.25</v>
      </c>
      <c r="U67" s="423">
        <f t="shared" si="10"/>
        <v>0.25</v>
      </c>
      <c r="V67" s="421">
        <f>1/POWER(1+Invoerblad!$E$75,'Hulpberekeningen 2'!U67)</f>
        <v>1</v>
      </c>
      <c r="W67" s="6"/>
      <c r="X67" s="424">
        <f t="shared" si="11"/>
        <v>0</v>
      </c>
      <c r="Y67" s="426">
        <f t="shared" si="12"/>
        <v>0</v>
      </c>
    </row>
    <row r="68" spans="2:28" ht="13.8" thickBot="1" x14ac:dyDescent="0.3">
      <c r="B68" s="380" t="s">
        <v>323</v>
      </c>
      <c r="C68" s="402">
        <v>240.64485785118345</v>
      </c>
      <c r="D68" s="402">
        <v>241.08490250484599</v>
      </c>
      <c r="E68" s="6">
        <v>50.410958904109584</v>
      </c>
      <c r="F68" s="6">
        <v>100</v>
      </c>
      <c r="G68" s="6">
        <v>100</v>
      </c>
      <c r="H68" s="6"/>
      <c r="I68" s="6" t="s">
        <v>319</v>
      </c>
      <c r="J68" s="6"/>
      <c r="K68" s="6"/>
      <c r="L68" s="6"/>
      <c r="M68" s="6">
        <v>12</v>
      </c>
      <c r="N68" s="420">
        <v>39814</v>
      </c>
      <c r="O68" s="420">
        <v>39995</v>
      </c>
      <c r="P68" s="6"/>
      <c r="Q68" s="6">
        <v>0.5</v>
      </c>
      <c r="R68" s="6"/>
      <c r="S68" s="6">
        <v>0.5</v>
      </c>
      <c r="T68" s="6">
        <f t="shared" si="9"/>
        <v>1</v>
      </c>
      <c r="U68" s="423">
        <f t="shared" si="10"/>
        <v>0</v>
      </c>
      <c r="V68" s="421">
        <f>1/POWER(1+Invoerblad!$E$75,'Hulpberekeningen 2'!U68)</f>
        <v>1</v>
      </c>
      <c r="W68" s="6"/>
      <c r="X68" s="424">
        <f t="shared" si="11"/>
        <v>0.44004465366253953</v>
      </c>
      <c r="Y68" s="427">
        <f t="shared" si="12"/>
        <v>1.8286060944409058E-3</v>
      </c>
    </row>
    <row r="69" spans="2:28" ht="13.8" thickBot="1" x14ac:dyDescent="0.3">
      <c r="B69" s="380" t="s">
        <v>392</v>
      </c>
      <c r="C69" s="402">
        <f>+D68*V69</f>
        <v>241.08490250484599</v>
      </c>
      <c r="D69" s="402">
        <v>239.75341624069409</v>
      </c>
      <c r="E69" s="6">
        <v>50.410958904109584</v>
      </c>
      <c r="F69" s="6">
        <v>100</v>
      </c>
      <c r="G69" s="6">
        <v>100</v>
      </c>
      <c r="H69" s="6"/>
      <c r="I69" s="6"/>
      <c r="J69" s="6"/>
      <c r="K69" s="6"/>
      <c r="L69" s="6"/>
      <c r="M69" s="6">
        <v>18</v>
      </c>
      <c r="N69" s="420">
        <v>39814</v>
      </c>
      <c r="O69" s="420">
        <v>39995</v>
      </c>
      <c r="P69" s="6"/>
      <c r="Q69" s="6">
        <v>0.75</v>
      </c>
      <c r="R69" s="6"/>
      <c r="S69" s="6">
        <v>0.5</v>
      </c>
      <c r="T69" s="6">
        <f>SUM(Q69:S69)</f>
        <v>1.25</v>
      </c>
      <c r="U69" s="423">
        <f t="shared" si="10"/>
        <v>0.25</v>
      </c>
      <c r="V69" s="421">
        <f>1/POWER(1+Invoerblad!$E$75,'Hulpberekeningen 2'!U69)</f>
        <v>1</v>
      </c>
      <c r="W69" s="6"/>
      <c r="X69" s="424">
        <f t="shared" si="11"/>
        <v>-1.3314862641518914</v>
      </c>
      <c r="Y69" s="426">
        <f t="shared" si="12"/>
        <v>-5.5228935960646795E-3</v>
      </c>
    </row>
    <row r="70" spans="2:28" ht="14.4" thickBot="1" x14ac:dyDescent="0.3">
      <c r="B70" s="380" t="s">
        <v>393</v>
      </c>
      <c r="C70" s="428">
        <f>193.475231496788*V70</f>
        <v>193.47523149678801</v>
      </c>
      <c r="D70" s="402">
        <v>191.36146726159694</v>
      </c>
      <c r="E70" s="6">
        <v>50.410958904109584</v>
      </c>
      <c r="F70" s="6">
        <v>100</v>
      </c>
      <c r="G70" s="6">
        <v>49.589041095890416</v>
      </c>
      <c r="H70" s="6"/>
      <c r="I70" s="6"/>
      <c r="J70" s="6"/>
      <c r="K70" s="6"/>
      <c r="L70" s="6"/>
      <c r="M70" s="6">
        <v>12</v>
      </c>
      <c r="N70" s="420">
        <v>39995</v>
      </c>
      <c r="O70" s="420">
        <v>39814</v>
      </c>
      <c r="P70" s="6"/>
      <c r="Q70" s="6">
        <v>0.5</v>
      </c>
      <c r="R70" s="394">
        <v>0.49589041095890413</v>
      </c>
      <c r="S70" s="6">
        <v>0.5</v>
      </c>
      <c r="T70" s="6">
        <f t="shared" si="9"/>
        <v>1.4958904109589042</v>
      </c>
      <c r="U70" s="423">
        <f t="shared" si="10"/>
        <v>0.49589041095890418</v>
      </c>
      <c r="V70" s="421">
        <f>1/POWER(1+Invoerblad!$E$75,'Hulpberekeningen 2'!U70)</f>
        <v>1</v>
      </c>
      <c r="W70" s="6"/>
      <c r="X70" s="424">
        <f t="shared" si="11"/>
        <v>-2.1137642351910699</v>
      </c>
      <c r="Y70" s="426">
        <f t="shared" si="12"/>
        <v>-1.0925244636423456E-2</v>
      </c>
    </row>
    <row r="71" spans="2:28" ht="14.4" thickBot="1" x14ac:dyDescent="0.3">
      <c r="B71" s="380" t="s">
        <v>394</v>
      </c>
      <c r="C71" s="402">
        <v>190.30459823952441</v>
      </c>
      <c r="D71" s="402">
        <v>190.30459823952432</v>
      </c>
      <c r="E71" s="6">
        <v>50.410958904109584</v>
      </c>
      <c r="F71" s="6">
        <v>100</v>
      </c>
      <c r="G71" s="6">
        <v>49.589041095890416</v>
      </c>
      <c r="H71" s="6"/>
      <c r="I71" s="6"/>
      <c r="J71" s="6"/>
      <c r="K71" s="6"/>
      <c r="L71" s="6"/>
      <c r="M71" s="6">
        <v>18</v>
      </c>
      <c r="N71" s="420">
        <v>39995</v>
      </c>
      <c r="O71" s="420">
        <v>39814</v>
      </c>
      <c r="P71" s="6"/>
      <c r="Q71" s="6">
        <v>0.75</v>
      </c>
      <c r="R71" s="394">
        <v>0.49589041095890413</v>
      </c>
      <c r="S71" s="6">
        <v>0.5</v>
      </c>
      <c r="T71" s="6">
        <f t="shared" si="9"/>
        <v>1.7458904109589042</v>
      </c>
      <c r="U71" s="423">
        <f t="shared" si="10"/>
        <v>0.74589041095890418</v>
      </c>
      <c r="V71" s="421">
        <f>1/POWER(1+Invoerblad!$E$75,'Hulpberekeningen 2'!U71)</f>
        <v>1</v>
      </c>
      <c r="W71" s="6"/>
      <c r="X71" s="424">
        <f t="shared" si="11"/>
        <v>0</v>
      </c>
      <c r="Y71" s="426">
        <f t="shared" si="12"/>
        <v>0</v>
      </c>
    </row>
    <row r="72" spans="2:28" ht="13.8" thickBot="1" x14ac:dyDescent="0.3">
      <c r="B72" s="380" t="s">
        <v>395</v>
      </c>
      <c r="C72" s="419">
        <v>191.32662774960852</v>
      </c>
      <c r="D72" s="402">
        <v>191.32662774960852</v>
      </c>
      <c r="E72" s="6">
        <v>100</v>
      </c>
      <c r="F72" s="6">
        <v>100</v>
      </c>
      <c r="G72" s="6">
        <v>0</v>
      </c>
      <c r="H72" s="6"/>
      <c r="I72" s="6"/>
      <c r="J72" s="6"/>
      <c r="K72" s="6"/>
      <c r="L72" s="6"/>
      <c r="M72" s="6">
        <v>12</v>
      </c>
      <c r="N72" s="420">
        <v>39814</v>
      </c>
      <c r="O72" s="420">
        <v>39630</v>
      </c>
      <c r="P72" s="6"/>
      <c r="Q72" s="6">
        <v>0.5</v>
      </c>
      <c r="R72" s="6">
        <v>0.50410958904109593</v>
      </c>
      <c r="S72" s="6">
        <v>0.5</v>
      </c>
      <c r="T72" s="6">
        <f t="shared" si="9"/>
        <v>1.504109589041096</v>
      </c>
      <c r="U72" s="423">
        <f t="shared" si="10"/>
        <v>0.50410958904109604</v>
      </c>
      <c r="V72" s="421">
        <f>1/POWER(1+Invoerblad!$E$75,'Hulpberekeningen 2'!U72)</f>
        <v>1</v>
      </c>
      <c r="W72" s="6"/>
      <c r="X72" s="6"/>
      <c r="Y72" s="429"/>
      <c r="Z72" s="401"/>
      <c r="AA72" s="401"/>
      <c r="AB72" s="401"/>
    </row>
    <row r="73" spans="2:28" ht="13.8" thickBot="1" x14ac:dyDescent="0.3">
      <c r="B73" s="380" t="s">
        <v>329</v>
      </c>
      <c r="C73" s="6"/>
      <c r="D73" s="402">
        <f>NPV(Invoerblad!$E$75,E73:L73)*'Hulpberekeningen 2'!$E$36*'Hulpberekeningen 2'!$E$43*$E$54</f>
        <v>0</v>
      </c>
      <c r="E73" s="6"/>
      <c r="F73" s="6"/>
      <c r="G73" s="6"/>
      <c r="H73" s="6"/>
      <c r="I73" s="6"/>
      <c r="J73" s="6"/>
      <c r="K73" s="6"/>
      <c r="L73" s="6"/>
      <c r="M73" s="37">
        <v>12</v>
      </c>
      <c r="N73" s="420">
        <v>39904</v>
      </c>
      <c r="O73" s="420">
        <v>40210</v>
      </c>
      <c r="P73" s="6"/>
      <c r="Q73" s="37">
        <v>0.5</v>
      </c>
      <c r="R73" s="37">
        <v>0</v>
      </c>
      <c r="S73" s="37">
        <v>0.5</v>
      </c>
      <c r="T73" s="6">
        <f t="shared" si="9"/>
        <v>1</v>
      </c>
      <c r="U73" s="423">
        <f t="shared" si="10"/>
        <v>0</v>
      </c>
      <c r="V73" s="421">
        <f>1/POWER(1+Invoerblad!$E$75,'Hulpberekeningen 2'!U73)</f>
        <v>1</v>
      </c>
      <c r="W73" s="6"/>
      <c r="X73" s="6"/>
      <c r="Y73" s="381"/>
    </row>
    <row r="74" spans="2:28" ht="13.8" thickBot="1" x14ac:dyDescent="0.3">
      <c r="B74" s="380" t="s">
        <v>319</v>
      </c>
      <c r="C74" s="6"/>
      <c r="D74" s="402">
        <f>NPV(Invoerblad!$E$75,E74:L74)*'Hulpberekeningen 2'!$E$36*'Hulpberekeningen 2'!$E$43*$E$54</f>
        <v>0</v>
      </c>
      <c r="E74" s="6"/>
      <c r="F74" s="6"/>
      <c r="G74" s="6"/>
      <c r="H74" s="6"/>
      <c r="I74" s="6"/>
      <c r="J74" s="6"/>
      <c r="K74" s="6"/>
      <c r="L74" s="6"/>
      <c r="M74" s="6"/>
      <c r="N74" s="420"/>
      <c r="O74" s="420"/>
      <c r="P74" s="6"/>
      <c r="Q74" s="6"/>
      <c r="R74" s="6"/>
      <c r="S74" s="6"/>
      <c r="T74" s="6"/>
      <c r="U74" s="6"/>
      <c r="V74" s="421"/>
      <c r="W74" s="6"/>
      <c r="X74" s="6"/>
      <c r="Y74" s="381"/>
    </row>
    <row r="75" spans="2:28" x14ac:dyDescent="0.25">
      <c r="B75" s="380"/>
      <c r="C75" s="6"/>
      <c r="D75" s="6"/>
      <c r="E75" s="6"/>
      <c r="F75" s="6"/>
      <c r="G75" s="6"/>
      <c r="H75" s="6"/>
      <c r="I75" s="6"/>
      <c r="J75" s="6"/>
      <c r="K75" s="6"/>
      <c r="L75" s="6"/>
      <c r="M75" s="6"/>
      <c r="N75" s="420"/>
      <c r="O75" s="420"/>
      <c r="P75" s="6"/>
      <c r="Q75" s="6"/>
      <c r="R75" s="6"/>
      <c r="S75" s="6"/>
      <c r="T75" s="6"/>
      <c r="U75" s="6"/>
      <c r="V75" s="6"/>
      <c r="W75" s="6"/>
      <c r="X75" s="6"/>
      <c r="Y75" s="381"/>
    </row>
    <row r="76" spans="2:28" x14ac:dyDescent="0.25">
      <c r="B76" s="380"/>
      <c r="C76" s="6"/>
      <c r="D76" s="6"/>
      <c r="E76" s="6"/>
      <c r="F76" s="6"/>
      <c r="G76" s="6"/>
      <c r="H76" s="6"/>
      <c r="I76" s="6"/>
      <c r="J76" s="6"/>
      <c r="K76" s="6"/>
      <c r="L76" s="6"/>
      <c r="M76" s="6"/>
      <c r="N76" s="6"/>
      <c r="O76" s="6"/>
      <c r="P76" s="6"/>
      <c r="Q76" s="6"/>
      <c r="R76" s="6"/>
      <c r="S76" s="6"/>
      <c r="T76" s="6"/>
      <c r="U76" s="6"/>
      <c r="V76" s="6"/>
      <c r="W76" s="6"/>
      <c r="X76" s="6"/>
      <c r="Y76" s="381"/>
    </row>
    <row r="77" spans="2:28" x14ac:dyDescent="0.25">
      <c r="B77" s="380"/>
      <c r="C77" s="6"/>
      <c r="D77" s="430"/>
      <c r="E77" s="6"/>
      <c r="F77" s="6"/>
      <c r="G77" s="6"/>
      <c r="H77" s="6"/>
      <c r="I77" s="6"/>
      <c r="J77" s="6"/>
      <c r="K77" s="6"/>
      <c r="L77" s="6"/>
      <c r="M77" s="6"/>
      <c r="N77" s="6"/>
      <c r="O77" s="6"/>
      <c r="P77" s="6"/>
      <c r="Q77" s="6"/>
      <c r="R77" s="6"/>
      <c r="S77" s="6"/>
      <c r="T77" s="6"/>
      <c r="U77" s="6"/>
      <c r="V77" s="6"/>
      <c r="W77" s="6"/>
      <c r="X77" s="6"/>
      <c r="Y77" s="381"/>
    </row>
    <row r="78" spans="2:28" x14ac:dyDescent="0.25">
      <c r="B78" s="380"/>
      <c r="C78" s="6"/>
      <c r="D78" s="6"/>
      <c r="E78" s="6"/>
      <c r="F78" s="6"/>
      <c r="G78" s="6"/>
      <c r="H78" s="6"/>
      <c r="I78" s="6"/>
      <c r="J78" s="6"/>
      <c r="K78" s="6"/>
      <c r="L78" s="6"/>
      <c r="M78" s="6"/>
      <c r="N78" s="6"/>
      <c r="O78" s="6"/>
      <c r="P78" s="6"/>
      <c r="Q78" s="6"/>
      <c r="R78" s="6"/>
      <c r="S78" s="6"/>
      <c r="T78" s="6"/>
      <c r="U78" s="6"/>
      <c r="V78" s="6"/>
      <c r="W78" s="6"/>
      <c r="X78" s="6"/>
      <c r="Y78" s="381"/>
    </row>
    <row r="79" spans="2:28" x14ac:dyDescent="0.25">
      <c r="B79" s="431"/>
      <c r="C79" s="37"/>
      <c r="D79" s="37"/>
      <c r="E79" s="6">
        <v>1</v>
      </c>
      <c r="F79" s="6">
        <v>2</v>
      </c>
      <c r="G79" s="6">
        <v>3</v>
      </c>
      <c r="H79" s="6">
        <v>4</v>
      </c>
      <c r="I79" s="6">
        <v>5</v>
      </c>
      <c r="J79" s="6">
        <v>6</v>
      </c>
      <c r="K79" s="6">
        <v>7</v>
      </c>
      <c r="L79" s="6">
        <v>8</v>
      </c>
      <c r="M79" s="6">
        <v>9</v>
      </c>
      <c r="N79" s="6">
        <v>10</v>
      </c>
      <c r="O79" s="6">
        <v>11</v>
      </c>
      <c r="P79" s="6">
        <v>12</v>
      </c>
      <c r="Q79" s="6">
        <v>13</v>
      </c>
      <c r="R79" s="6"/>
      <c r="S79" s="6"/>
      <c r="T79" s="6"/>
      <c r="U79" s="6"/>
      <c r="V79" s="6"/>
      <c r="W79" s="6"/>
      <c r="X79" s="6"/>
      <c r="Y79" s="381"/>
    </row>
    <row r="80" spans="2:28" ht="13.8" thickBot="1" x14ac:dyDescent="0.3">
      <c r="B80" s="416" t="s">
        <v>321</v>
      </c>
      <c r="C80" s="37"/>
      <c r="D80" s="37"/>
      <c r="E80" s="6">
        <v>100</v>
      </c>
      <c r="F80" s="6">
        <v>100</v>
      </c>
      <c r="G80" s="6">
        <v>100</v>
      </c>
      <c r="H80" s="6">
        <v>100</v>
      </c>
      <c r="I80" s="6">
        <v>100</v>
      </c>
      <c r="J80" s="6">
        <v>100</v>
      </c>
      <c r="K80" s="6">
        <v>100</v>
      </c>
      <c r="L80" s="6">
        <v>100</v>
      </c>
      <c r="M80" s="6">
        <v>100</v>
      </c>
      <c r="N80" s="6">
        <v>100</v>
      </c>
      <c r="O80" s="6">
        <v>100</v>
      </c>
      <c r="P80" s="6">
        <v>50.410958899999997</v>
      </c>
      <c r="Q80" s="6"/>
      <c r="R80" s="6"/>
      <c r="S80" s="6"/>
      <c r="T80" s="6"/>
      <c r="U80" s="6"/>
      <c r="V80" s="6"/>
      <c r="W80" s="6"/>
      <c r="X80" s="6"/>
      <c r="Y80" s="381"/>
    </row>
    <row r="81" spans="2:25" ht="13.8" thickBot="1" x14ac:dyDescent="0.3">
      <c r="B81" s="417" t="s">
        <v>320</v>
      </c>
      <c r="C81" s="37"/>
      <c r="D81" s="402">
        <f>SUM(E81:P81)</f>
        <v>1150.4109589</v>
      </c>
      <c r="E81" s="37">
        <f>+E80/(POWER(1+Invoerblad!$E$75,'Hulpberekeningen 2'!E79))</f>
        <v>100</v>
      </c>
      <c r="F81" s="37">
        <f>+F80/(POWER(1+Invoerblad!$E$75,'Hulpberekeningen 2'!F79))</f>
        <v>100</v>
      </c>
      <c r="G81" s="37">
        <f>+G80/(POWER(1+Invoerblad!$E$75,'Hulpberekeningen 2'!G79))</f>
        <v>100</v>
      </c>
      <c r="H81" s="37">
        <f>+H80/(POWER(1+Invoerblad!$E$75,'Hulpberekeningen 2'!H79))</f>
        <v>100</v>
      </c>
      <c r="I81" s="37">
        <f>+I80/(POWER(1+Invoerblad!$E$75,'Hulpberekeningen 2'!I79))</f>
        <v>100</v>
      </c>
      <c r="J81" s="37">
        <f>+J80/(POWER(1+Invoerblad!$E$75,'Hulpberekeningen 2'!J79))</f>
        <v>100</v>
      </c>
      <c r="K81" s="37">
        <f>+K80/(POWER(1+Invoerblad!$E$75,'Hulpberekeningen 2'!K79))</f>
        <v>100</v>
      </c>
      <c r="L81" s="37">
        <f>+L80/(POWER(1+Invoerblad!$E$75,'Hulpberekeningen 2'!L79))</f>
        <v>100</v>
      </c>
      <c r="M81" s="37">
        <f>+M80/(POWER(1+Invoerblad!$E$75,'Hulpberekeningen 2'!M79))</f>
        <v>100</v>
      </c>
      <c r="N81" s="37">
        <f>+N80/(POWER(1+Invoerblad!$E$75,'Hulpberekeningen 2'!N79))</f>
        <v>100</v>
      </c>
      <c r="O81" s="37">
        <f>+O80/(POWER(1+Invoerblad!$E$75,'Hulpberekeningen 2'!O79))</f>
        <v>100</v>
      </c>
      <c r="P81" s="37">
        <f>+P80/(POWER(1+Invoerblad!$E$75,'Hulpberekeningen 2'!P79))</f>
        <v>50.410958899999997</v>
      </c>
      <c r="Q81" s="6"/>
      <c r="R81" s="6"/>
      <c r="S81" s="6"/>
      <c r="T81" s="6"/>
      <c r="U81" s="6"/>
      <c r="V81" s="6"/>
      <c r="W81" s="6"/>
      <c r="X81" s="6"/>
      <c r="Y81" s="381"/>
    </row>
    <row r="82" spans="2:25" ht="13.8" thickBot="1" x14ac:dyDescent="0.3">
      <c r="B82" s="431"/>
      <c r="C82" s="37"/>
      <c r="D82" s="37"/>
      <c r="E82" s="37"/>
      <c r="F82" s="37"/>
      <c r="G82" s="37"/>
      <c r="H82" s="37"/>
      <c r="I82" s="37"/>
      <c r="J82" s="37"/>
      <c r="K82" s="37"/>
      <c r="L82" s="37"/>
      <c r="M82" s="37"/>
      <c r="N82" s="37"/>
      <c r="O82" s="6"/>
      <c r="P82" s="6"/>
      <c r="Q82" s="6"/>
      <c r="R82" s="6"/>
      <c r="S82" s="6"/>
      <c r="T82" s="6"/>
      <c r="U82" s="6"/>
      <c r="V82" s="6"/>
      <c r="W82" s="6"/>
      <c r="X82" s="6"/>
      <c r="Y82" s="381"/>
    </row>
    <row r="83" spans="2:25" ht="13.8" thickBot="1" x14ac:dyDescent="0.3">
      <c r="B83" s="418" t="s">
        <v>322</v>
      </c>
      <c r="C83" s="37"/>
      <c r="D83" s="402">
        <v>1004.0999507870112</v>
      </c>
      <c r="E83" s="6">
        <v>50.410958899999997</v>
      </c>
      <c r="F83" s="6">
        <v>100</v>
      </c>
      <c r="G83" s="6">
        <v>100</v>
      </c>
      <c r="H83" s="6">
        <v>100</v>
      </c>
      <c r="I83" s="6">
        <v>100</v>
      </c>
      <c r="J83" s="6">
        <v>100</v>
      </c>
      <c r="K83" s="6">
        <v>100</v>
      </c>
      <c r="L83" s="6">
        <v>100</v>
      </c>
      <c r="M83" s="6">
        <v>100</v>
      </c>
      <c r="N83" s="6">
        <v>100</v>
      </c>
      <c r="O83" s="6">
        <v>100</v>
      </c>
      <c r="P83" s="6">
        <v>100</v>
      </c>
      <c r="Q83" s="6"/>
      <c r="R83" s="6"/>
      <c r="S83" s="6"/>
      <c r="T83" s="6"/>
      <c r="U83" s="6"/>
      <c r="V83" s="6"/>
      <c r="W83" s="6"/>
      <c r="X83" s="6"/>
      <c r="Y83" s="381"/>
    </row>
    <row r="84" spans="2:25" x14ac:dyDescent="0.25">
      <c r="B84" s="431"/>
      <c r="C84" s="37"/>
      <c r="D84" s="37"/>
      <c r="E84" s="37"/>
      <c r="F84" s="37"/>
      <c r="G84" s="37"/>
      <c r="H84" s="37"/>
      <c r="I84" s="37"/>
      <c r="J84" s="37"/>
      <c r="K84" s="37"/>
      <c r="L84" s="37"/>
      <c r="M84" s="37"/>
      <c r="N84" s="37"/>
      <c r="O84" s="6"/>
      <c r="P84" s="6"/>
      <c r="Q84" s="6"/>
      <c r="R84" s="6"/>
      <c r="S84" s="6"/>
      <c r="T84" s="6"/>
      <c r="U84" s="6"/>
      <c r="V84" s="6"/>
      <c r="W84" s="6"/>
      <c r="X84" s="6"/>
      <c r="Y84" s="381"/>
    </row>
    <row r="85" spans="2:25" x14ac:dyDescent="0.25">
      <c r="B85" s="432"/>
      <c r="C85" s="433"/>
      <c r="D85" s="433"/>
      <c r="E85" s="433"/>
      <c r="F85" s="433"/>
      <c r="G85" s="433"/>
      <c r="H85" s="433"/>
      <c r="I85" s="433"/>
      <c r="J85" s="433"/>
      <c r="K85" s="433"/>
      <c r="L85" s="433"/>
      <c r="M85" s="433"/>
      <c r="N85" s="433"/>
      <c r="O85" s="384"/>
      <c r="P85" s="384"/>
      <c r="Q85" s="384"/>
      <c r="R85" s="384"/>
      <c r="S85" s="384"/>
      <c r="T85" s="384"/>
      <c r="U85" s="384"/>
      <c r="V85" s="384"/>
      <c r="W85" s="384"/>
      <c r="X85" s="384"/>
      <c r="Y85" s="382"/>
    </row>
    <row r="86" spans="2:25" x14ac:dyDescent="0.25">
      <c r="B86" s="38"/>
      <c r="C86" s="38"/>
      <c r="D86" s="38"/>
      <c r="E86" s="38"/>
      <c r="F86" s="38"/>
      <c r="G86" s="38"/>
      <c r="H86" s="38"/>
      <c r="I86" s="38"/>
      <c r="J86" s="38"/>
      <c r="K86" s="38"/>
      <c r="L86" s="38"/>
      <c r="M86" s="38"/>
      <c r="N86" s="38"/>
    </row>
    <row r="87" spans="2:25" x14ac:dyDescent="0.25">
      <c r="B87" s="38"/>
      <c r="C87" s="38"/>
      <c r="D87" s="38"/>
      <c r="E87" s="38"/>
      <c r="F87" s="38"/>
      <c r="G87" s="38"/>
      <c r="H87" s="38"/>
      <c r="I87" s="38"/>
      <c r="J87" s="38"/>
      <c r="K87" s="38"/>
      <c r="L87" s="38"/>
      <c r="M87" s="38"/>
      <c r="N87" s="38"/>
    </row>
    <row r="88" spans="2:25" x14ac:dyDescent="0.25">
      <c r="B88" s="38"/>
      <c r="C88" s="38"/>
      <c r="D88" s="38"/>
      <c r="E88" s="38"/>
      <c r="F88" s="38"/>
      <c r="G88" s="38"/>
      <c r="H88" s="38"/>
      <c r="I88" s="38"/>
      <c r="J88" s="38"/>
      <c r="K88" s="38"/>
      <c r="L88" s="38"/>
      <c r="M88" s="38"/>
      <c r="N88" s="38"/>
    </row>
    <row r="89" spans="2:25" x14ac:dyDescent="0.25">
      <c r="B89" s="38"/>
      <c r="C89" s="38"/>
      <c r="D89" s="38"/>
      <c r="E89" s="38"/>
      <c r="F89" s="38"/>
      <c r="G89" s="38"/>
      <c r="H89" s="38"/>
      <c r="I89" s="38"/>
      <c r="J89" s="38"/>
      <c r="K89" s="38"/>
      <c r="L89" s="38"/>
      <c r="M89" s="38"/>
      <c r="N89" s="38"/>
    </row>
    <row r="90" spans="2:25" x14ac:dyDescent="0.25">
      <c r="B90" s="38"/>
      <c r="C90" s="38"/>
      <c r="D90" s="412"/>
      <c r="E90" s="38"/>
      <c r="F90" s="38"/>
      <c r="G90" s="38"/>
      <c r="H90" s="38"/>
      <c r="I90" s="38"/>
      <c r="J90" s="38"/>
      <c r="K90" s="38"/>
      <c r="L90" s="38"/>
      <c r="M90" s="38"/>
      <c r="N90" s="38"/>
    </row>
    <row r="91" spans="2:25" x14ac:dyDescent="0.25">
      <c r="B91" s="38"/>
      <c r="C91" s="38"/>
      <c r="D91" s="38"/>
      <c r="E91" s="38"/>
      <c r="F91" s="38"/>
      <c r="G91" s="38"/>
      <c r="H91" s="38"/>
      <c r="I91" s="38"/>
      <c r="J91" s="38"/>
      <c r="K91" s="38"/>
      <c r="L91" s="38"/>
      <c r="M91" s="38"/>
      <c r="N91" s="38"/>
    </row>
    <row r="92" spans="2:25" x14ac:dyDescent="0.25">
      <c r="B92" s="38"/>
      <c r="C92" s="38"/>
      <c r="D92" s="38"/>
      <c r="E92" s="38"/>
      <c r="F92" s="38"/>
      <c r="G92" s="38"/>
      <c r="H92" s="38"/>
      <c r="I92" s="38"/>
      <c r="J92" s="38"/>
      <c r="K92" s="38"/>
      <c r="L92" s="38"/>
      <c r="M92" s="38"/>
      <c r="N92" s="38"/>
    </row>
    <row r="93" spans="2:25" x14ac:dyDescent="0.25">
      <c r="B93" s="38"/>
      <c r="C93" s="38"/>
      <c r="D93" s="38"/>
      <c r="E93" s="38"/>
      <c r="F93" s="38"/>
      <c r="G93" s="38"/>
      <c r="H93" s="38"/>
      <c r="I93" s="38"/>
      <c r="J93" s="38"/>
      <c r="K93" s="38"/>
      <c r="L93" s="38"/>
      <c r="M93" s="38"/>
      <c r="N93" s="38"/>
    </row>
    <row r="94" spans="2:25" x14ac:dyDescent="0.25">
      <c r="B94" s="38"/>
      <c r="C94" s="38"/>
      <c r="D94" s="38"/>
      <c r="E94" s="38"/>
      <c r="F94" s="38"/>
      <c r="G94" s="38"/>
      <c r="H94" s="38"/>
      <c r="I94" s="38"/>
      <c r="J94" s="38"/>
      <c r="K94" s="38"/>
      <c r="L94" s="38"/>
      <c r="M94" s="38"/>
      <c r="N94" s="38"/>
    </row>
    <row r="95" spans="2:25" x14ac:dyDescent="0.25">
      <c r="B95" s="38"/>
      <c r="C95" s="38"/>
      <c r="D95" s="38"/>
      <c r="E95" s="38"/>
      <c r="F95" s="38"/>
      <c r="G95" s="38"/>
      <c r="H95" s="38"/>
      <c r="I95" s="38"/>
      <c r="J95" s="38"/>
      <c r="K95" s="38"/>
      <c r="L95" s="38"/>
      <c r="M95" s="38"/>
      <c r="N95" s="38"/>
    </row>
    <row r="96" spans="2:25" x14ac:dyDescent="0.25">
      <c r="B96" s="38"/>
      <c r="C96" s="38"/>
      <c r="D96" s="38"/>
      <c r="E96" s="38"/>
      <c r="F96" s="38"/>
      <c r="G96" s="38"/>
      <c r="H96" s="38"/>
      <c r="I96" s="38"/>
      <c r="J96" s="38"/>
      <c r="K96" s="38"/>
      <c r="L96" s="38"/>
      <c r="M96" s="38"/>
      <c r="N96" s="38"/>
    </row>
    <row r="97" spans="2:14" x14ac:dyDescent="0.25">
      <c r="B97" s="38"/>
      <c r="C97" s="38"/>
      <c r="D97" s="38"/>
      <c r="E97" s="38"/>
      <c r="F97" s="38"/>
      <c r="G97" s="38"/>
      <c r="H97" s="38"/>
      <c r="I97" s="38"/>
      <c r="J97" s="38"/>
      <c r="K97" s="38"/>
      <c r="L97" s="38"/>
      <c r="M97" s="38"/>
      <c r="N97" s="38"/>
    </row>
    <row r="98" spans="2:14" x14ac:dyDescent="0.25">
      <c r="B98" s="38"/>
      <c r="C98" s="412"/>
      <c r="D98" s="38"/>
      <c r="E98" s="38"/>
      <c r="F98" s="38"/>
      <c r="G98" s="38"/>
      <c r="H98" s="38"/>
      <c r="I98" s="38"/>
      <c r="J98" s="38"/>
      <c r="K98" s="38"/>
      <c r="L98" s="38"/>
      <c r="M98" s="38"/>
      <c r="N98" s="38"/>
    </row>
    <row r="99" spans="2:14" x14ac:dyDescent="0.25">
      <c r="B99" s="38"/>
      <c r="C99" s="38"/>
      <c r="D99" s="38"/>
      <c r="E99" s="38"/>
      <c r="F99" s="38"/>
      <c r="G99" s="38"/>
      <c r="H99" s="38"/>
      <c r="I99" s="38"/>
      <c r="J99" s="38"/>
      <c r="K99" s="38"/>
      <c r="L99" s="38"/>
      <c r="M99" s="38"/>
      <c r="N99" s="38"/>
    </row>
    <row r="100" spans="2:14" x14ac:dyDescent="0.25">
      <c r="B100" s="38"/>
      <c r="C100" s="38"/>
      <c r="D100" s="413"/>
      <c r="E100" s="414"/>
      <c r="F100" s="414"/>
      <c r="G100" s="38"/>
      <c r="H100" s="38"/>
      <c r="I100" s="38"/>
      <c r="J100" s="38"/>
      <c r="K100" s="38"/>
      <c r="L100" s="38"/>
      <c r="M100" s="38"/>
      <c r="N100" s="38"/>
    </row>
    <row r="101" spans="2:14" x14ac:dyDescent="0.25">
      <c r="B101" s="38"/>
      <c r="C101" s="38"/>
      <c r="D101" s="38"/>
      <c r="E101" s="38"/>
      <c r="F101" s="38"/>
      <c r="G101" s="38"/>
      <c r="H101" s="38"/>
      <c r="I101" s="38"/>
      <c r="J101" s="38"/>
      <c r="K101" s="38"/>
      <c r="L101" s="38"/>
      <c r="M101" s="38"/>
      <c r="N101" s="38"/>
    </row>
    <row r="102" spans="2:14" x14ac:dyDescent="0.25">
      <c r="B102" s="38"/>
      <c r="C102" s="415"/>
      <c r="D102" s="38"/>
      <c r="E102" s="38"/>
      <c r="F102" s="38"/>
      <c r="G102" s="38"/>
      <c r="H102" s="38"/>
      <c r="I102" s="38"/>
      <c r="J102" s="38"/>
      <c r="K102" s="38"/>
      <c r="L102" s="38"/>
      <c r="M102" s="38"/>
      <c r="N102" s="38"/>
    </row>
    <row r="103" spans="2:14" x14ac:dyDescent="0.25">
      <c r="B103" s="38"/>
      <c r="C103" s="38"/>
      <c r="D103" s="38"/>
      <c r="E103" s="38"/>
      <c r="F103" s="38"/>
      <c r="G103" s="38"/>
      <c r="H103" s="38"/>
      <c r="I103" s="38"/>
      <c r="J103" s="38"/>
      <c r="K103" s="38"/>
      <c r="L103" s="38"/>
      <c r="M103" s="38"/>
      <c r="N103" s="38"/>
    </row>
    <row r="104" spans="2:14" x14ac:dyDescent="0.25">
      <c r="B104" s="38"/>
      <c r="C104" s="38"/>
      <c r="D104" s="38"/>
      <c r="E104" s="38"/>
      <c r="F104" s="38"/>
      <c r="G104" s="38"/>
      <c r="H104" s="38"/>
      <c r="I104" s="38"/>
      <c r="J104" s="38"/>
      <c r="K104" s="38"/>
      <c r="L104" s="38"/>
      <c r="M104" s="38"/>
      <c r="N104" s="38"/>
    </row>
    <row r="105" spans="2:14" x14ac:dyDescent="0.25">
      <c r="B105" s="38"/>
      <c r="C105" s="38"/>
      <c r="D105" s="38"/>
      <c r="E105" s="38"/>
      <c r="F105" s="38"/>
      <c r="G105" s="38"/>
      <c r="H105" s="38"/>
      <c r="I105" s="38"/>
      <c r="J105" s="38"/>
      <c r="K105" s="38"/>
      <c r="L105" s="38"/>
      <c r="M105" s="38"/>
      <c r="N105" s="38"/>
    </row>
    <row r="106" spans="2:14" x14ac:dyDescent="0.25">
      <c r="B106" s="38"/>
      <c r="C106" s="38"/>
      <c r="D106" s="38"/>
      <c r="E106" s="38"/>
      <c r="F106" s="38"/>
      <c r="G106" s="38"/>
      <c r="H106" s="38"/>
      <c r="I106" s="38"/>
      <c r="J106" s="38"/>
      <c r="K106" s="38"/>
      <c r="L106" s="38"/>
      <c r="M106" s="38"/>
      <c r="N106" s="38"/>
    </row>
  </sheetData>
  <customSheetViews>
    <customSheetView guid="{D98A0717-74D0-4F54-BB8F-A337A1A9E4DF}" showRuler="0">
      <selection activeCell="B24" sqref="B24"/>
      <pageMargins left="0.75" right="0.75" top="1" bottom="1" header="0.5" footer="0.5"/>
      <headerFooter alignWithMargins="0"/>
    </customSheetView>
    <customSheetView guid="{5D986420-B83B-47C8-8160-784F77FFC196}" showRuler="0">
      <selection activeCell="B24" sqref="B24"/>
      <pageMargins left="0.75" right="0.75" top="1" bottom="1" header="0.5" footer="0.5"/>
      <headerFooter alignWithMargins="0"/>
    </customSheetView>
    <customSheetView guid="{C9029B8D-126A-43F1-8BE9-BB8A7DE12FBF}" showRuler="0">
      <selection activeCell="B24" sqref="B24"/>
      <pageMargins left="0.75" right="0.75" top="1" bottom="1" header="0.5" footer="0.5"/>
      <headerFooter alignWithMargins="0"/>
    </customSheetView>
    <customSheetView guid="{4284377C-91E6-4152-887E-8DA87560FDD6}" showRuler="0">
      <selection activeCell="B24" sqref="B24"/>
      <pageMargins left="0.75" right="0.75" top="1" bottom="1" header="0.5" footer="0.5"/>
      <headerFooter alignWithMargins="0"/>
    </customSheetView>
    <customSheetView guid="{546B9E27-05F9-47A7-B161-BCC56D613799}" showRuler="0">
      <selection activeCell="B24" sqref="B24"/>
      <pageMargins left="0.75" right="0.75" top="1" bottom="1" header="0.5" footer="0.5"/>
      <headerFooter alignWithMargins="0"/>
    </customSheetView>
  </customSheetViews>
  <phoneticPr fontId="34" type="noConversion"/>
  <pageMargins left="0.75" right="0.75" top="1" bottom="1" header="0.5" footer="0.5"/>
  <pageSetup paperSize="9" scale="42"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6</vt:i4>
      </vt:variant>
    </vt:vector>
  </HeadingPairs>
  <TitlesOfParts>
    <vt:vector size="19" baseType="lpstr">
      <vt:lpstr>Invoerblad</vt:lpstr>
      <vt:lpstr>Afwijkingen-Opmerkingen</vt:lpstr>
      <vt:lpstr>Overzicht MSK toets</vt:lpstr>
      <vt:lpstr>Toelichting</vt:lpstr>
      <vt:lpstr>exploitatieoverzicht wind</vt:lpstr>
      <vt:lpstr>Samenvatting en uitgangspunten</vt:lpstr>
      <vt:lpstr>Stamblad</vt:lpstr>
      <vt:lpstr>Hulpberekeningen 1</vt:lpstr>
      <vt:lpstr>Hulpberekeningen 2</vt:lpstr>
      <vt:lpstr>Rendement geinv. vermogen</vt:lpstr>
      <vt:lpstr>VAMIL voordeel</vt:lpstr>
      <vt:lpstr>Invoerblad  bij lease</vt:lpstr>
      <vt:lpstr>exploitatieoverzicht Biomassa</vt:lpstr>
      <vt:lpstr>Invoerblad!Afdrukbereik</vt:lpstr>
      <vt:lpstr>inv_bl_A</vt:lpstr>
      <vt:lpstr>invbl_B1</vt:lpstr>
      <vt:lpstr>invbl_b2</vt:lpstr>
      <vt:lpstr>msktoets</vt:lpstr>
      <vt:lpstr>sde_ronde</vt:lpstr>
    </vt:vector>
  </TitlesOfParts>
  <Company>Senter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Winter</dc:creator>
  <cp:lastModifiedBy>Wopereis, M.E. (Marlies )</cp:lastModifiedBy>
  <cp:lastPrinted>2011-07-27T11:52:16Z</cp:lastPrinted>
  <dcterms:created xsi:type="dcterms:W3CDTF">2001-10-29T12:18:33Z</dcterms:created>
  <dcterms:modified xsi:type="dcterms:W3CDTF">2020-05-06T10:45:58Z</dcterms:modified>
</cp:coreProperties>
</file>