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T:\rvo\NP_CDE\Energie Innovatie\Uitvoering\44 Topsector Energie\Tenders en FCFS 2022\HER+ 2022\Modellen 2022\actuele versies\"/>
    </mc:Choice>
  </mc:AlternateContent>
  <xr:revisionPtr revIDLastSave="0" documentId="13_ncr:1_{93C1FC72-5531-4668-8028-A11741F8BDB9}" xr6:coauthVersionLast="47" xr6:coauthVersionMax="47" xr10:uidLastSave="{00000000-0000-0000-0000-000000000000}"/>
  <workbookProtection workbookAlgorithmName="SHA-512" workbookHashValue="+kQ8EsV8XKBRpUnquCKeMWqMWfJNSXUzzlHIMrCHM8eejCrT2BtNs+sYiBdGU8685/8HmRwpk+X7WhGceH46dA==" workbookSaltValue="3JZRNQJPBwZrBIgAiEsG8w==" workbookSpinCount="100000" lockStructure="1"/>
  <bookViews>
    <workbookView xWindow="2730" yWindow="3900" windowWidth="28800" windowHeight="16680" xr2:uid="{00000000-000D-0000-FFFF-FFFF00000000}"/>
  </bookViews>
  <sheets>
    <sheet name=" Colofon en Instructies" sheetId="48" r:id="rId1"/>
    <sheet name="Project" sheetId="10" r:id="rId2"/>
    <sheet name="Year independent" sheetId="11" r:id="rId3"/>
    <sheet name="Year dependent" sheetId="12" r:id="rId4"/>
    <sheet name="Input_Output" sheetId="8" r:id="rId5"/>
    <sheet name="Cashflow" sheetId="3" r:id="rId6"/>
  </sheets>
  <definedNames>
    <definedName name="accesibility">#REF!</definedName>
    <definedName name="AdderNoiseReductionInstallationMonopile">#REF!</definedName>
    <definedName name="AdditionalElektraCAPEX">#REF!</definedName>
    <definedName name="_xlnm.Print_Area" localSheetId="4">Input_Output!$A$1:$F$40</definedName>
    <definedName name="_xlnm.Print_Area" localSheetId="3">'Year dependent'!$A$1:$G$28</definedName>
    <definedName name="_xlnm.Print_Area" localSheetId="2">'Year independent'!$A$1:$G$48</definedName>
    <definedName name="_xlnm.Print_Titles" localSheetId="5">Cashflow!$A:$E</definedName>
    <definedName name="AutodetectORSelectedWTG">#REF!</definedName>
    <definedName name="availability">#REF!</definedName>
    <definedName name="AvailabilityAsAWhole">#REF!</definedName>
    <definedName name="Balancing_costs">#REF!</definedName>
    <definedName name="Cable_costs">#REF!</definedName>
    <definedName name="cable_loss_AC">#REF!</definedName>
    <definedName name="cable_loss_DC">#REF!</definedName>
    <definedName name="CableLength">#REF!</definedName>
    <definedName name="CableTypeChosen">#REF!</definedName>
    <definedName name="CableTypeUsed">#REF!</definedName>
    <definedName name="Cap_cable">#REF!</definedName>
    <definedName name="ConnectionCableCosts_InclTandI">#REF!</definedName>
    <definedName name="cons2015extraElectraCost">#REF!</definedName>
    <definedName name="cons2015extraElectraInstallation">#REF!</definedName>
    <definedName name="cons2015extraFoundationCost">#REF!</definedName>
    <definedName name="cons2015extraFoundationInstallation">#REF!</definedName>
    <definedName name="cons2015extraOM">#REF!</definedName>
    <definedName name="cons2015extraProjectCost">#REF!</definedName>
    <definedName name="cons2015extraTurbineCost">#REF!</definedName>
    <definedName name="cons2015extraTurbineInstallation">#REF!</definedName>
    <definedName name="Converter_loss_DC">#REF!</definedName>
    <definedName name="Currency">Project!$D$8</definedName>
    <definedName name="Dist_to_grid">#REF!</definedName>
    <definedName name="Dist_to_harbor">#REF!</definedName>
    <definedName name="Econ_of_scale_factor">#REF!</definedName>
    <definedName name="Economies_of_scale">#REF!</definedName>
    <definedName name="Efficiency_AC_cable">#REF!</definedName>
    <definedName name="Efficiency_DC_cable">#REF!</definedName>
    <definedName name="ElectraCosts_TandI">#REF!</definedName>
    <definedName name="ElectraCostsExclTandI">#REF!</definedName>
    <definedName name="Env_and_geo_survey">#REF!</definedName>
    <definedName name="ExcludeCableCosts">#REF!</definedName>
    <definedName name="ExtraCableDistance">#REF!</definedName>
    <definedName name="Foundation_cost">#REF!</definedName>
    <definedName name="FoundationCosts_TandI">#REF!</definedName>
    <definedName name="FoundationCostsExclTandI">#REF!</definedName>
    <definedName name="FoundationTypeChosen">#REF!</definedName>
    <definedName name="FoundationTypeUsed">#REF!</definedName>
    <definedName name="FullLoadHours">Input_Output!$F$5</definedName>
    <definedName name="grid_charges">#REF!</definedName>
    <definedName name="grid_code_compliance">#REF!</definedName>
    <definedName name="Grid_reinforcement_costs">#REF!</definedName>
    <definedName name="GridConnectionCosts">#REF!</definedName>
    <definedName name="GridConnectionCostsOverview">#REF!</definedName>
    <definedName name="Hardware_costs_internal_grid">#REF!</definedName>
    <definedName name="hub_height">#REF!</definedName>
    <definedName name="IncludeIntraFarmWakeLoss">#REF!</definedName>
    <definedName name="InternalElectraInclTandI">#REF!</definedName>
    <definedName name="IntraWakeLoss">#REF!</definedName>
    <definedName name="LevelizedCosts">Input_Output!#REF!</definedName>
    <definedName name="LicencePeriod">'Year independent'!$H$36</definedName>
    <definedName name="LocationData">#REF!</definedName>
    <definedName name="LossElecInfra">#REF!</definedName>
    <definedName name="LowVoltageDistanceLimit">#REF!</definedName>
    <definedName name="LReffect_Elec">#REF!</definedName>
    <definedName name="LReffect_Foundation">#REF!</definedName>
    <definedName name="LReffect_MonitSupply">#REF!</definedName>
    <definedName name="LReffect_OPEX">#REF!</definedName>
    <definedName name="LReffect_TI">#REF!</definedName>
    <definedName name="LReffect_TowerNonSteal">#REF!</definedName>
    <definedName name="LReffect_TowernSteal">#REF!</definedName>
    <definedName name="LReffect_TurbMargin">#REF!</definedName>
    <definedName name="LReffect_TurbNonSteal">#REF!</definedName>
    <definedName name="LReffect_TurbOffshoreComp">#REF!</definedName>
    <definedName name="LReffect_TurbSteal">#REF!</definedName>
    <definedName name="Max_cable_cap">#REF!</definedName>
    <definedName name="Max_cable_capDC">#REF!</definedName>
    <definedName name="MaxFullLoadHrs">Input_Output!$F$38</definedName>
    <definedName name="Maximum_cacapacity_cable">#REF!</definedName>
    <definedName name="min_accesibility">#REF!</definedName>
    <definedName name="MiscellaneousCosts">#REF!</definedName>
    <definedName name="MobilisationCostCable">#REF!</definedName>
    <definedName name="MonitoringSupply">#REF!</definedName>
    <definedName name="N_in_farm">#REF!</definedName>
    <definedName name="NCable">#REF!</definedName>
    <definedName name="NCable_AC">#REF!</definedName>
    <definedName name="NCable_DC">#REF!</definedName>
    <definedName name="OPEX">#REF!</definedName>
    <definedName name="P_farm">#REF!</definedName>
    <definedName name="P_turbine">#REF!</definedName>
    <definedName name="Park_availability">#REF!</definedName>
    <definedName name="Park_interference_loss">#REF!</definedName>
    <definedName name="PreparationAndManagement">#REF!</definedName>
    <definedName name="Prijsjaar">#REF!</definedName>
    <definedName name="ProjectCosts">#REF!</definedName>
    <definedName name="r_0">#REF!</definedName>
    <definedName name="ref_height">#REF!</definedName>
    <definedName name="Reference_farm_size">#REF!</definedName>
    <definedName name="reliability">#REF!</definedName>
    <definedName name="Rotor_diameter">#REF!</definedName>
    <definedName name="shape_param_acces">#REF!</definedName>
    <definedName name="ShareLR_Elec">#REF!</definedName>
    <definedName name="ShareLR_MonitSupply">#REF!</definedName>
    <definedName name="ShareLR_OPEX">#REF!</definedName>
    <definedName name="ShareLR_TI">#REF!</definedName>
    <definedName name="ShareLR_TowerNonSteal">#REF!</definedName>
    <definedName name="ShareLR_TowernSteal">#REF!</definedName>
    <definedName name="ShareLR_TurbMargin">#REF!</definedName>
    <definedName name="ShareLR_TurbNonSteal">#REF!</definedName>
    <definedName name="ShareLR_TurbOffshoreComp">#REF!</definedName>
    <definedName name="ShareLR_TurbSteal">#REF!</definedName>
    <definedName name="SignWaveHeight">#REF!</definedName>
    <definedName name="SoilQuality">#REF!</definedName>
    <definedName name="specific_power">#REF!</definedName>
    <definedName name="Substation_TI_costs">#REF!</definedName>
    <definedName name="SubstationSupplyCosts">#REF!</definedName>
    <definedName name="TandI_total">#REF!</definedName>
    <definedName name="TI_costs_cables">#REF!</definedName>
    <definedName name="TI_costs_foundation">#REF!</definedName>
    <definedName name="TI_costs_turbine">#REF!</definedName>
    <definedName name="TI_percentage_cable">#REF!</definedName>
    <definedName name="TI_percentage_internal_grid">#REF!</definedName>
    <definedName name="TotalInvestmentCost">#REF!</definedName>
    <definedName name="TotalProductionFarmGWhPerYear">#REF!</definedName>
    <definedName name="Tower_costs">#REF!</definedName>
    <definedName name="TransportDayRate">#REF!</definedName>
    <definedName name="turbine_costs">#REF!</definedName>
    <definedName name="Turbine_costs_excl_tower">#REF!</definedName>
    <definedName name="Turbine_type">#REF!</definedName>
    <definedName name="TurbineCostExlTandI">#REF!</definedName>
    <definedName name="TurbineCosts_TandI">#REF!</definedName>
    <definedName name="V_aveg_at_RefHeight">#REF!</definedName>
    <definedName name="V_average_at_hub_height">#REF!</definedName>
    <definedName name="V_averge_incl_IntraWake_at_HubHeight">#REF!</definedName>
    <definedName name="Var_Maintenance_Costs">#REF!</definedName>
    <definedName name="WaterDepth">#REF!</definedName>
    <definedName name="Weibull_scale">#REF!</definedName>
    <definedName name="Weibull_scale_IntraWake">#REF!</definedName>
    <definedName name="Weibull_sha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8" l="1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G20" i="8"/>
  <c r="H25" i="11" l="1"/>
  <c r="F16" i="8" s="1"/>
  <c r="F4" i="8" l="1"/>
  <c r="G20" i="11" l="1"/>
  <c r="G46" i="11" l="1"/>
  <c r="H46" i="11" s="1"/>
  <c r="F38" i="8"/>
  <c r="H49" i="11"/>
  <c r="H36" i="11"/>
  <c r="F7" i="8" s="1"/>
  <c r="D9" i="10" l="1"/>
  <c r="H41" i="11"/>
  <c r="F28" i="8" s="1"/>
  <c r="H29" i="12"/>
  <c r="I29" i="12" s="1"/>
  <c r="H9" i="12"/>
  <c r="H32" i="11"/>
  <c r="F12" i="8" s="1"/>
  <c r="H31" i="11"/>
  <c r="F11" i="8" s="1"/>
  <c r="H37" i="11"/>
  <c r="F37" i="8" s="1"/>
  <c r="H34" i="11"/>
  <c r="F14" i="8" s="1"/>
  <c r="H47" i="11"/>
  <c r="F34" i="8" s="1"/>
  <c r="H44" i="11"/>
  <c r="F31" i="8" s="1"/>
  <c r="H28" i="11"/>
  <c r="F8" i="8" s="1"/>
  <c r="BR33" i="12"/>
  <c r="AG36" i="8" s="1"/>
  <c r="H29" i="11"/>
  <c r="F9" i="8" s="1"/>
  <c r="H42" i="11"/>
  <c r="H43" i="11"/>
  <c r="F30" i="8" s="1"/>
  <c r="H38" i="11"/>
  <c r="F35" i="8" s="1"/>
  <c r="AX33" i="12"/>
  <c r="M36" i="8" s="1"/>
  <c r="H30" i="11"/>
  <c r="F10" i="8" s="1"/>
  <c r="BJ33" i="12"/>
  <c r="Y36" i="8" s="1"/>
  <c r="D10" i="10"/>
  <c r="L6" i="12" s="1"/>
  <c r="H24" i="11"/>
  <c r="H23" i="11"/>
  <c r="C12" i="12"/>
  <c r="C17" i="12"/>
  <c r="E21" i="8"/>
  <c r="E20" i="8"/>
  <c r="E17" i="8"/>
  <c r="E16" i="8"/>
  <c r="E15" i="8"/>
  <c r="E18" i="8"/>
  <c r="E15" i="11"/>
  <c r="D17" i="11"/>
  <c r="H35" i="11"/>
  <c r="F6" i="8" s="1"/>
  <c r="AH17" i="3" s="1"/>
  <c r="AS33" i="12"/>
  <c r="H36" i="8" s="1"/>
  <c r="AU33" i="12"/>
  <c r="J36" i="8" s="1"/>
  <c r="AW33" i="12"/>
  <c r="L36" i="8" s="1"/>
  <c r="BA33" i="12"/>
  <c r="P36" i="8" s="1"/>
  <c r="BC33" i="12"/>
  <c r="R36" i="8" s="1"/>
  <c r="BE33" i="12"/>
  <c r="T36" i="8" s="1"/>
  <c r="BS33" i="12"/>
  <c r="AH36" i="8" s="1"/>
  <c r="BQ33" i="12"/>
  <c r="AF36" i="8" s="1"/>
  <c r="BO33" i="12"/>
  <c r="AD36" i="8" s="1"/>
  <c r="BK33" i="12"/>
  <c r="Z36" i="8" s="1"/>
  <c r="BI33" i="12"/>
  <c r="X36" i="8" s="1"/>
  <c r="BG33" i="12"/>
  <c r="V36" i="8" s="1"/>
  <c r="H39" i="11"/>
  <c r="AZ33" i="12"/>
  <c r="O36" i="8" s="1"/>
  <c r="BP33" i="12"/>
  <c r="AE36" i="8" s="1"/>
  <c r="AR33" i="12"/>
  <c r="G36" i="8" s="1"/>
  <c r="AT33" i="12"/>
  <c r="I36" i="8" s="1"/>
  <c r="BB33" i="12"/>
  <c r="Q36" i="8" s="1"/>
  <c r="AV33" i="12"/>
  <c r="K36" i="8" s="1"/>
  <c r="BD33" i="12"/>
  <c r="S36" i="8" s="1"/>
  <c r="BT33" i="12"/>
  <c r="AI36" i="8" s="1"/>
  <c r="H22" i="12"/>
  <c r="H5" i="12"/>
  <c r="H10" i="12"/>
  <c r="H18" i="12"/>
  <c r="H30" i="12"/>
  <c r="I30" i="12" s="1"/>
  <c r="H16" i="12"/>
  <c r="H12" i="12"/>
  <c r="H8" i="12"/>
  <c r="H14" i="12"/>
  <c r="H15" i="12"/>
  <c r="F20" i="8" l="1"/>
  <c r="F36" i="8"/>
  <c r="AD22" i="3" s="1"/>
  <c r="K17" i="3"/>
  <c r="W17" i="3"/>
  <c r="M17" i="3"/>
  <c r="H17" i="3"/>
  <c r="L17" i="3"/>
  <c r="AE15" i="3"/>
  <c r="AI15" i="3"/>
  <c r="AF15" i="3"/>
  <c r="AJ15" i="3"/>
  <c r="AG15" i="3"/>
  <c r="AH15" i="3"/>
  <c r="AF14" i="3"/>
  <c r="AJ14" i="3"/>
  <c r="AG14" i="3"/>
  <c r="AE14" i="3"/>
  <c r="AI14" i="3"/>
  <c r="AH14" i="3"/>
  <c r="H33" i="11"/>
  <c r="AJ21" i="3"/>
  <c r="BL33" i="12"/>
  <c r="AA36" i="8" s="1"/>
  <c r="BN33" i="12"/>
  <c r="AC36" i="8" s="1"/>
  <c r="BH33" i="12"/>
  <c r="W36" i="8" s="1"/>
  <c r="BM33" i="12"/>
  <c r="AB36" i="8" s="1"/>
  <c r="BU33" i="12"/>
  <c r="AJ36" i="8" s="1"/>
  <c r="AY33" i="12"/>
  <c r="N36" i="8" s="1"/>
  <c r="BF33" i="12"/>
  <c r="U36" i="8" s="1"/>
  <c r="AJ25" i="3"/>
  <c r="AA24" i="3"/>
  <c r="F30" i="12"/>
  <c r="F29" i="12"/>
  <c r="F31" i="12"/>
  <c r="F10" i="12"/>
  <c r="F22" i="12"/>
  <c r="BR29" i="12"/>
  <c r="BL29" i="12"/>
  <c r="BD30" i="12"/>
  <c r="BF30" i="12"/>
  <c r="BH30" i="12"/>
  <c r="AZ30" i="12"/>
  <c r="H7" i="12"/>
  <c r="H19" i="12"/>
  <c r="H20" i="12"/>
  <c r="H17" i="12"/>
  <c r="R17" i="3"/>
  <c r="G17" i="3"/>
  <c r="AH25" i="3"/>
  <c r="AE24" i="3"/>
  <c r="H13" i="12"/>
  <c r="H11" i="12"/>
  <c r="H21" i="12"/>
  <c r="H6" i="12"/>
  <c r="H31" i="12"/>
  <c r="I31" i="12" s="1"/>
  <c r="F21" i="8" s="1"/>
  <c r="AG17" i="3"/>
  <c r="AF25" i="3"/>
  <c r="AE17" i="3"/>
  <c r="AF6" i="3"/>
  <c r="AE6" i="3"/>
  <c r="AI6" i="3"/>
  <c r="AH9" i="3"/>
  <c r="AH40" i="3" s="1"/>
  <c r="AH6" i="3"/>
  <c r="AG9" i="3"/>
  <c r="AJ9" i="3"/>
  <c r="AJ40" i="3" s="1"/>
  <c r="AI7" i="3"/>
  <c r="AF10" i="3"/>
  <c r="H45" i="11"/>
  <c r="F32" i="8" s="1"/>
  <c r="BL30" i="12"/>
  <c r="BO30" i="12"/>
  <c r="BE30" i="12"/>
  <c r="BI30" i="12"/>
  <c r="AS30" i="12"/>
  <c r="AT30" i="12"/>
  <c r="BT30" i="12"/>
  <c r="BA30" i="12"/>
  <c r="BU30" i="12"/>
  <c r="BR30" i="12"/>
  <c r="AX30" i="12"/>
  <c r="BB30" i="12"/>
  <c r="BM30" i="12"/>
  <c r="BC30" i="12"/>
  <c r="BQ29" i="12"/>
  <c r="BF29" i="12"/>
  <c r="AS29" i="12"/>
  <c r="BI29" i="12"/>
  <c r="BD29" i="12"/>
  <c r="BT29" i="12"/>
  <c r="BG29" i="12"/>
  <c r="BJ29" i="12"/>
  <c r="BA29" i="12"/>
  <c r="AZ29" i="12"/>
  <c r="AU29" i="12"/>
  <c r="BO29" i="12"/>
  <c r="BS29" i="12"/>
  <c r="AT29" i="12"/>
  <c r="BN29" i="12"/>
  <c r="BE29" i="12"/>
  <c r="BH29" i="12"/>
  <c r="AY29" i="12"/>
  <c r="AU30" i="12"/>
  <c r="AI10" i="3"/>
  <c r="AE25" i="3"/>
  <c r="BK29" i="12"/>
  <c r="AV29" i="12"/>
  <c r="AH7" i="3"/>
  <c r="BU29" i="12"/>
  <c r="AA27" i="3"/>
  <c r="AW30" i="12"/>
  <c r="BP30" i="12"/>
  <c r="AY30" i="12"/>
  <c r="AV30" i="12"/>
  <c r="AJ27" i="3"/>
  <c r="AD30" i="3"/>
  <c r="AI9" i="3"/>
  <c r="AI40" i="3" s="1"/>
  <c r="I17" i="3"/>
  <c r="F31" i="3"/>
  <c r="AC24" i="3"/>
  <c r="F30" i="3"/>
  <c r="AD28" i="3"/>
  <c r="BC29" i="12"/>
  <c r="BM29" i="12"/>
  <c r="AX29" i="12"/>
  <c r="AR29" i="12"/>
  <c r="AH28" i="3"/>
  <c r="AE27" i="3"/>
  <c r="AF9" i="3"/>
  <c r="AF40" i="3" s="1"/>
  <c r="AG40" i="3"/>
  <c r="AG10" i="3"/>
  <c r="AJ10" i="3"/>
  <c r="AE10" i="3"/>
  <c r="AB25" i="3"/>
  <c r="AE31" i="3"/>
  <c r="AI30" i="3"/>
  <c r="AE30" i="3"/>
  <c r="AH30" i="3"/>
  <c r="G31" i="3"/>
  <c r="AA28" i="3"/>
  <c r="AD24" i="3"/>
  <c r="AG24" i="3"/>
  <c r="AI28" i="3"/>
  <c r="AA25" i="3"/>
  <c r="AC28" i="3"/>
  <c r="AG27" i="3"/>
  <c r="AJ28" i="3"/>
  <c r="AC27" i="3"/>
  <c r="AH27" i="3"/>
  <c r="G30" i="3"/>
  <c r="AB28" i="3"/>
  <c r="AF28" i="3"/>
  <c r="F28" i="3"/>
  <c r="Z24" i="3"/>
  <c r="AB31" i="3"/>
  <c r="AF30" i="3"/>
  <c r="AJ30" i="3"/>
  <c r="AD25" i="3"/>
  <c r="AI27" i="3"/>
  <c r="AJ24" i="3"/>
  <c r="AE28" i="3"/>
  <c r="AC31" i="3"/>
  <c r="AH31" i="3"/>
  <c r="AD31" i="3"/>
  <c r="AG25" i="3"/>
  <c r="Z25" i="3"/>
  <c r="AC25" i="3"/>
  <c r="AG28" i="3"/>
  <c r="AJ31" i="3"/>
  <c r="AB27" i="3"/>
  <c r="AF24" i="3"/>
  <c r="AI31" i="3"/>
  <c r="AB24" i="3"/>
  <c r="AH24" i="3"/>
  <c r="BN30" i="12"/>
  <c r="BK30" i="12"/>
  <c r="BQ30" i="12"/>
  <c r="AG30" i="3"/>
  <c r="AC30" i="3"/>
  <c r="BB29" i="12"/>
  <c r="AI25" i="3"/>
  <c r="AF31" i="3"/>
  <c r="BJ30" i="12"/>
  <c r="BS30" i="12"/>
  <c r="AR30" i="12"/>
  <c r="BG30" i="12"/>
  <c r="AD27" i="3"/>
  <c r="AH10" i="3"/>
  <c r="AG31" i="3"/>
  <c r="AI24" i="3"/>
  <c r="AB30" i="3"/>
  <c r="BP29" i="12"/>
  <c r="AW29" i="12"/>
  <c r="AE9" i="3"/>
  <c r="AE40" i="3" s="1"/>
  <c r="AE7" i="3"/>
  <c r="AF27" i="3"/>
  <c r="F27" i="3"/>
  <c r="AG7" i="3"/>
  <c r="F17" i="3"/>
  <c r="X17" i="3"/>
  <c r="O17" i="3"/>
  <c r="T17" i="3"/>
  <c r="AB17" i="3"/>
  <c r="AD17" i="3"/>
  <c r="Y17" i="3"/>
  <c r="U17" i="3"/>
  <c r="AJ7" i="3"/>
  <c r="P17" i="3"/>
  <c r="AF7" i="3"/>
  <c r="V17" i="3"/>
  <c r="S17" i="3"/>
  <c r="AC17" i="3"/>
  <c r="N17" i="3"/>
  <c r="Q17" i="3"/>
  <c r="AJ6" i="3"/>
  <c r="AA17" i="3"/>
  <c r="J17" i="3"/>
  <c r="AF17" i="3"/>
  <c r="AG6" i="3"/>
  <c r="AJ17" i="3"/>
  <c r="AI17" i="3"/>
  <c r="L5" i="12"/>
  <c r="F24" i="12"/>
  <c r="F16" i="12"/>
  <c r="AG20" i="3" l="1"/>
  <c r="AD20" i="3"/>
  <c r="AA20" i="3"/>
  <c r="AC21" i="3"/>
  <c r="AD21" i="3"/>
  <c r="AH22" i="3"/>
  <c r="Z20" i="3"/>
  <c r="AA21" i="3"/>
  <c r="AC20" i="3"/>
  <c r="AH21" i="3"/>
  <c r="AE20" i="3"/>
  <c r="AF21" i="3"/>
  <c r="AJ22" i="3"/>
  <c r="AI21" i="3"/>
  <c r="AB21" i="3"/>
  <c r="AB22" i="3"/>
  <c r="AE22" i="3"/>
  <c r="G22" i="3"/>
  <c r="F21" i="3"/>
  <c r="AC22" i="3"/>
  <c r="AH20" i="3"/>
  <c r="AF20" i="3"/>
  <c r="F22" i="3"/>
  <c r="AI20" i="3"/>
  <c r="AG22" i="3"/>
  <c r="AF22" i="3"/>
  <c r="AG21" i="3"/>
  <c r="AE21" i="3"/>
  <c r="AJ20" i="3"/>
  <c r="AI22" i="3"/>
  <c r="AB20" i="3"/>
  <c r="AA20" i="8"/>
  <c r="AV31" i="12"/>
  <c r="BE31" i="12"/>
  <c r="BG31" i="12"/>
  <c r="BO31" i="12"/>
  <c r="BI31" i="12"/>
  <c r="AZ31" i="12"/>
  <c r="BC31" i="12"/>
  <c r="AU31" i="12"/>
  <c r="BR31" i="12"/>
  <c r="BP31" i="12"/>
  <c r="BH31" i="12"/>
  <c r="F13" i="8"/>
  <c r="G14" i="8" s="1"/>
  <c r="AJ26" i="3"/>
  <c r="Z17" i="3"/>
  <c r="F33" i="8"/>
  <c r="D47" i="3" s="1"/>
  <c r="AH26" i="3"/>
  <c r="AF26" i="3"/>
  <c r="AF8" i="3"/>
  <c r="AH8" i="3"/>
  <c r="AR31" i="12"/>
  <c r="BD31" i="12"/>
  <c r="BA31" i="12"/>
  <c r="BF31" i="12"/>
  <c r="AY31" i="12"/>
  <c r="AT31" i="12"/>
  <c r="BK31" i="12"/>
  <c r="AX31" i="12"/>
  <c r="BJ31" i="12"/>
  <c r="BL31" i="12"/>
  <c r="BU31" i="12"/>
  <c r="BT31" i="12"/>
  <c r="BM31" i="12"/>
  <c r="BQ31" i="12"/>
  <c r="BB31" i="12"/>
  <c r="BS31" i="12"/>
  <c r="AW31" i="12"/>
  <c r="AS31" i="12"/>
  <c r="BN31" i="12"/>
  <c r="AE26" i="3"/>
  <c r="AE8" i="3"/>
  <c r="AI8" i="3"/>
  <c r="AG8" i="3"/>
  <c r="AC32" i="3"/>
  <c r="AI26" i="3"/>
  <c r="AE32" i="3"/>
  <c r="G32" i="3"/>
  <c r="AC29" i="3"/>
  <c r="AF34" i="3"/>
  <c r="AJ29" i="3"/>
  <c r="AH11" i="3"/>
  <c r="AB29" i="3"/>
  <c r="AD32" i="3"/>
  <c r="AG26" i="3"/>
  <c r="AE33" i="3"/>
  <c r="AF29" i="3"/>
  <c r="AB26" i="3"/>
  <c r="AD26" i="3"/>
  <c r="AF32" i="3"/>
  <c r="F29" i="3"/>
  <c r="AH29" i="3"/>
  <c r="AG29" i="3"/>
  <c r="AI33" i="3"/>
  <c r="AF11" i="3"/>
  <c r="AF33" i="3"/>
  <c r="AE11" i="3"/>
  <c r="AD29" i="3"/>
  <c r="AJ32" i="3"/>
  <c r="AH34" i="3"/>
  <c r="AI29" i="3"/>
  <c r="AH33" i="3"/>
  <c r="AD34" i="3"/>
  <c r="AJ8" i="3"/>
  <c r="AB33" i="3"/>
  <c r="AG34" i="3"/>
  <c r="AG33" i="3"/>
  <c r="AB34" i="3"/>
  <c r="F32" i="3"/>
  <c r="AI11" i="3"/>
  <c r="AB32" i="3"/>
  <c r="AA26" i="3"/>
  <c r="AG11" i="3"/>
  <c r="AG32" i="3"/>
  <c r="AI32" i="3"/>
  <c r="AC34" i="3"/>
  <c r="AE34" i="3"/>
  <c r="AE29" i="3"/>
  <c r="AC33" i="3"/>
  <c r="AA29" i="3"/>
  <c r="AJ34" i="3"/>
  <c r="AC26" i="3"/>
  <c r="AI34" i="3"/>
  <c r="Z26" i="3"/>
  <c r="AJ11" i="3"/>
  <c r="AD33" i="3"/>
  <c r="AJ33" i="3"/>
  <c r="AH32" i="3"/>
  <c r="F9" i="12"/>
  <c r="F23" i="12"/>
  <c r="F15" i="12"/>
  <c r="F21" i="12"/>
  <c r="AJ23" i="3" l="1"/>
  <c r="AD23" i="3"/>
  <c r="AH23" i="3"/>
  <c r="AG23" i="3"/>
  <c r="AC23" i="3"/>
  <c r="AE23" i="3"/>
  <c r="AI23" i="3"/>
  <c r="AF23" i="3"/>
  <c r="AB23" i="3"/>
  <c r="AB20" i="8"/>
  <c r="AJ12" i="3"/>
  <c r="AJ13" i="3" s="1"/>
  <c r="H23" i="12"/>
  <c r="D48" i="3"/>
  <c r="L21" i="8"/>
  <c r="V21" i="8"/>
  <c r="AH21" i="8"/>
  <c r="AG21" i="8"/>
  <c r="W21" i="8"/>
  <c r="AF21" i="8"/>
  <c r="AD21" i="8"/>
  <c r="S21" i="8"/>
  <c r="N21" i="8"/>
  <c r="Z21" i="8"/>
  <c r="P21" i="8"/>
  <c r="R21" i="8"/>
  <c r="Y21" i="8"/>
  <c r="O21" i="8"/>
  <c r="X21" i="8"/>
  <c r="I21" i="8"/>
  <c r="AB21" i="8"/>
  <c r="Q21" i="8"/>
  <c r="J21" i="8"/>
  <c r="AE21" i="8"/>
  <c r="G21" i="8"/>
  <c r="U21" i="8"/>
  <c r="AC21" i="8"/>
  <c r="K21" i="8"/>
  <c r="H21" i="8"/>
  <c r="M21" i="8"/>
  <c r="T21" i="8"/>
  <c r="AA21" i="8"/>
  <c r="AI21" i="8"/>
  <c r="AJ21" i="8"/>
  <c r="AC35" i="3"/>
  <c r="AF35" i="3"/>
  <c r="AE35" i="3"/>
  <c r="AD35" i="3"/>
  <c r="AI35" i="3"/>
  <c r="AH35" i="3"/>
  <c r="AB35" i="3"/>
  <c r="AG35" i="3"/>
  <c r="AJ35" i="3"/>
  <c r="AC20" i="8" l="1"/>
  <c r="H24" i="12"/>
  <c r="I10" i="12" s="1"/>
  <c r="BM10" i="12" s="1"/>
  <c r="AD20" i="8" l="1"/>
  <c r="BG10" i="12"/>
  <c r="BT10" i="12"/>
  <c r="BD10" i="12"/>
  <c r="BJ10" i="12"/>
  <c r="BP10" i="12"/>
  <c r="BF10" i="12"/>
  <c r="BA10" i="12"/>
  <c r="BI10" i="12"/>
  <c r="BL10" i="12"/>
  <c r="AV10" i="12"/>
  <c r="BR10" i="12"/>
  <c r="BQ10" i="12"/>
  <c r="AU10" i="12"/>
  <c r="BE10" i="12"/>
  <c r="BU10" i="12"/>
  <c r="BK10" i="12"/>
  <c r="AX10" i="12"/>
  <c r="I13" i="12"/>
  <c r="BO13" i="12" s="1"/>
  <c r="BC10" i="12"/>
  <c r="BB10" i="12"/>
  <c r="AT10" i="12"/>
  <c r="AR10" i="12"/>
  <c r="BO10" i="12"/>
  <c r="AY10" i="12"/>
  <c r="I21" i="12"/>
  <c r="BH21" i="12" s="1"/>
  <c r="I16" i="12"/>
  <c r="BJ16" i="12" s="1"/>
  <c r="AW10" i="12"/>
  <c r="AS10" i="12"/>
  <c r="BH10" i="12"/>
  <c r="BS10" i="12"/>
  <c r="AZ10" i="12"/>
  <c r="BN10" i="12"/>
  <c r="I6" i="12"/>
  <c r="BA6" i="12" s="1"/>
  <c r="I18" i="12"/>
  <c r="BM18" i="12" s="1"/>
  <c r="I14" i="12"/>
  <c r="BB14" i="12" s="1"/>
  <c r="I23" i="12"/>
  <c r="I12" i="12"/>
  <c r="BB12" i="12" s="1"/>
  <c r="I24" i="12"/>
  <c r="BE24" i="12" s="1"/>
  <c r="I22" i="12"/>
  <c r="AV22" i="12" s="1"/>
  <c r="I5" i="12"/>
  <c r="BU5" i="12" s="1"/>
  <c r="I9" i="12"/>
  <c r="BT9" i="12" s="1"/>
  <c r="I8" i="12"/>
  <c r="BS8" i="12" s="1"/>
  <c r="I19" i="12"/>
  <c r="AR19" i="12" s="1"/>
  <c r="I17" i="12"/>
  <c r="BS17" i="12" s="1"/>
  <c r="I15" i="12"/>
  <c r="BC15" i="12" s="1"/>
  <c r="I20" i="12"/>
  <c r="BI20" i="12" s="1"/>
  <c r="I7" i="12"/>
  <c r="BJ7" i="12" s="1"/>
  <c r="I11" i="12"/>
  <c r="BH11" i="12" s="1"/>
  <c r="AE20" i="8" l="1"/>
  <c r="AY23" i="12"/>
  <c r="F17" i="8"/>
  <c r="F15" i="3" s="1"/>
  <c r="AS14" i="12"/>
  <c r="BK22" i="12"/>
  <c r="AV19" i="12"/>
  <c r="AY22" i="12"/>
  <c r="BN14" i="12"/>
  <c r="BA22" i="12"/>
  <c r="AX14" i="12"/>
  <c r="BH19" i="12"/>
  <c r="BK14" i="12"/>
  <c r="AU13" i="12"/>
  <c r="BB16" i="12"/>
  <c r="AZ16" i="12"/>
  <c r="BA13" i="12"/>
  <c r="BU13" i="12"/>
  <c r="BF18" i="12"/>
  <c r="BH16" i="12"/>
  <c r="AZ18" i="12"/>
  <c r="BG24" i="12"/>
  <c r="BO18" i="12"/>
  <c r="AY16" i="12"/>
  <c r="BQ16" i="12"/>
  <c r="AY18" i="12"/>
  <c r="BC13" i="12"/>
  <c r="AS13" i="12"/>
  <c r="BM13" i="12"/>
  <c r="BL16" i="12"/>
  <c r="AX16" i="12"/>
  <c r="BA16" i="12"/>
  <c r="BD16" i="12"/>
  <c r="AV16" i="12"/>
  <c r="BE13" i="12"/>
  <c r="AT13" i="12"/>
  <c r="BK13" i="12"/>
  <c r="BN16" i="12"/>
  <c r="BO16" i="12"/>
  <c r="AR16" i="12"/>
  <c r="AU16" i="12"/>
  <c r="BL13" i="12"/>
  <c r="AY13" i="12"/>
  <c r="AW13" i="12"/>
  <c r="BR6" i="12"/>
  <c r="BQ9" i="12"/>
  <c r="BH6" i="12"/>
  <c r="BI12" i="12"/>
  <c r="AV6" i="12"/>
  <c r="BA15" i="12"/>
  <c r="AU21" i="12"/>
  <c r="BN23" i="12"/>
  <c r="BG9" i="12"/>
  <c r="BG6" i="12"/>
  <c r="BT15" i="12"/>
  <c r="BF21" i="12"/>
  <c r="BU15" i="12"/>
  <c r="AW12" i="12"/>
  <c r="BL21" i="12"/>
  <c r="AW21" i="12"/>
  <c r="BD21" i="12"/>
  <c r="BB21" i="12"/>
  <c r="BE17" i="12"/>
  <c r="AR23" i="12"/>
  <c r="AS23" i="12"/>
  <c r="AY5" i="12"/>
  <c r="BA23" i="12"/>
  <c r="BM23" i="12"/>
  <c r="BL23" i="12"/>
  <c r="BT16" i="12"/>
  <c r="AX24" i="12"/>
  <c r="BP16" i="12"/>
  <c r="BR16" i="12"/>
  <c r="BF16" i="12"/>
  <c r="BM16" i="12"/>
  <c r="BU16" i="12"/>
  <c r="AR5" i="12"/>
  <c r="BN13" i="12"/>
  <c r="BJ13" i="12"/>
  <c r="BI13" i="12"/>
  <c r="BS13" i="12"/>
  <c r="BP13" i="12"/>
  <c r="AU23" i="12"/>
  <c r="AW23" i="12"/>
  <c r="BI23" i="12"/>
  <c r="BJ18" i="12"/>
  <c r="BG18" i="12"/>
  <c r="AW16" i="12"/>
  <c r="BK16" i="12"/>
  <c r="AT16" i="12"/>
  <c r="BE16" i="12"/>
  <c r="AS16" i="12"/>
  <c r="BC16" i="12"/>
  <c r="BS16" i="12"/>
  <c r="BI16" i="12"/>
  <c r="BK18" i="12"/>
  <c r="BG13" i="12"/>
  <c r="BF13" i="12"/>
  <c r="BQ13" i="12"/>
  <c r="AR13" i="12"/>
  <c r="BD13" i="12"/>
  <c r="BS23" i="12"/>
  <c r="BG12" i="12"/>
  <c r="BS15" i="12"/>
  <c r="BB6" i="12"/>
  <c r="BQ12" i="12"/>
  <c r="BM6" i="12"/>
  <c r="AW6" i="12"/>
  <c r="BT21" i="12"/>
  <c r="BO21" i="12"/>
  <c r="BK21" i="12"/>
  <c r="BQ21" i="12"/>
  <c r="AX9" i="12"/>
  <c r="BN21" i="12"/>
  <c r="AX21" i="12"/>
  <c r="AR6" i="12"/>
  <c r="AS15" i="12"/>
  <c r="AU12" i="12"/>
  <c r="BQ24" i="12"/>
  <c r="BS18" i="12"/>
  <c r="BO6" i="12"/>
  <c r="AZ12" i="12"/>
  <c r="BT6" i="12"/>
  <c r="BG16" i="12"/>
  <c r="BI6" i="12"/>
  <c r="BS6" i="12"/>
  <c r="BU21" i="12"/>
  <c r="BM21" i="12"/>
  <c r="BP21" i="12"/>
  <c r="AX13" i="12"/>
  <c r="BR13" i="12"/>
  <c r="AR21" i="12"/>
  <c r="BJ21" i="12"/>
  <c r="BB13" i="12"/>
  <c r="BT13" i="12"/>
  <c r="AZ13" i="12"/>
  <c r="AV13" i="12"/>
  <c r="AV21" i="12"/>
  <c r="AT21" i="12"/>
  <c r="AZ21" i="12"/>
  <c r="BS21" i="12"/>
  <c r="BK23" i="12"/>
  <c r="BH13" i="12"/>
  <c r="BR21" i="12"/>
  <c r="AX15" i="12"/>
  <c r="AS12" i="12"/>
  <c r="BP12" i="12"/>
  <c r="BP6" i="12"/>
  <c r="BK6" i="12"/>
  <c r="AT12" i="12"/>
  <c r="BC21" i="12"/>
  <c r="BA21" i="12"/>
  <c r="BI21" i="12"/>
  <c r="BG21" i="12"/>
  <c r="BE21" i="12"/>
  <c r="AR9" i="12"/>
  <c r="AS21" i="12"/>
  <c r="AY21" i="12"/>
  <c r="BT14" i="12"/>
  <c r="BU14" i="12"/>
  <c r="AT14" i="12"/>
  <c r="BO15" i="12"/>
  <c r="AR12" i="12"/>
  <c r="BQ15" i="12"/>
  <c r="BC12" i="12"/>
  <c r="AW22" i="12"/>
  <c r="BF6" i="12"/>
  <c r="AY15" i="12"/>
  <c r="BU6" i="12"/>
  <c r="BN12" i="12"/>
  <c r="BD12" i="12"/>
  <c r="AR15" i="12"/>
  <c r="AW9" i="12"/>
  <c r="BL6" i="12"/>
  <c r="AU6" i="12"/>
  <c r="BF14" i="12"/>
  <c r="BI14" i="12"/>
  <c r="BO14" i="12"/>
  <c r="BS9" i="12"/>
  <c r="BG14" i="12"/>
  <c r="AS22" i="12"/>
  <c r="BD15" i="12"/>
  <c r="BD22" i="12"/>
  <c r="AV15" i="12"/>
  <c r="AY19" i="12"/>
  <c r="BC9" i="12"/>
  <c r="AX6" i="12"/>
  <c r="AT9" i="12"/>
  <c r="BR14" i="12"/>
  <c r="AR14" i="12"/>
  <c r="BN18" i="12"/>
  <c r="AY24" i="12"/>
  <c r="BK24" i="12"/>
  <c r="BJ24" i="12"/>
  <c r="AX18" i="12"/>
  <c r="BL8" i="12"/>
  <c r="BA8" i="12"/>
  <c r="BI8" i="12"/>
  <c r="BM15" i="12"/>
  <c r="AV18" i="12"/>
  <c r="BK15" i="12"/>
  <c r="BE18" i="12"/>
  <c r="AS18" i="12"/>
  <c r="BS12" i="12"/>
  <c r="BL24" i="12"/>
  <c r="AW24" i="12"/>
  <c r="BR24" i="12"/>
  <c r="BC18" i="12"/>
  <c r="AY12" i="12"/>
  <c r="BQ6" i="12"/>
  <c r="BD6" i="12"/>
  <c r="BA18" i="12"/>
  <c r="BA12" i="12"/>
  <c r="AW18" i="12"/>
  <c r="BE6" i="12"/>
  <c r="AZ15" i="12"/>
  <c r="BN6" i="12"/>
  <c r="BB18" i="12"/>
  <c r="AT6" i="12"/>
  <c r="BR8" i="12"/>
  <c r="BP9" i="12"/>
  <c r="BD18" i="12"/>
  <c r="AZ6" i="12"/>
  <c r="AX19" i="12"/>
  <c r="AY6" i="12"/>
  <c r="AU19" i="12"/>
  <c r="BT19" i="12"/>
  <c r="BU9" i="12"/>
  <c r="BF9" i="12"/>
  <c r="AS6" i="12"/>
  <c r="AU14" i="12"/>
  <c r="BH14" i="12"/>
  <c r="BL18" i="12"/>
  <c r="BT18" i="12"/>
  <c r="BI24" i="12"/>
  <c r="BC24" i="12"/>
  <c r="AV24" i="12"/>
  <c r="BP18" i="12"/>
  <c r="AU18" i="12"/>
  <c r="BU18" i="12"/>
  <c r="AT18" i="12"/>
  <c r="BD24" i="12"/>
  <c r="BS24" i="12"/>
  <c r="F18" i="8"/>
  <c r="BH18" i="12"/>
  <c r="BR18" i="12"/>
  <c r="BQ18" i="12"/>
  <c r="BI18" i="12"/>
  <c r="AR18" i="12"/>
  <c r="BA9" i="12"/>
  <c r="BR9" i="12"/>
  <c r="BO9" i="12"/>
  <c r="BJ6" i="12"/>
  <c r="BC6" i="12"/>
  <c r="AW15" i="12"/>
  <c r="BN15" i="12"/>
  <c r="BO12" i="12"/>
  <c r="BJ15" i="12"/>
  <c r="BI15" i="12"/>
  <c r="BT12" i="12"/>
  <c r="BE22" i="12"/>
  <c r="BI22" i="12"/>
  <c r="BS22" i="12"/>
  <c r="AR22" i="12"/>
  <c r="BE15" i="12"/>
  <c r="BE12" i="12"/>
  <c r="BH15" i="12"/>
  <c r="BJ12" i="12"/>
  <c r="BG15" i="12"/>
  <c r="BU12" i="12"/>
  <c r="BQ19" i="12"/>
  <c r="AU9" i="12"/>
  <c r="AS9" i="12"/>
  <c r="AS19" i="12"/>
  <c r="BL9" i="12"/>
  <c r="BI9" i="12"/>
  <c r="BD9" i="12"/>
  <c r="BK9" i="12"/>
  <c r="AW14" i="12"/>
  <c r="BA14" i="12"/>
  <c r="AZ14" i="12"/>
  <c r="BD14" i="12"/>
  <c r="BE14" i="12"/>
  <c r="AW19" i="12"/>
  <c r="BC14" i="12"/>
  <c r="BM14" i="12"/>
  <c r="BJ14" i="12"/>
  <c r="BB15" i="12"/>
  <c r="BK12" i="12"/>
  <c r="BR12" i="12"/>
  <c r="BP15" i="12"/>
  <c r="AX12" i="12"/>
  <c r="BM12" i="12"/>
  <c r="BR7" i="12"/>
  <c r="BR22" i="12"/>
  <c r="BC22" i="12"/>
  <c r="BG22" i="12"/>
  <c r="BP22" i="12"/>
  <c r="AT15" i="12"/>
  <c r="BF12" i="12"/>
  <c r="BR15" i="12"/>
  <c r="BL12" i="12"/>
  <c r="AU15" i="12"/>
  <c r="AV12" i="12"/>
  <c r="BF15" i="12"/>
  <c r="BL15" i="12"/>
  <c r="BH12" i="12"/>
  <c r="BP19" i="12"/>
  <c r="AZ9" i="12"/>
  <c r="AV9" i="12"/>
  <c r="BB9" i="12"/>
  <c r="BU19" i="12"/>
  <c r="BN9" i="12"/>
  <c r="BO19" i="12"/>
  <c r="BJ9" i="12"/>
  <c r="BM9" i="12"/>
  <c r="BE9" i="12"/>
  <c r="BH9" i="12"/>
  <c r="BS14" i="12"/>
  <c r="BL14" i="12"/>
  <c r="AY14" i="12"/>
  <c r="AV14" i="12"/>
  <c r="BP14" i="12"/>
  <c r="AY9" i="12"/>
  <c r="BQ14" i="12"/>
  <c r="BM5" i="12"/>
  <c r="BU24" i="12"/>
  <c r="BA24" i="12"/>
  <c r="AS24" i="12"/>
  <c r="AZ24" i="12"/>
  <c r="AU24" i="12"/>
  <c r="BM24" i="12"/>
  <c r="BB24" i="12"/>
  <c r="BH8" i="12"/>
  <c r="BN20" i="12"/>
  <c r="BU23" i="12"/>
  <c r="AV23" i="12"/>
  <c r="BF23" i="12"/>
  <c r="BO23" i="12"/>
  <c r="BG23" i="12"/>
  <c r="BT23" i="12"/>
  <c r="AX23" i="12"/>
  <c r="BB23" i="12"/>
  <c r="BQ23" i="12"/>
  <c r="BP8" i="12"/>
  <c r="BT24" i="12"/>
  <c r="BN24" i="12"/>
  <c r="BP24" i="12"/>
  <c r="BH24" i="12"/>
  <c r="AR24" i="12"/>
  <c r="AT24" i="12"/>
  <c r="BF24" i="12"/>
  <c r="BD11" i="12"/>
  <c r="BH5" i="12"/>
  <c r="BO24" i="12"/>
  <c r="BJ8" i="12"/>
  <c r="BB20" i="12"/>
  <c r="BD23" i="12"/>
  <c r="AT23" i="12"/>
  <c r="BJ23" i="12"/>
  <c r="AZ23" i="12"/>
  <c r="BE23" i="12"/>
  <c r="BH23" i="12"/>
  <c r="BR23" i="12"/>
  <c r="BP23" i="12"/>
  <c r="BC23" i="12"/>
  <c r="BT17" i="12"/>
  <c r="BI5" i="12"/>
  <c r="AZ5" i="12"/>
  <c r="BT5" i="12"/>
  <c r="BO22" i="12"/>
  <c r="BJ22" i="12"/>
  <c r="BC7" i="12"/>
  <c r="BH7" i="12"/>
  <c r="AS7" i="12"/>
  <c r="AT22" i="12"/>
  <c r="BQ22" i="12"/>
  <c r="BM22" i="12"/>
  <c r="BB22" i="12"/>
  <c r="BT22" i="12"/>
  <c r="AZ22" i="12"/>
  <c r="BC5" i="12"/>
  <c r="AS5" i="12"/>
  <c r="BM19" i="12"/>
  <c r="AZ19" i="12"/>
  <c r="BD19" i="12"/>
  <c r="BA19" i="12"/>
  <c r="BF19" i="12"/>
  <c r="BG19" i="12"/>
  <c r="BR19" i="12"/>
  <c r="BO5" i="12"/>
  <c r="BF5" i="12"/>
  <c r="BU17" i="12"/>
  <c r="BA5" i="12"/>
  <c r="BN22" i="12"/>
  <c r="BB7" i="12"/>
  <c r="BL22" i="12"/>
  <c r="BF22" i="12"/>
  <c r="BH22" i="12"/>
  <c r="AX22" i="12"/>
  <c r="AU22" i="12"/>
  <c r="BU22" i="12"/>
  <c r="BK5" i="12"/>
  <c r="BN5" i="12"/>
  <c r="AW17" i="12"/>
  <c r="BC19" i="12"/>
  <c r="BS19" i="12"/>
  <c r="BR17" i="12"/>
  <c r="BL19" i="12"/>
  <c r="BN17" i="12"/>
  <c r="BI19" i="12"/>
  <c r="AT19" i="12"/>
  <c r="BK19" i="12"/>
  <c r="BE19" i="12"/>
  <c r="BN19" i="12"/>
  <c r="BJ19" i="12"/>
  <c r="BB19" i="12"/>
  <c r="AV5" i="12"/>
  <c r="BQ5" i="12"/>
  <c r="AU5" i="12"/>
  <c r="BS5" i="12"/>
  <c r="BL5" i="12"/>
  <c r="BR5" i="12"/>
  <c r="AV17" i="12"/>
  <c r="BE5" i="12"/>
  <c r="BE8" i="12"/>
  <c r="BN8" i="12"/>
  <c r="AZ17" i="12"/>
  <c r="BG17" i="12"/>
  <c r="BK17" i="12"/>
  <c r="AS8" i="12"/>
  <c r="AY20" i="12"/>
  <c r="BL17" i="12"/>
  <c r="BJ5" i="12"/>
  <c r="BB5" i="12"/>
  <c r="BD5" i="12"/>
  <c r="BI11" i="12"/>
  <c r="AW5" i="12"/>
  <c r="BG5" i="12"/>
  <c r="BM17" i="12"/>
  <c r="AX5" i="12"/>
  <c r="BP5" i="12"/>
  <c r="AT5" i="12"/>
  <c r="AW8" i="12"/>
  <c r="AY8" i="12"/>
  <c r="AU8" i="12"/>
  <c r="BT8" i="12"/>
  <c r="BP20" i="12"/>
  <c r="AS17" i="12"/>
  <c r="BP17" i="12"/>
  <c r="AX8" i="12"/>
  <c r="BT11" i="12"/>
  <c r="AU11" i="12"/>
  <c r="BF17" i="12"/>
  <c r="AV8" i="12"/>
  <c r="BG8" i="12"/>
  <c r="AZ8" i="12"/>
  <c r="BM8" i="12"/>
  <c r="AT8" i="12"/>
  <c r="BQ17" i="12"/>
  <c r="AY17" i="12"/>
  <c r="AT17" i="12"/>
  <c r="BO8" i="12"/>
  <c r="BA17" i="12"/>
  <c r="AR11" i="12"/>
  <c r="BI17" i="12"/>
  <c r="BC17" i="12"/>
  <c r="BF8" i="12"/>
  <c r="BC8" i="12"/>
  <c r="BB8" i="12"/>
  <c r="BR20" i="12"/>
  <c r="BU8" i="12"/>
  <c r="AR8" i="12"/>
  <c r="AR17" i="12"/>
  <c r="BD17" i="12"/>
  <c r="AX17" i="12"/>
  <c r="BO17" i="12"/>
  <c r="BQ8" i="12"/>
  <c r="BD20" i="12"/>
  <c r="BH17" i="12"/>
  <c r="AU17" i="12"/>
  <c r="BK8" i="12"/>
  <c r="BD8" i="12"/>
  <c r="BB17" i="12"/>
  <c r="AW7" i="12"/>
  <c r="BS7" i="12"/>
  <c r="AU7" i="12"/>
  <c r="BM7" i="12"/>
  <c r="BK7" i="12"/>
  <c r="BU20" i="12"/>
  <c r="BC20" i="12"/>
  <c r="AZ20" i="12"/>
  <c r="BJ20" i="12"/>
  <c r="BJ17" i="12"/>
  <c r="BI7" i="12"/>
  <c r="AR7" i="12"/>
  <c r="AT7" i="12"/>
  <c r="BU7" i="12"/>
  <c r="BA7" i="12"/>
  <c r="AV20" i="12"/>
  <c r="BL20" i="12"/>
  <c r="AU20" i="12"/>
  <c r="BS20" i="12"/>
  <c r="BO11" i="12"/>
  <c r="BP11" i="12"/>
  <c r="AX20" i="12"/>
  <c r="AT20" i="12"/>
  <c r="BA20" i="12"/>
  <c r="BF20" i="12"/>
  <c r="BK20" i="12"/>
  <c r="AS20" i="12"/>
  <c r="BQ20" i="12"/>
  <c r="AR20" i="12"/>
  <c r="BE11" i="12"/>
  <c r="BU11" i="12"/>
  <c r="BJ11" i="12"/>
  <c r="AW20" i="12"/>
  <c r="BT20" i="12"/>
  <c r="BG20" i="12"/>
  <c r="BM20" i="12"/>
  <c r="BO20" i="12"/>
  <c r="BE20" i="12"/>
  <c r="BH20" i="12"/>
  <c r="AZ7" i="12"/>
  <c r="BE7" i="12"/>
  <c r="BP7" i="12"/>
  <c r="BL7" i="12"/>
  <c r="BD7" i="12"/>
  <c r="AV7" i="12"/>
  <c r="BQ7" i="12"/>
  <c r="BO7" i="12"/>
  <c r="BN7" i="12"/>
  <c r="AX7" i="12"/>
  <c r="BT7" i="12"/>
  <c r="AY7" i="12"/>
  <c r="BG7" i="12"/>
  <c r="BF7" i="12"/>
  <c r="BL11" i="12"/>
  <c r="AZ11" i="12"/>
  <c r="BM11" i="12"/>
  <c r="BB11" i="12"/>
  <c r="BN11" i="12"/>
  <c r="AW11" i="12"/>
  <c r="BS11" i="12"/>
  <c r="BC11" i="12"/>
  <c r="BA11" i="12"/>
  <c r="BK11" i="12"/>
  <c r="BQ11" i="12"/>
  <c r="BF11" i="12"/>
  <c r="BR11" i="12"/>
  <c r="AY11" i="12"/>
  <c r="BG11" i="12"/>
  <c r="AV11" i="12"/>
  <c r="AS11" i="12"/>
  <c r="AT11" i="12"/>
  <c r="AX11" i="12"/>
  <c r="AC15" i="3" l="1"/>
  <c r="AB14" i="3"/>
  <c r="AD14" i="3"/>
  <c r="AB15" i="3"/>
  <c r="AA14" i="3"/>
  <c r="AD15" i="3"/>
  <c r="AC14" i="3"/>
  <c r="AF20" i="8"/>
  <c r="AE12" i="3" s="1"/>
  <c r="AE13" i="3" s="1"/>
  <c r="G15" i="3"/>
  <c r="F14" i="3"/>
  <c r="AE16" i="3"/>
  <c r="AE18" i="3" s="1"/>
  <c r="AI16" i="3"/>
  <c r="AI18" i="3" s="1"/>
  <c r="AG16" i="3"/>
  <c r="AG18" i="3" s="1"/>
  <c r="AJ16" i="3"/>
  <c r="AJ18" i="3" s="1"/>
  <c r="AJ19" i="3" s="1"/>
  <c r="AJ36" i="3" s="1"/>
  <c r="AJ37" i="3" s="1"/>
  <c r="AJ38" i="3" s="1"/>
  <c r="AJ39" i="3" s="1"/>
  <c r="AH16" i="3"/>
  <c r="AH18" i="3" s="1"/>
  <c r="AF16" i="3"/>
  <c r="AF18" i="3" s="1"/>
  <c r="K15" i="3"/>
  <c r="O15" i="3"/>
  <c r="S15" i="3"/>
  <c r="W15" i="3"/>
  <c r="AA15" i="3"/>
  <c r="H14" i="3"/>
  <c r="L14" i="3"/>
  <c r="P14" i="3"/>
  <c r="T14" i="3"/>
  <c r="X14" i="3"/>
  <c r="I15" i="3"/>
  <c r="Q15" i="3"/>
  <c r="Y15" i="3"/>
  <c r="J14" i="3"/>
  <c r="R14" i="3"/>
  <c r="Z14" i="3"/>
  <c r="N15" i="3"/>
  <c r="V15" i="3"/>
  <c r="G14" i="3"/>
  <c r="O14" i="3"/>
  <c r="W14" i="3"/>
  <c r="H15" i="3"/>
  <c r="L15" i="3"/>
  <c r="P15" i="3"/>
  <c r="T15" i="3"/>
  <c r="X15" i="3"/>
  <c r="I14" i="3"/>
  <c r="M14" i="3"/>
  <c r="Q14" i="3"/>
  <c r="U14" i="3"/>
  <c r="Y14" i="3"/>
  <c r="M15" i="3"/>
  <c r="U15" i="3"/>
  <c r="N14" i="3"/>
  <c r="V14" i="3"/>
  <c r="J15" i="3"/>
  <c r="R15" i="3"/>
  <c r="Z15" i="3"/>
  <c r="K14" i="3"/>
  <c r="S14" i="3"/>
  <c r="BU27" i="12"/>
  <c r="BA26" i="12"/>
  <c r="AR27" i="12"/>
  <c r="BJ27" i="12"/>
  <c r="BR27" i="12"/>
  <c r="BP27" i="12"/>
  <c r="AY27" i="12"/>
  <c r="AX27" i="12"/>
  <c r="BH27" i="12"/>
  <c r="AT26" i="12"/>
  <c r="BO27" i="12"/>
  <c r="AZ27" i="12"/>
  <c r="AY26" i="12"/>
  <c r="BL27" i="12"/>
  <c r="BH26" i="12"/>
  <c r="BU26" i="12"/>
  <c r="BA27" i="12"/>
  <c r="BI27" i="12"/>
  <c r="AU27" i="12"/>
  <c r="BD26" i="12"/>
  <c r="BT26" i="12"/>
  <c r="BG27" i="12"/>
  <c r="BB27" i="12"/>
  <c r="BQ27" i="12"/>
  <c r="AS27" i="12"/>
  <c r="BT27" i="12"/>
  <c r="BQ26" i="12"/>
  <c r="BI26" i="12"/>
  <c r="AW27" i="12"/>
  <c r="BC27" i="12"/>
  <c r="BM27" i="12"/>
  <c r="AS26" i="12"/>
  <c r="BF26" i="12"/>
  <c r="BC26" i="12"/>
  <c r="BB26" i="12"/>
  <c r="BF27" i="12"/>
  <c r="AV27" i="12"/>
  <c r="BE27" i="12"/>
  <c r="BP26" i="12"/>
  <c r="AT27" i="12"/>
  <c r="BJ26" i="12"/>
  <c r="BK27" i="12"/>
  <c r="AR26" i="12"/>
  <c r="BM26" i="12"/>
  <c r="BN27" i="12"/>
  <c r="BD27" i="12"/>
  <c r="AU26" i="12"/>
  <c r="AX26" i="12"/>
  <c r="BN26" i="12"/>
  <c r="BS27" i="12"/>
  <c r="BR26" i="12"/>
  <c r="BL26" i="12"/>
  <c r="BE26" i="12"/>
  <c r="BS26" i="12"/>
  <c r="BK26" i="12"/>
  <c r="AZ26" i="12"/>
  <c r="AV26" i="12"/>
  <c r="BO26" i="12"/>
  <c r="AW26" i="12"/>
  <c r="BG26" i="12"/>
  <c r="AE19" i="3" l="1"/>
  <c r="AE36" i="3" s="1"/>
  <c r="AE37" i="3" s="1"/>
  <c r="AE38" i="3" s="1"/>
  <c r="AE39" i="3" s="1"/>
  <c r="AG20" i="8"/>
  <c r="AF12" i="3" s="1"/>
  <c r="AF13" i="3" s="1"/>
  <c r="AF19" i="3" s="1"/>
  <c r="AF36" i="3" s="1"/>
  <c r="AF37" i="3" s="1"/>
  <c r="AF38" i="3" s="1"/>
  <c r="AF39" i="3" s="1"/>
  <c r="H12" i="11"/>
  <c r="H6" i="11"/>
  <c r="H18" i="11"/>
  <c r="H9" i="11"/>
  <c r="H4" i="11"/>
  <c r="H19" i="11"/>
  <c r="H15" i="11"/>
  <c r="H13" i="11"/>
  <c r="H16" i="11"/>
  <c r="H11" i="11"/>
  <c r="H8" i="11"/>
  <c r="H20" i="11"/>
  <c r="H10" i="11"/>
  <c r="H14" i="11"/>
  <c r="H5" i="11"/>
  <c r="H7" i="11"/>
  <c r="H17" i="11"/>
  <c r="H21" i="11" l="1"/>
  <c r="F15" i="8" s="1"/>
  <c r="AH12" i="3"/>
  <c r="AH13" i="3" s="1"/>
  <c r="AH19" i="3" s="1"/>
  <c r="AH36" i="3" s="1"/>
  <c r="AH37" i="3" s="1"/>
  <c r="AH38" i="3" s="1"/>
  <c r="AH39" i="3" s="1"/>
  <c r="D44" i="3" l="1"/>
  <c r="L21" i="3" s="1"/>
  <c r="D43" i="3"/>
  <c r="E5" i="3" s="1"/>
  <c r="AI12" i="3"/>
  <c r="AI13" i="3" s="1"/>
  <c r="AI19" i="3" s="1"/>
  <c r="AI36" i="3" s="1"/>
  <c r="AI37" i="3" s="1"/>
  <c r="AI38" i="3" s="1"/>
  <c r="AI39" i="3" s="1"/>
  <c r="AH20" i="8"/>
  <c r="AG12" i="3" s="1"/>
  <c r="AG13" i="3" s="1"/>
  <c r="AG19" i="3" s="1"/>
  <c r="AG36" i="3" s="1"/>
  <c r="AG37" i="3" s="1"/>
  <c r="AG38" i="3" s="1"/>
  <c r="AG39" i="3" s="1"/>
  <c r="D45" i="3"/>
  <c r="D58" i="3" s="1"/>
  <c r="D51" i="3"/>
  <c r="D53" i="3" s="1"/>
  <c r="D55" i="3" s="1"/>
  <c r="X21" i="3"/>
  <c r="F5" i="3"/>
  <c r="R21" i="3"/>
  <c r="Y21" i="3"/>
  <c r="V21" i="3"/>
  <c r="Z21" i="3"/>
  <c r="W21" i="3"/>
  <c r="W20" i="3"/>
  <c r="Y20" i="3"/>
  <c r="U20" i="3"/>
  <c r="V20" i="3"/>
  <c r="X20" i="3"/>
  <c r="P20" i="3" l="1"/>
  <c r="F20" i="3"/>
  <c r="F23" i="3" s="1"/>
  <c r="S20" i="3"/>
  <c r="Q20" i="3"/>
  <c r="D60" i="3"/>
  <c r="O21" i="3"/>
  <c r="N21" i="3"/>
  <c r="Q21" i="3"/>
  <c r="J21" i="3"/>
  <c r="D61" i="3"/>
  <c r="F41" i="3" s="1"/>
  <c r="T21" i="3"/>
  <c r="S21" i="3"/>
  <c r="K21" i="3"/>
  <c r="U21" i="3"/>
  <c r="I21" i="3"/>
  <c r="H21" i="3"/>
  <c r="D57" i="3"/>
  <c r="Q28" i="3" s="1"/>
  <c r="J20" i="3"/>
  <c r="O20" i="3"/>
  <c r="I20" i="3"/>
  <c r="T20" i="3"/>
  <c r="H20" i="3"/>
  <c r="R20" i="3"/>
  <c r="M20" i="3"/>
  <c r="G21" i="3"/>
  <c r="M21" i="3"/>
  <c r="P21" i="3"/>
  <c r="Z22" i="3"/>
  <c r="Z23" i="3" s="1"/>
  <c r="X22" i="3"/>
  <c r="X23" i="3" s="1"/>
  <c r="Y22" i="3"/>
  <c r="Y23" i="3" s="1"/>
  <c r="AA22" i="3"/>
  <c r="AA23" i="3" s="1"/>
  <c r="W22" i="3"/>
  <c r="W23" i="3" s="1"/>
  <c r="G20" i="3"/>
  <c r="G23" i="3" s="1"/>
  <c r="N20" i="3"/>
  <c r="L20" i="3"/>
  <c r="K20" i="3"/>
  <c r="S22" i="3"/>
  <c r="H22" i="3"/>
  <c r="D46" i="3"/>
  <c r="D50" i="3" s="1"/>
  <c r="D52" i="3" s="1"/>
  <c r="D54" i="3" s="1"/>
  <c r="D56" i="3" s="1"/>
  <c r="T25" i="3" s="1"/>
  <c r="D62" i="3"/>
  <c r="G41" i="3" s="1"/>
  <c r="O22" i="3"/>
  <c r="P22" i="3"/>
  <c r="U22" i="3"/>
  <c r="K22" i="3"/>
  <c r="I22" i="3"/>
  <c r="J22" i="3"/>
  <c r="T22" i="3"/>
  <c r="Q22" i="3"/>
  <c r="Q23" i="3" s="1"/>
  <c r="L22" i="3"/>
  <c r="N22" i="3"/>
  <c r="V22" i="3"/>
  <c r="V23" i="3" s="1"/>
  <c r="M22" i="3"/>
  <c r="G5" i="3"/>
  <c r="R22" i="3"/>
  <c r="Y30" i="3"/>
  <c r="AA30" i="3"/>
  <c r="W30" i="3"/>
  <c r="S31" i="3"/>
  <c r="O30" i="3"/>
  <c r="M31" i="3"/>
  <c r="L30" i="3"/>
  <c r="N30" i="3"/>
  <c r="I31" i="3"/>
  <c r="R30" i="3"/>
  <c r="W31" i="3"/>
  <c r="J31" i="3"/>
  <c r="N31" i="3"/>
  <c r="K30" i="3"/>
  <c r="V30" i="3"/>
  <c r="AA31" i="3"/>
  <c r="AA34" i="3" s="1"/>
  <c r="K31" i="3"/>
  <c r="T31" i="3"/>
  <c r="Q30" i="3"/>
  <c r="M30" i="3"/>
  <c r="X31" i="3"/>
  <c r="Z30" i="3"/>
  <c r="Y31" i="3"/>
  <c r="I30" i="3"/>
  <c r="P30" i="3"/>
  <c r="T30" i="3"/>
  <c r="U31" i="3"/>
  <c r="P31" i="3"/>
  <c r="V31" i="3"/>
  <c r="Z31" i="3"/>
  <c r="J30" i="3"/>
  <c r="R31" i="3"/>
  <c r="H31" i="3"/>
  <c r="O31" i="3"/>
  <c r="X30" i="3"/>
  <c r="H30" i="3"/>
  <c r="L31" i="3"/>
  <c r="S30" i="3"/>
  <c r="Q31" i="3"/>
  <c r="U30" i="3"/>
  <c r="Z28" i="3"/>
  <c r="X28" i="3"/>
  <c r="Y28" i="3"/>
  <c r="L28" i="3"/>
  <c r="X27" i="3"/>
  <c r="Z27" i="3"/>
  <c r="W28" i="3"/>
  <c r="Y27" i="3"/>
  <c r="V27" i="3"/>
  <c r="U27" i="3"/>
  <c r="V28" i="3"/>
  <c r="L27" i="3"/>
  <c r="W27" i="3"/>
  <c r="J28" i="3" l="1"/>
  <c r="M27" i="3"/>
  <c r="H28" i="3"/>
  <c r="T28" i="3"/>
  <c r="T34" i="3" s="1"/>
  <c r="T27" i="3"/>
  <c r="U28" i="3"/>
  <c r="U29" i="3" s="1"/>
  <c r="J27" i="3"/>
  <c r="I27" i="3"/>
  <c r="O27" i="3"/>
  <c r="I28" i="3"/>
  <c r="O28" i="3"/>
  <c r="K28" i="3"/>
  <c r="M28" i="3"/>
  <c r="S23" i="3"/>
  <c r="N23" i="3"/>
  <c r="J23" i="3"/>
  <c r="H23" i="3"/>
  <c r="S27" i="3"/>
  <c r="K27" i="3"/>
  <c r="S28" i="3"/>
  <c r="Q27" i="3"/>
  <c r="Q29" i="3" s="1"/>
  <c r="G28" i="3"/>
  <c r="H27" i="3"/>
  <c r="H29" i="3" s="1"/>
  <c r="M23" i="3"/>
  <c r="K23" i="3"/>
  <c r="E41" i="3"/>
  <c r="P28" i="3"/>
  <c r="P27" i="3"/>
  <c r="R28" i="3"/>
  <c r="G27" i="3"/>
  <c r="G29" i="3" s="1"/>
  <c r="N27" i="3"/>
  <c r="R27" i="3"/>
  <c r="N28" i="3"/>
  <c r="T23" i="3"/>
  <c r="U23" i="3"/>
  <c r="R23" i="3"/>
  <c r="P23" i="3"/>
  <c r="I23" i="3"/>
  <c r="O23" i="3"/>
  <c r="Y25" i="3"/>
  <c r="Y34" i="3" s="1"/>
  <c r="U24" i="3"/>
  <c r="X25" i="3"/>
  <c r="X34" i="3" s="1"/>
  <c r="V25" i="3"/>
  <c r="V34" i="3" s="1"/>
  <c r="L25" i="3"/>
  <c r="L34" i="3" s="1"/>
  <c r="Y24" i="3"/>
  <c r="Y33" i="3" s="1"/>
  <c r="L24" i="3"/>
  <c r="L33" i="3" s="1"/>
  <c r="X24" i="3"/>
  <c r="X33" i="3" s="1"/>
  <c r="W25" i="3"/>
  <c r="W34" i="3" s="1"/>
  <c r="W24" i="3"/>
  <c r="W33" i="3" s="1"/>
  <c r="V24" i="3"/>
  <c r="V33" i="3" s="1"/>
  <c r="U25" i="3"/>
  <c r="H25" i="3"/>
  <c r="I25" i="3"/>
  <c r="T24" i="3"/>
  <c r="T33" i="3" s="1"/>
  <c r="Q24" i="3"/>
  <c r="K24" i="3"/>
  <c r="F24" i="3"/>
  <c r="F33" i="3" s="1"/>
  <c r="K25" i="3"/>
  <c r="H24" i="3"/>
  <c r="M24" i="3"/>
  <c r="G25" i="3"/>
  <c r="R24" i="3"/>
  <c r="F25" i="3"/>
  <c r="F34" i="3" s="1"/>
  <c r="S25" i="3"/>
  <c r="S34" i="3" s="1"/>
  <c r="L23" i="3"/>
  <c r="D63" i="3"/>
  <c r="O25" i="3"/>
  <c r="O34" i="3" s="1"/>
  <c r="I24" i="3"/>
  <c r="I33" i="3" s="1"/>
  <c r="R25" i="3"/>
  <c r="R34" i="3" s="1"/>
  <c r="M25" i="3"/>
  <c r="M34" i="3" s="1"/>
  <c r="J25" i="3"/>
  <c r="O24" i="3"/>
  <c r="O33" i="3" s="1"/>
  <c r="P25" i="3"/>
  <c r="N24" i="3"/>
  <c r="N25" i="3"/>
  <c r="J24" i="3"/>
  <c r="S24" i="3"/>
  <c r="D59" i="3"/>
  <c r="Q25" i="3"/>
  <c r="Q26" i="3" s="1"/>
  <c r="G24" i="3"/>
  <c r="P24" i="3"/>
  <c r="P26" i="3" s="1"/>
  <c r="L29" i="3"/>
  <c r="T32" i="3"/>
  <c r="M32" i="3"/>
  <c r="X29" i="3"/>
  <c r="Z34" i="3"/>
  <c r="X32" i="3"/>
  <c r="U32" i="3"/>
  <c r="H32" i="3"/>
  <c r="I32" i="3"/>
  <c r="N32" i="3"/>
  <c r="V32" i="3"/>
  <c r="L32" i="3"/>
  <c r="V29" i="3"/>
  <c r="Y29" i="3"/>
  <c r="U33" i="3"/>
  <c r="J32" i="3"/>
  <c r="Q32" i="3"/>
  <c r="W32" i="3"/>
  <c r="W29" i="3"/>
  <c r="Z33" i="3"/>
  <c r="Z29" i="3"/>
  <c r="S32" i="3"/>
  <c r="Z32" i="3"/>
  <c r="K32" i="3"/>
  <c r="R32" i="3"/>
  <c r="AA33" i="3"/>
  <c r="AA32" i="3"/>
  <c r="P32" i="3"/>
  <c r="O32" i="3"/>
  <c r="Y32" i="3"/>
  <c r="J34" i="3" l="1"/>
  <c r="N29" i="3"/>
  <c r="O29" i="3"/>
  <c r="J29" i="3"/>
  <c r="M29" i="3"/>
  <c r="J33" i="3"/>
  <c r="K33" i="3"/>
  <c r="H34" i="3"/>
  <c r="I29" i="3"/>
  <c r="T29" i="3"/>
  <c r="I34" i="3"/>
  <c r="I35" i="3" s="1"/>
  <c r="K29" i="3"/>
  <c r="P29" i="3"/>
  <c r="N33" i="3"/>
  <c r="K34" i="3"/>
  <c r="K35" i="3" s="1"/>
  <c r="P34" i="3"/>
  <c r="R29" i="3"/>
  <c r="R33" i="3"/>
  <c r="R35" i="3" s="1"/>
  <c r="S29" i="3"/>
  <c r="G34" i="3"/>
  <c r="Y26" i="3"/>
  <c r="G33" i="3"/>
  <c r="W26" i="3"/>
  <c r="N34" i="3"/>
  <c r="Q33" i="3"/>
  <c r="U26" i="3"/>
  <c r="T26" i="3"/>
  <c r="U34" i="3"/>
  <c r="U35" i="3" s="1"/>
  <c r="X26" i="3"/>
  <c r="L26" i="3"/>
  <c r="V26" i="3"/>
  <c r="H26" i="3"/>
  <c r="F26" i="3"/>
  <c r="M26" i="3"/>
  <c r="M33" i="3"/>
  <c r="M35" i="3" s="1"/>
  <c r="J26" i="3"/>
  <c r="Q34" i="3"/>
  <c r="Q35" i="3" s="1"/>
  <c r="F35" i="3"/>
  <c r="H33" i="3"/>
  <c r="I26" i="3"/>
  <c r="N26" i="3"/>
  <c r="K26" i="3"/>
  <c r="S26" i="3"/>
  <c r="P33" i="3"/>
  <c r="P35" i="3" s="1"/>
  <c r="G26" i="3"/>
  <c r="O26" i="3"/>
  <c r="R26" i="3"/>
  <c r="S33" i="3"/>
  <c r="S35" i="3" s="1"/>
  <c r="Z35" i="3"/>
  <c r="T35" i="3"/>
  <c r="Y35" i="3"/>
  <c r="V35" i="3"/>
  <c r="O35" i="3"/>
  <c r="W35" i="3"/>
  <c r="X35" i="3"/>
  <c r="L35" i="3"/>
  <c r="AA35" i="3"/>
  <c r="J35" i="3" l="1"/>
  <c r="H35" i="3"/>
  <c r="N35" i="3"/>
  <c r="G35" i="3"/>
  <c r="H27" i="11"/>
  <c r="F5" i="8" s="1"/>
  <c r="F7" i="3" l="1"/>
  <c r="F10" i="3" s="1"/>
  <c r="AA6" i="3"/>
  <c r="AA9" i="3" s="1"/>
  <c r="AD7" i="3"/>
  <c r="AD10" i="3" s="1"/>
  <c r="AC6" i="3"/>
  <c r="AC7" i="3"/>
  <c r="AC10" i="3" s="1"/>
  <c r="AD6" i="3"/>
  <c r="AB7" i="3"/>
  <c r="AB10" i="3" s="1"/>
  <c r="AB6" i="3"/>
  <c r="Z6" i="3"/>
  <c r="Z9" i="3" s="1"/>
  <c r="AA7" i="3"/>
  <c r="AA10" i="3" s="1"/>
  <c r="P7" i="3"/>
  <c r="P10" i="3" s="1"/>
  <c r="R7" i="3"/>
  <c r="R10" i="3" s="1"/>
  <c r="K7" i="3"/>
  <c r="K10" i="3" s="1"/>
  <c r="Q7" i="3"/>
  <c r="Q10" i="3" s="1"/>
  <c r="I7" i="3"/>
  <c r="I10" i="3" s="1"/>
  <c r="N6" i="3"/>
  <c r="J6" i="3"/>
  <c r="H7" i="3"/>
  <c r="H10" i="3" s="1"/>
  <c r="U7" i="3"/>
  <c r="U10" i="3" s="1"/>
  <c r="Y7" i="3"/>
  <c r="Y10" i="3" s="1"/>
  <c r="W7" i="3"/>
  <c r="W10" i="3" s="1"/>
  <c r="L7" i="3"/>
  <c r="L10" i="3" s="1"/>
  <c r="R6" i="3"/>
  <c r="Q6" i="3"/>
  <c r="V6" i="3"/>
  <c r="V9" i="3" s="1"/>
  <c r="T7" i="3"/>
  <c r="T10" i="3" s="1"/>
  <c r="S7" i="3"/>
  <c r="S10" i="3" s="1"/>
  <c r="F6" i="3"/>
  <c r="L6" i="3"/>
  <c r="M6" i="3"/>
  <c r="O7" i="3"/>
  <c r="O10" i="3" s="1"/>
  <c r="M7" i="3"/>
  <c r="M10" i="3" s="1"/>
  <c r="G7" i="3"/>
  <c r="G10" i="3" s="1"/>
  <c r="X7" i="3"/>
  <c r="X10" i="3" s="1"/>
  <c r="I6" i="3"/>
  <c r="X6" i="3"/>
  <c r="X9" i="3" s="1"/>
  <c r="N7" i="3"/>
  <c r="N10" i="3" s="1"/>
  <c r="V7" i="3"/>
  <c r="V10" i="3" s="1"/>
  <c r="J7" i="3"/>
  <c r="J10" i="3" s="1"/>
  <c r="S6" i="3"/>
  <c r="Z7" i="3"/>
  <c r="Z10" i="3" s="1"/>
  <c r="U6" i="3"/>
  <c r="U9" i="3" s="1"/>
  <c r="G6" i="3"/>
  <c r="O6" i="3"/>
  <c r="Y6" i="3"/>
  <c r="Y9" i="3" s="1"/>
  <c r="W6" i="3"/>
  <c r="W9" i="3" s="1"/>
  <c r="P6" i="3"/>
  <c r="T6" i="3"/>
  <c r="H6" i="3"/>
  <c r="K6" i="3"/>
  <c r="X40" i="3" l="1"/>
  <c r="W40" i="3"/>
  <c r="V40" i="3"/>
  <c r="AA40" i="3"/>
  <c r="AD9" i="3"/>
  <c r="AD40" i="3" s="1"/>
  <c r="AD8" i="3"/>
  <c r="AD16" i="3" s="1"/>
  <c r="AD18" i="3" s="1"/>
  <c r="AC9" i="3"/>
  <c r="AC40" i="3" s="1"/>
  <c r="AC8" i="3"/>
  <c r="AC16" i="3" s="1"/>
  <c r="AC18" i="3" s="1"/>
  <c r="AB9" i="3"/>
  <c r="AB40" i="3" s="1"/>
  <c r="AB8" i="3"/>
  <c r="AB16" i="3" s="1"/>
  <c r="AB18" i="3" s="1"/>
  <c r="Y40" i="3"/>
  <c r="Z40" i="3"/>
  <c r="AA8" i="3"/>
  <c r="AA16" i="3" s="1"/>
  <c r="AA18" i="3" s="1"/>
  <c r="AA11" i="3"/>
  <c r="U40" i="3"/>
  <c r="T8" i="3"/>
  <c r="T9" i="3"/>
  <c r="T40" i="3" s="1"/>
  <c r="S8" i="3"/>
  <c r="S9" i="3"/>
  <c r="S40" i="3" s="1"/>
  <c r="X8" i="3"/>
  <c r="X11" i="3"/>
  <c r="F8" i="3"/>
  <c r="F16" i="3" s="1"/>
  <c r="F18" i="3" s="1"/>
  <c r="F9" i="3"/>
  <c r="F40" i="3" s="1"/>
  <c r="K8" i="3"/>
  <c r="K9" i="3"/>
  <c r="K40" i="3" s="1"/>
  <c r="W8" i="3"/>
  <c r="W11" i="3"/>
  <c r="U11" i="3"/>
  <c r="U12" i="3" s="1"/>
  <c r="U13" i="3" s="1"/>
  <c r="U8" i="3"/>
  <c r="M8" i="3"/>
  <c r="M9" i="3"/>
  <c r="M40" i="3" s="1"/>
  <c r="H8" i="3"/>
  <c r="H9" i="3"/>
  <c r="H40" i="3" s="1"/>
  <c r="Y11" i="3"/>
  <c r="Y8" i="3"/>
  <c r="Z8" i="3"/>
  <c r="Z11" i="3"/>
  <c r="L8" i="3"/>
  <c r="L9" i="3"/>
  <c r="L40" i="3" s="1"/>
  <c r="V11" i="3"/>
  <c r="V8" i="3"/>
  <c r="J8" i="3"/>
  <c r="J9" i="3"/>
  <c r="J40" i="3" s="1"/>
  <c r="O8" i="3"/>
  <c r="O9" i="3"/>
  <c r="O40" i="3" s="1"/>
  <c r="Q8" i="3"/>
  <c r="Q9" i="3"/>
  <c r="Q40" i="3" s="1"/>
  <c r="N8" i="3"/>
  <c r="N9" i="3"/>
  <c r="N40" i="3" s="1"/>
  <c r="P8" i="3"/>
  <c r="P9" i="3"/>
  <c r="P40" i="3" s="1"/>
  <c r="G8" i="3"/>
  <c r="G9" i="3"/>
  <c r="G40" i="3" s="1"/>
  <c r="I8" i="3"/>
  <c r="I9" i="3"/>
  <c r="I40" i="3" s="1"/>
  <c r="R8" i="3"/>
  <c r="R9" i="3"/>
  <c r="R40" i="3" s="1"/>
  <c r="V12" i="3" l="1"/>
  <c r="V13" i="3" s="1"/>
  <c r="W12" i="3"/>
  <c r="W13" i="3" s="1"/>
  <c r="Y12" i="3"/>
  <c r="Y13" i="3" s="1"/>
  <c r="AA12" i="3"/>
  <c r="AA13" i="3" s="1"/>
  <c r="AA19" i="3" s="1"/>
  <c r="Z12" i="3"/>
  <c r="Z13" i="3" s="1"/>
  <c r="X12" i="3"/>
  <c r="X13" i="3" s="1"/>
  <c r="AB11" i="3"/>
  <c r="AC11" i="3"/>
  <c r="AD11" i="3"/>
  <c r="E40" i="3"/>
  <c r="Y16" i="3"/>
  <c r="Y18" i="3" s="1"/>
  <c r="I16" i="3"/>
  <c r="I18" i="3" s="1"/>
  <c r="P16" i="3"/>
  <c r="P18" i="3" s="1"/>
  <c r="Q16" i="3"/>
  <c r="Q18" i="3" s="1"/>
  <c r="J16" i="3"/>
  <c r="J18" i="3" s="1"/>
  <c r="L16" i="3"/>
  <c r="L18" i="3" s="1"/>
  <c r="M16" i="3"/>
  <c r="M18" i="3" s="1"/>
  <c r="W16" i="3"/>
  <c r="W18" i="3" s="1"/>
  <c r="S16" i="3"/>
  <c r="S18" i="3" s="1"/>
  <c r="V16" i="3"/>
  <c r="V18" i="3" s="1"/>
  <c r="U16" i="3"/>
  <c r="U18" i="3" s="1"/>
  <c r="U19" i="3" s="1"/>
  <c r="U36" i="3" s="1"/>
  <c r="U37" i="3" s="1"/>
  <c r="R16" i="3"/>
  <c r="R18" i="3" s="1"/>
  <c r="G16" i="3"/>
  <c r="G18" i="3" s="1"/>
  <c r="N16" i="3"/>
  <c r="N18" i="3" s="1"/>
  <c r="O16" i="3"/>
  <c r="O18" i="3" s="1"/>
  <c r="Z16" i="3"/>
  <c r="Z18" i="3" s="1"/>
  <c r="H16" i="3"/>
  <c r="H18" i="3" s="1"/>
  <c r="K16" i="3"/>
  <c r="K18" i="3" s="1"/>
  <c r="X16" i="3"/>
  <c r="X18" i="3" s="1"/>
  <c r="T16" i="3"/>
  <c r="T18" i="3" s="1"/>
  <c r="S11" i="3"/>
  <c r="R11" i="3"/>
  <c r="I11" i="3"/>
  <c r="K11" i="3"/>
  <c r="M11" i="3"/>
  <c r="Q11" i="3"/>
  <c r="N11" i="3"/>
  <c r="J11" i="3"/>
  <c r="H11" i="3"/>
  <c r="G11" i="3"/>
  <c r="G12" i="3" s="1"/>
  <c r="G13" i="3" s="1"/>
  <c r="P11" i="3"/>
  <c r="F11" i="3"/>
  <c r="T11" i="3"/>
  <c r="O11" i="3"/>
  <c r="L11" i="3"/>
  <c r="L12" i="3" l="1"/>
  <c r="L13" i="3" s="1"/>
  <c r="L19" i="3" s="1"/>
  <c r="L36" i="3" s="1"/>
  <c r="L37" i="3" s="1"/>
  <c r="L38" i="3" s="1"/>
  <c r="L39" i="3" s="1"/>
  <c r="N12" i="3"/>
  <c r="N13" i="3" s="1"/>
  <c r="N19" i="3" s="1"/>
  <c r="N36" i="3" s="1"/>
  <c r="N37" i="3" s="1"/>
  <c r="N38" i="3" s="1"/>
  <c r="N39" i="3" s="1"/>
  <c r="O12" i="3"/>
  <c r="O13" i="3" s="1"/>
  <c r="O19" i="3" s="1"/>
  <c r="O36" i="3" s="1"/>
  <c r="O37" i="3" s="1"/>
  <c r="O38" i="3" s="1"/>
  <c r="O39" i="3" s="1"/>
  <c r="Q12" i="3"/>
  <c r="Q13" i="3" s="1"/>
  <c r="Q19" i="3" s="1"/>
  <c r="Q36" i="3" s="1"/>
  <c r="Q37" i="3" s="1"/>
  <c r="Q38" i="3" s="1"/>
  <c r="Q39" i="3" s="1"/>
  <c r="R12" i="3"/>
  <c r="R13" i="3" s="1"/>
  <c r="R19" i="3" s="1"/>
  <c r="R36" i="3" s="1"/>
  <c r="R37" i="3" s="1"/>
  <c r="R38" i="3" s="1"/>
  <c r="R39" i="3" s="1"/>
  <c r="V19" i="3"/>
  <c r="V36" i="3" s="1"/>
  <c r="V37" i="3" s="1"/>
  <c r="V38" i="3" s="1"/>
  <c r="V39" i="3" s="1"/>
  <c r="AD12" i="3"/>
  <c r="AD13" i="3" s="1"/>
  <c r="AD19" i="3" s="1"/>
  <c r="AD36" i="3" s="1"/>
  <c r="AD37" i="3" s="1"/>
  <c r="AD38" i="3" s="1"/>
  <c r="AD39" i="3" s="1"/>
  <c r="P12" i="3"/>
  <c r="P13" i="3" s="1"/>
  <c r="P19" i="3" s="1"/>
  <c r="P36" i="3" s="1"/>
  <c r="P37" i="3" s="1"/>
  <c r="P38" i="3" s="1"/>
  <c r="P39" i="3" s="1"/>
  <c r="I12" i="3"/>
  <c r="I13" i="3" s="1"/>
  <c r="I19" i="3" s="1"/>
  <c r="I36" i="3" s="1"/>
  <c r="I37" i="3" s="1"/>
  <c r="I38" i="3" s="1"/>
  <c r="I39" i="3" s="1"/>
  <c r="X19" i="3"/>
  <c r="X36" i="3" s="1"/>
  <c r="X37" i="3" s="1"/>
  <c r="X38" i="3" s="1"/>
  <c r="X39" i="3" s="1"/>
  <c r="H12" i="3"/>
  <c r="H13" i="3" s="1"/>
  <c r="H19" i="3" s="1"/>
  <c r="H36" i="3" s="1"/>
  <c r="H37" i="3" s="1"/>
  <c r="H38" i="3" s="1"/>
  <c r="H39" i="3" s="1"/>
  <c r="Y19" i="3"/>
  <c r="Y36" i="3" s="1"/>
  <c r="Y37" i="3" s="1"/>
  <c r="Y38" i="3" s="1"/>
  <c r="Y39" i="3" s="1"/>
  <c r="AC12" i="3"/>
  <c r="AC13" i="3" s="1"/>
  <c r="AC19" i="3" s="1"/>
  <c r="AC36" i="3" s="1"/>
  <c r="AC37" i="3" s="1"/>
  <c r="AC38" i="3" s="1"/>
  <c r="AC39" i="3" s="1"/>
  <c r="T12" i="3"/>
  <c r="T13" i="3" s="1"/>
  <c r="T19" i="3" s="1"/>
  <c r="T36" i="3" s="1"/>
  <c r="T37" i="3" s="1"/>
  <c r="T38" i="3" s="1"/>
  <c r="T39" i="3" s="1"/>
  <c r="M12" i="3"/>
  <c r="M13" i="3" s="1"/>
  <c r="M19" i="3" s="1"/>
  <c r="M36" i="3" s="1"/>
  <c r="M37" i="3" s="1"/>
  <c r="M38" i="3" s="1"/>
  <c r="M39" i="3" s="1"/>
  <c r="S12" i="3"/>
  <c r="S13" i="3" s="1"/>
  <c r="S19" i="3" s="1"/>
  <c r="S36" i="3" s="1"/>
  <c r="S37" i="3" s="1"/>
  <c r="S38" i="3" s="1"/>
  <c r="S39" i="3" s="1"/>
  <c r="F12" i="3"/>
  <c r="F13" i="3" s="1"/>
  <c r="F19" i="3" s="1"/>
  <c r="J12" i="3"/>
  <c r="J13" i="3" s="1"/>
  <c r="J19" i="3" s="1"/>
  <c r="J36" i="3" s="1"/>
  <c r="J37" i="3" s="1"/>
  <c r="J38" i="3" s="1"/>
  <c r="J39" i="3" s="1"/>
  <c r="K12" i="3"/>
  <c r="K13" i="3" s="1"/>
  <c r="K19" i="3" s="1"/>
  <c r="K36" i="3" s="1"/>
  <c r="K37" i="3" s="1"/>
  <c r="K38" i="3" s="1"/>
  <c r="K39" i="3" s="1"/>
  <c r="Z19" i="3"/>
  <c r="Z36" i="3" s="1"/>
  <c r="Z37" i="3" s="1"/>
  <c r="Z38" i="3" s="1"/>
  <c r="Z39" i="3" s="1"/>
  <c r="W19" i="3"/>
  <c r="W36" i="3" s="1"/>
  <c r="W37" i="3" s="1"/>
  <c r="W38" i="3" s="1"/>
  <c r="W39" i="3" s="1"/>
  <c r="AB12" i="3"/>
  <c r="AB13" i="3" s="1"/>
  <c r="AB19" i="3" s="1"/>
  <c r="AB36" i="3" s="1"/>
  <c r="AB37" i="3" s="1"/>
  <c r="AB38" i="3" s="1"/>
  <c r="AB39" i="3" s="1"/>
  <c r="G19" i="3"/>
  <c r="G36" i="3" s="1"/>
  <c r="G37" i="3" s="1"/>
  <c r="G38" i="3" s="1"/>
  <c r="G39" i="3" s="1"/>
  <c r="AA36" i="3"/>
  <c r="AA37" i="3" s="1"/>
  <c r="AA38" i="3" s="1"/>
  <c r="AA39" i="3" s="1"/>
  <c r="U38" i="3"/>
  <c r="U39" i="3" s="1"/>
  <c r="F36" i="3" l="1"/>
  <c r="F37" i="3" s="1"/>
  <c r="F38" i="3" s="1"/>
  <c r="F39" i="3" s="1"/>
  <c r="E39" i="3" s="1"/>
  <c r="F40" i="8" l="1"/>
  <c r="D12" i="10" l="1"/>
  <c r="D49" i="3"/>
</calcChain>
</file>

<file path=xl/sharedStrings.xml><?xml version="1.0" encoding="utf-8"?>
<sst xmlns="http://schemas.openxmlformats.org/spreadsheetml/2006/main" count="417" uniqueCount="285">
  <si>
    <t>kWh</t>
  </si>
  <si>
    <t>EIA</t>
  </si>
  <si>
    <t>A</t>
  </si>
  <si>
    <t>D</t>
  </si>
  <si>
    <t>E</t>
  </si>
  <si>
    <t>H</t>
  </si>
  <si>
    <t>Unit size</t>
  </si>
  <si>
    <t>Operational time / full load hours</t>
  </si>
  <si>
    <t>Economic life</t>
  </si>
  <si>
    <t>h/yr</t>
  </si>
  <si>
    <t>yr</t>
  </si>
  <si>
    <t>Investment costs</t>
  </si>
  <si>
    <t>Maintenance costs fixed</t>
  </si>
  <si>
    <t>Maintenance costs variable</t>
  </si>
  <si>
    <t>€/kWh</t>
  </si>
  <si>
    <r>
      <t>€/kW</t>
    </r>
    <r>
      <rPr>
        <vertAlign val="subscript"/>
        <sz val="10"/>
        <rFont val="Arial"/>
        <family val="2"/>
      </rPr>
      <t>e</t>
    </r>
  </si>
  <si>
    <r>
      <t>kW</t>
    </r>
    <r>
      <rPr>
        <vertAlign val="subscript"/>
        <sz val="10"/>
        <rFont val="Arial"/>
        <family val="2"/>
      </rPr>
      <t>e</t>
    </r>
  </si>
  <si>
    <t>Miscellaneuos operational costs</t>
  </si>
  <si>
    <t>€</t>
  </si>
  <si>
    <t>Symbol</t>
  </si>
  <si>
    <t>INPUT PARAMETERS</t>
  </si>
  <si>
    <t>Unit</t>
  </si>
  <si>
    <t>Energy Investment Allowance</t>
  </si>
  <si>
    <t>EIA rate</t>
  </si>
  <si>
    <t>EIA company maximum</t>
  </si>
  <si>
    <t>EIA project maximum</t>
  </si>
  <si>
    <t>Part of investment costs eligible for EIA (maximum)</t>
  </si>
  <si>
    <t>EIA for current project as part of total investment costs</t>
  </si>
  <si>
    <t>Loan duration</t>
  </si>
  <si>
    <t>Return on debt</t>
  </si>
  <si>
    <t>Required return on equity</t>
  </si>
  <si>
    <t>Corporate tax rate</t>
  </si>
  <si>
    <t>Debt share (including EIA benefit)</t>
  </si>
  <si>
    <t>Equity share (excluding EIA benefit)</t>
  </si>
  <si>
    <t>Depreciation period</t>
  </si>
  <si>
    <t>Policy period (during which subsidies are paid)</t>
  </si>
  <si>
    <t>Time horizons</t>
  </si>
  <si>
    <t>Costs</t>
  </si>
  <si>
    <t>Project features</t>
  </si>
  <si>
    <t>Market</t>
  </si>
  <si>
    <t>Financial incentives: Energy Investment Allowance</t>
  </si>
  <si>
    <t>Project financing features</t>
  </si>
  <si>
    <t>FG</t>
  </si>
  <si>
    <t>Positive amounts = beneficial for the producer</t>
  </si>
  <si>
    <t>Investment</t>
  </si>
  <si>
    <t>Market value electricity</t>
  </si>
  <si>
    <t>Gross income</t>
  </si>
  <si>
    <t>Taxable income</t>
  </si>
  <si>
    <t>Tax amount</t>
  </si>
  <si>
    <t>Net income after tax</t>
  </si>
  <si>
    <t>Net Present Value net income</t>
  </si>
  <si>
    <t>Discounted electricity production</t>
  </si>
  <si>
    <t>Total investment sum</t>
  </si>
  <si>
    <t>Project return</t>
  </si>
  <si>
    <t>Equity</t>
  </si>
  <si>
    <t>U</t>
  </si>
  <si>
    <t>t</t>
  </si>
  <si>
    <t>d</t>
  </si>
  <si>
    <t>e</t>
  </si>
  <si>
    <t>CPI</t>
  </si>
  <si>
    <r>
      <t xml:space="preserve">year </t>
    </r>
    <r>
      <rPr>
        <b/>
        <i/>
        <sz val="10"/>
        <rFont val="Arial"/>
        <family val="2"/>
      </rPr>
      <t>t</t>
    </r>
  </si>
  <si>
    <t>c</t>
  </si>
  <si>
    <r>
      <t>C</t>
    </r>
    <r>
      <rPr>
        <i/>
        <vertAlign val="subscript"/>
        <sz val="10"/>
        <rFont val="Arial"/>
        <family val="2"/>
      </rPr>
      <t>tot</t>
    </r>
  </si>
  <si>
    <t>Q</t>
  </si>
  <si>
    <t>I</t>
  </si>
  <si>
    <t>c+I</t>
  </si>
  <si>
    <t>i</t>
  </si>
  <si>
    <t>r</t>
  </si>
  <si>
    <t>i+r</t>
  </si>
  <si>
    <t>a</t>
  </si>
  <si>
    <t>E+a+i</t>
  </si>
  <si>
    <r>
      <t>NPV</t>
    </r>
    <r>
      <rPr>
        <b/>
        <i/>
        <sz val="10"/>
        <rFont val="Arial"/>
        <family val="2"/>
      </rPr>
      <t>(IT)</t>
    </r>
  </si>
  <si>
    <r>
      <t>NPV</t>
    </r>
    <r>
      <rPr>
        <i/>
        <sz val="10"/>
        <rFont val="Arial"/>
        <family val="2"/>
      </rPr>
      <t>(EIA)</t>
    </r>
  </si>
  <si>
    <t>TI</t>
  </si>
  <si>
    <t>IT</t>
  </si>
  <si>
    <r>
      <t>t</t>
    </r>
    <r>
      <rPr>
        <sz val="10"/>
        <rFont val="Arial"/>
        <family val="2"/>
      </rPr>
      <t>∙</t>
    </r>
    <r>
      <rPr>
        <i/>
        <sz val="9.5"/>
        <rFont val="Arial"/>
        <family val="2"/>
      </rPr>
      <t>TI</t>
    </r>
  </si>
  <si>
    <r>
      <t>EIA /</t>
    </r>
    <r>
      <rPr>
        <sz val="10"/>
        <rFont val="Symbol"/>
        <family val="1"/>
        <charset val="2"/>
      </rPr>
      <t>e</t>
    </r>
  </si>
  <si>
    <t>GI</t>
  </si>
  <si>
    <t>tax</t>
  </si>
  <si>
    <t>GI+A+tax</t>
  </si>
  <si>
    <t>WACC</t>
  </si>
  <si>
    <t>Price discount</t>
  </si>
  <si>
    <t>Debt service coverage ratio</t>
  </si>
  <si>
    <t>DSCR</t>
  </si>
  <si>
    <t>Financial gap</t>
  </si>
  <si>
    <t>Output</t>
  </si>
  <si>
    <t>Income total (inflation adjusted)</t>
  </si>
  <si>
    <t>Costs total (inflation adjusted)</t>
  </si>
  <si>
    <t>Type</t>
  </si>
  <si>
    <t>Number of wind turbines</t>
  </si>
  <si>
    <t>#</t>
  </si>
  <si>
    <t>MW per turbine</t>
  </si>
  <si>
    <t>Rated power</t>
  </si>
  <si>
    <t>m</t>
  </si>
  <si>
    <t>Long term average windspeed at hub height</t>
  </si>
  <si>
    <t>m/s</t>
  </si>
  <si>
    <t>Net electricity production</t>
  </si>
  <si>
    <t>GWh/year</t>
  </si>
  <si>
    <t>Wind turbines</t>
  </si>
  <si>
    <t>Wind turbine transportation</t>
  </si>
  <si>
    <t>Installation</t>
  </si>
  <si>
    <t>Foundations</t>
  </si>
  <si>
    <t>Electrical net / grid</t>
  </si>
  <si>
    <t>Grid connection, grid code compliance</t>
  </si>
  <si>
    <t>Grid reinforcement</t>
  </si>
  <si>
    <t>Input value</t>
  </si>
  <si>
    <t>Value used</t>
  </si>
  <si>
    <t>Internal grid</t>
  </si>
  <si>
    <t>Currency</t>
  </si>
  <si>
    <t>Cables and transformer stations</t>
  </si>
  <si>
    <t>Project costs</t>
  </si>
  <si>
    <t>Interest payment before operation</t>
  </si>
  <si>
    <t>Decommisioning</t>
  </si>
  <si>
    <t>Scrap value</t>
  </si>
  <si>
    <t>Miscellaneous</t>
  </si>
  <si>
    <t>Project development</t>
  </si>
  <si>
    <t>Certification</t>
  </si>
  <si>
    <t>Decommisioning, excl. scrap value</t>
  </si>
  <si>
    <t>b</t>
  </si>
  <si>
    <t>D=a+b+c</t>
  </si>
  <si>
    <t>f</t>
  </si>
  <si>
    <t>g</t>
  </si>
  <si>
    <t>h</t>
  </si>
  <si>
    <t>J=f+g+h+i</t>
  </si>
  <si>
    <t>k1</t>
  </si>
  <si>
    <t>k2</t>
  </si>
  <si>
    <t>k=k1+k2</t>
  </si>
  <si>
    <t>l</t>
  </si>
  <si>
    <t>n</t>
  </si>
  <si>
    <t>O=k+l+m+n</t>
  </si>
  <si>
    <t>P=D+E+J+O</t>
  </si>
  <si>
    <t>q</t>
  </si>
  <si>
    <t>S=q-r</t>
  </si>
  <si>
    <t>Formula</t>
  </si>
  <si>
    <t>Decommisioning costs</t>
  </si>
  <si>
    <t>Scheduled maintenance</t>
  </si>
  <si>
    <t>Unscheduled repairs</t>
  </si>
  <si>
    <t>Operation</t>
  </si>
  <si>
    <t>Service contracts</t>
  </si>
  <si>
    <t>€/kW</t>
  </si>
  <si>
    <t>E=a+b+c+d</t>
  </si>
  <si>
    <t>O&amp;M costs, fixed part</t>
  </si>
  <si>
    <t>O&amp;M costs, variable part</t>
  </si>
  <si>
    <t>Administration</t>
  </si>
  <si>
    <t>Grid charges</t>
  </si>
  <si>
    <t>Grid costs, fixed part</t>
  </si>
  <si>
    <t>Grid costs, variable part</t>
  </si>
  <si>
    <t>F</t>
  </si>
  <si>
    <t>G</t>
  </si>
  <si>
    <t>J=h+i</t>
  </si>
  <si>
    <t>Taxes</t>
  </si>
  <si>
    <t>Electricity consumption</t>
  </si>
  <si>
    <t>Environmental measurements, evaluations, etc.</t>
  </si>
  <si>
    <t>K</t>
  </si>
  <si>
    <t>L</t>
  </si>
  <si>
    <t>O=m+n</t>
  </si>
  <si>
    <t>Other costs, fixed part</t>
  </si>
  <si>
    <t>Other costs, variable part</t>
  </si>
  <si>
    <t>Annual costs, fixed part</t>
  </si>
  <si>
    <t>Annual costs, variable part</t>
  </si>
  <si>
    <t>Equity share</t>
  </si>
  <si>
    <t>Debt share</t>
  </si>
  <si>
    <t>P=E+F+G+J+K+L+O</t>
  </si>
  <si>
    <t>Year dependent values</t>
  </si>
  <si>
    <t>Average</t>
  </si>
  <si>
    <t>Auxiliary table</t>
  </si>
  <si>
    <t>(average)</t>
  </si>
  <si>
    <t>Fixed value (ignoring yearly values)</t>
  </si>
  <si>
    <t>Fixed or average value</t>
  </si>
  <si>
    <t>Year dependent multiplier</t>
  </si>
  <si>
    <t>Variable annual costs unit</t>
  </si>
  <si>
    <t>Fixed annual costs unit</t>
  </si>
  <si>
    <t>Market price certificates</t>
  </si>
  <si>
    <t>Accelerated Depreciation</t>
  </si>
  <si>
    <t>Depreciation scheme (if applicable)</t>
  </si>
  <si>
    <t>offshore</t>
  </si>
  <si>
    <t>no</t>
  </si>
  <si>
    <t>€/MWh</t>
  </si>
  <si>
    <t>Inflation operational costs</t>
  </si>
  <si>
    <t>Investment-I: year 0</t>
  </si>
  <si>
    <t>Investment-II: year 1</t>
  </si>
  <si>
    <t>Investment-III: year 2</t>
  </si>
  <si>
    <t>Part of farm commission in Fase I</t>
  </si>
  <si>
    <t>Lead time Part I of farm</t>
  </si>
  <si>
    <t>Part of farm commission in Fase II</t>
  </si>
  <si>
    <t>Lead time Part II of farm</t>
  </si>
  <si>
    <t>Inflation capital costs</t>
  </si>
  <si>
    <t>Total electricity production</t>
  </si>
  <si>
    <t>Electricity production part I farm</t>
  </si>
  <si>
    <t>Electricity production part II farm</t>
  </si>
  <si>
    <t>Variable operational costs</t>
  </si>
  <si>
    <t>Fixed operational costs part I farm</t>
  </si>
  <si>
    <t>Fixed operational costs part II farm</t>
  </si>
  <si>
    <r>
      <t>c</t>
    </r>
    <r>
      <rPr>
        <i/>
        <vertAlign val="subscript"/>
        <sz val="10"/>
        <rFont val="Arial"/>
        <family val="2"/>
      </rPr>
      <t>f-I</t>
    </r>
  </si>
  <si>
    <r>
      <t>c</t>
    </r>
    <r>
      <rPr>
        <i/>
        <vertAlign val="subscript"/>
        <sz val="10"/>
        <rFont val="Arial"/>
        <family val="2"/>
      </rPr>
      <t>f-II</t>
    </r>
  </si>
  <si>
    <r>
      <t>c</t>
    </r>
    <r>
      <rPr>
        <i/>
        <vertAlign val="subscript"/>
        <sz val="10"/>
        <rFont val="Arial"/>
        <family val="2"/>
      </rPr>
      <t>v</t>
    </r>
    <r>
      <rPr>
        <i/>
        <sz val="10"/>
        <rFont val="Arial"/>
        <family val="2"/>
      </rPr>
      <t/>
    </r>
  </si>
  <si>
    <t>Investment sum-I</t>
  </si>
  <si>
    <t>Investment sum-II</t>
  </si>
  <si>
    <t>Investment sum-III</t>
  </si>
  <si>
    <t>Amortisation total</t>
  </si>
  <si>
    <t>Amortisation investment-I</t>
  </si>
  <si>
    <t>Amortisation investment-II</t>
  </si>
  <si>
    <t>Amortisation investment-III</t>
  </si>
  <si>
    <t>Debt investment I</t>
  </si>
  <si>
    <t>Debt investment II</t>
  </si>
  <si>
    <t>Debt investment III</t>
  </si>
  <si>
    <t>Debt total</t>
  </si>
  <si>
    <t>Equity investment I</t>
  </si>
  <si>
    <t>Equity investment II</t>
  </si>
  <si>
    <t>Equity investment III</t>
  </si>
  <si>
    <t>Total interest</t>
  </si>
  <si>
    <t>Total redemption</t>
  </si>
  <si>
    <t>Total total loan costs</t>
  </si>
  <si>
    <t>Interest-I</t>
  </si>
  <si>
    <t>Redemption-I</t>
  </si>
  <si>
    <t>Total loan costs-I</t>
  </si>
  <si>
    <t>Interest-II</t>
  </si>
  <si>
    <t>Redemption-II</t>
  </si>
  <si>
    <t>Total loan costs-III</t>
  </si>
  <si>
    <t>Interest-III</t>
  </si>
  <si>
    <t>Redemption-III</t>
  </si>
  <si>
    <t>Discounted Equity</t>
  </si>
  <si>
    <t>Market price electricity and certificates</t>
  </si>
  <si>
    <t>Maximum nr of full load hours subsidised</t>
  </si>
  <si>
    <r>
      <t xml:space="preserve">Total electricity production </t>
    </r>
    <r>
      <rPr>
        <i/>
        <sz val="10"/>
        <rFont val="Arial"/>
        <family val="2"/>
      </rPr>
      <t>not</t>
    </r>
    <r>
      <rPr>
        <sz val="10"/>
        <rFont val="Arial"/>
        <family val="2"/>
      </rPr>
      <t xml:space="preserve"> elegible for subsidy</t>
    </r>
  </si>
  <si>
    <t>Electricity production part I farm elegible for subsidy</t>
  </si>
  <si>
    <t>Electricity production part II farm elegible for subsidy</t>
  </si>
  <si>
    <t>Licence periode</t>
  </si>
  <si>
    <r>
      <t>Q</t>
    </r>
    <r>
      <rPr>
        <i/>
        <vertAlign val="subscript"/>
        <sz val="10"/>
        <rFont val="Arial"/>
        <family val="2"/>
      </rPr>
      <t>I</t>
    </r>
  </si>
  <si>
    <r>
      <t>Q</t>
    </r>
    <r>
      <rPr>
        <i/>
        <vertAlign val="subscript"/>
        <sz val="10"/>
        <rFont val="Arial"/>
        <family val="2"/>
      </rPr>
      <t>II</t>
    </r>
  </si>
  <si>
    <r>
      <t>NPV</t>
    </r>
    <r>
      <rPr>
        <i/>
        <sz val="10"/>
        <rFont val="Arial"/>
        <family val="2"/>
      </rPr>
      <t>(Q</t>
    </r>
    <r>
      <rPr>
        <i/>
        <vertAlign val="subscript"/>
        <sz val="10"/>
        <rFont val="Arial"/>
        <family val="2"/>
      </rPr>
      <t>I</t>
    </r>
    <r>
      <rPr>
        <i/>
        <sz val="10"/>
        <rFont val="Arial"/>
        <family val="2"/>
      </rPr>
      <t>+Q</t>
    </r>
    <r>
      <rPr>
        <i/>
        <vertAlign val="subscript"/>
        <sz val="10"/>
        <rFont val="Arial"/>
        <family val="2"/>
      </rPr>
      <t>II</t>
    </r>
    <r>
      <rPr>
        <i/>
        <sz val="10"/>
        <rFont val="Arial"/>
        <family val="2"/>
      </rPr>
      <t>)</t>
    </r>
  </si>
  <si>
    <r>
      <t>Q</t>
    </r>
    <r>
      <rPr>
        <i/>
        <vertAlign val="subscript"/>
        <sz val="10"/>
        <rFont val="Arial"/>
        <family val="2"/>
      </rPr>
      <t>nes</t>
    </r>
  </si>
  <si>
    <r>
      <t>Q</t>
    </r>
    <r>
      <rPr>
        <i/>
        <vertAlign val="subscript"/>
        <sz val="10"/>
        <rFont val="Arial"/>
        <family val="2"/>
      </rPr>
      <t>nes</t>
    </r>
    <r>
      <rPr>
        <sz val="10"/>
        <rFont val="Arial"/>
        <family val="2"/>
      </rPr>
      <t>∙</t>
    </r>
    <r>
      <rPr>
        <i/>
        <sz val="9.5"/>
        <rFont val="Arial"/>
        <family val="2"/>
      </rPr>
      <t>p</t>
    </r>
    <r>
      <rPr>
        <i/>
        <vertAlign val="subscript"/>
        <sz val="9.5"/>
        <rFont val="Arial"/>
        <family val="2"/>
      </rPr>
      <t>e</t>
    </r>
  </si>
  <si>
    <t>Net present value of EIA - II</t>
  </si>
  <si>
    <t>Energy Investment Allowance - I</t>
  </si>
  <si>
    <t>Investment part eligible for EIA - I</t>
  </si>
  <si>
    <t>Investment part eligible for EIA - II</t>
  </si>
  <si>
    <t>Energy Investment Allowance - II</t>
  </si>
  <si>
    <t>WACC voor belasting</t>
  </si>
  <si>
    <t>Kleurcodering:</t>
  </si>
  <si>
    <t>Niets invullen</t>
  </si>
  <si>
    <t>Waarde door gebruiker in te vullen</t>
  </si>
  <si>
    <t>Required base rate (result of calculation)</t>
  </si>
  <si>
    <t>Market prices source: NEV 2017 (PBL/ECN)</t>
  </si>
  <si>
    <t>year</t>
  </si>
  <si>
    <t>Price discounts (balancing costs)</t>
  </si>
  <si>
    <t>Market price electricity (including profiling costs)</t>
  </si>
  <si>
    <t>Transaction fees</t>
  </si>
  <si>
    <t>01 August 2018</t>
  </si>
  <si>
    <t>Sander Lensink, Iulia Pisca</t>
  </si>
  <si>
    <t>Authors</t>
  </si>
  <si>
    <t>Date</t>
  </si>
  <si>
    <t>Version</t>
  </si>
  <si>
    <t>WIND OP ZEE</t>
  </si>
  <si>
    <t>Verantwoording</t>
  </si>
  <si>
    <t>Achtergrond van dit rekenmodel:</t>
  </si>
  <si>
    <t>Door aanpassingen te doen in de getallen in de groene velden, berekent u wat het verwachte toekomstige basisbedrag voor wind op zee wordt door uw innovatie.</t>
  </si>
  <si>
    <t>De investeringskosten staan op het tabblad "Year independent"</t>
  </si>
  <si>
    <t xml:space="preserve">De onderhoudskosten zijn gemodelleerd als één bedrag op het tabblad "Year dependent" </t>
  </si>
  <si>
    <t>De uitkomst van uw aanpassingen ziet u terug in een aangepast basisbedrag op het tabblad "Input_Output" in cel F40.</t>
  </si>
  <si>
    <t>In cel F40 op het tabblad "input_Output" stond eerst een basisbedrag van € 45.6/MWh, na uw aanpassingen staat er het basisbedrag dat te verwachten is als gevolg van uw innovatie.</t>
  </si>
  <si>
    <t>Contactinformatie voor deze rekensheet: e-innovatie@rvo.nl</t>
  </si>
  <si>
    <t xml:space="preserve">Wat moet u doen in deze spreadsheet? </t>
  </si>
  <si>
    <t xml:space="preserve">Wat moet u daarna doen? </t>
  </si>
  <si>
    <t>Gebruikers instructie</t>
  </si>
  <si>
    <t>Het nieuwe basisbedrag moet u invullen in het Excel-model 'Rekenmodel Besparing 2020' over de totale looptijd van max 15 jaar berekent.</t>
  </si>
  <si>
    <t>In dit model  vult u daarnaast ook de verwachte (toepassing op) aantallen turbines/parken in Nederland per jaar in inclusief het verwachte vermogen.</t>
  </si>
  <si>
    <t>Het 'Rekenmodel Besparing 2020' rekent vervolgens door wat de kostenvoordelen zijn bij de bouw en exploitatie van windparken op zee in Nederland.</t>
  </si>
  <si>
    <t>Beide rekenmodellen (dit voorliggende,voor het nieuwe basisbedrag en het model dat de kostenvoordelen berekent), dient u mee te sturen bij indiening van uw subsidieaanvraag.</t>
  </si>
  <si>
    <t>RVO versie</t>
  </si>
  <si>
    <t>Berekening basisbedrag Windenergie op Zee</t>
  </si>
  <si>
    <r>
      <t>T</t>
    </r>
    <r>
      <rPr>
        <i/>
        <vertAlign val="subscript"/>
        <sz val="10"/>
        <rFont val="Arial"/>
        <family val="2"/>
      </rPr>
      <t>b</t>
    </r>
  </si>
  <si>
    <r>
      <t>C</t>
    </r>
    <r>
      <rPr>
        <i/>
        <vertAlign val="subscript"/>
        <sz val="10"/>
        <rFont val="Arial"/>
        <family val="2"/>
      </rPr>
      <t xml:space="preserve">tot </t>
    </r>
    <r>
      <rPr>
        <i/>
        <sz val="10"/>
        <rFont val="Arial"/>
        <family val="2"/>
      </rPr>
      <t>/ U</t>
    </r>
  </si>
  <si>
    <r>
      <t>c</t>
    </r>
    <r>
      <rPr>
        <i/>
        <vertAlign val="subscript"/>
        <sz val="10"/>
        <rFont val="Arial"/>
        <family val="2"/>
      </rPr>
      <t>f</t>
    </r>
  </si>
  <si>
    <r>
      <t>c</t>
    </r>
    <r>
      <rPr>
        <i/>
        <vertAlign val="subscript"/>
        <sz val="10"/>
        <rFont val="Arial"/>
        <family val="2"/>
      </rPr>
      <t>v</t>
    </r>
  </si>
  <si>
    <r>
      <t>p</t>
    </r>
    <r>
      <rPr>
        <i/>
        <vertAlign val="subscript"/>
        <sz val="10"/>
        <rFont val="Arial"/>
        <family val="2"/>
      </rPr>
      <t>e</t>
    </r>
  </si>
  <si>
    <r>
      <t>R</t>
    </r>
    <r>
      <rPr>
        <i/>
        <vertAlign val="subscript"/>
        <sz val="10"/>
        <rFont val="Arial"/>
        <family val="2"/>
      </rPr>
      <t>d</t>
    </r>
  </si>
  <si>
    <r>
      <t>R</t>
    </r>
    <r>
      <rPr>
        <i/>
        <vertAlign val="subscript"/>
        <sz val="10"/>
        <rFont val="Arial"/>
        <family val="2"/>
      </rPr>
      <t>e</t>
    </r>
  </si>
  <si>
    <r>
      <t>T</t>
    </r>
    <r>
      <rPr>
        <i/>
        <vertAlign val="subscript"/>
        <sz val="10"/>
        <rFont val="Arial"/>
        <family val="2"/>
      </rPr>
      <t>r</t>
    </r>
  </si>
  <si>
    <r>
      <t>T</t>
    </r>
    <r>
      <rPr>
        <i/>
        <vertAlign val="subscript"/>
        <sz val="10"/>
        <rFont val="Arial"/>
        <family val="2"/>
      </rPr>
      <t>d</t>
    </r>
  </si>
  <si>
    <r>
      <t>T</t>
    </r>
    <r>
      <rPr>
        <i/>
        <vertAlign val="subscript"/>
        <sz val="10"/>
        <rFont val="Arial"/>
        <family val="2"/>
      </rPr>
      <t>p</t>
    </r>
  </si>
  <si>
    <t>Dit rekenmodel is het best beschikbare model voor het basisbedrag van windenergie op zee in 2021 en komt in het tabblad "Input-Output" uit op € 45.6/MWh. 
Dit is de uitgangssituatie voor uw berekeningen.</t>
  </si>
  <si>
    <t>U past het getal/de getallen aan waarop uw innovatie invloed heeft (zoals de investeringskosten, het onderhoud, etc.).</t>
  </si>
  <si>
    <t>Deze versie is bruikbaar voor HER+  t/m 31 maart 2023</t>
  </si>
  <si>
    <t xml:space="preserve">26 oktober 2023, V03.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</si>
</sst>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(* #,##0.00_);_(* \(#,##0.00\);_(* &quot;-&quot;??_);_(@_)"/>
    <numFmt numFmtId="165" formatCode="&quot;€&quot;#,##0.00;[Red]\-&quot;€&quot;#,##0.00"/>
    <numFmt numFmtId="166" formatCode="0.0000"/>
    <numFmt numFmtId="167" formatCode="0.0%"/>
    <numFmt numFmtId="168" formatCode="0.000000"/>
    <numFmt numFmtId="169" formatCode="0.000"/>
    <numFmt numFmtId="170" formatCode="0.000%"/>
    <numFmt numFmtId="171" formatCode="#,##0&quot; €&quot;"/>
    <numFmt numFmtId="172" formatCode="0.00&quot; : 1&quot;"/>
    <numFmt numFmtId="173" formatCode="#,##0_ ;[Red]\-#,##0\ "/>
    <numFmt numFmtId="174" formatCode="0.0"/>
    <numFmt numFmtId="175" formatCode="_-* #,##0.00_-;_-* #,##0.00\-;_-* &quot;-&quot;??_-;_-@_-"/>
    <numFmt numFmtId="176" formatCode="_-&quot;€&quot;\ * #,##0.00_-;_-&quot;€&quot;\ * #,##0.00\-;_-&quot;€&quot;\ * &quot;-&quot;??_-;_-@_-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vertAlign val="subscript"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i/>
      <sz val="14"/>
      <name val="Arial"/>
      <family val="2"/>
    </font>
    <font>
      <i/>
      <sz val="18"/>
      <name val="Arial"/>
      <family val="2"/>
    </font>
    <font>
      <i/>
      <vertAlign val="subscript"/>
      <sz val="10"/>
      <name val="Arial"/>
      <family val="2"/>
    </font>
    <font>
      <i/>
      <sz val="9.5"/>
      <name val="Arial"/>
      <family val="2"/>
    </font>
    <font>
      <i/>
      <vertAlign val="subscript"/>
      <sz val="9.5"/>
      <name val="Arial"/>
      <family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color indexed="12"/>
      <name val="Arial"/>
      <family val="2"/>
    </font>
    <font>
      <sz val="10"/>
      <color indexed="40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sz val="18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10"/>
      <color theme="0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b/>
      <sz val="13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A8A8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55"/>
      </bottom>
      <diagonal/>
    </border>
    <border>
      <left style="thin">
        <color indexed="55"/>
      </left>
      <right/>
      <top/>
      <bottom style="dotted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55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55"/>
      </bottom>
      <diagonal/>
    </border>
    <border>
      <left/>
      <right style="medium">
        <color indexed="64"/>
      </right>
      <top/>
      <bottom style="dotted">
        <color indexed="5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tted">
        <color indexed="55"/>
      </bottom>
      <diagonal/>
    </border>
    <border>
      <left style="hair">
        <color indexed="64"/>
      </left>
      <right/>
      <top/>
      <bottom style="thin">
        <color indexed="55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9"/>
      </right>
      <top style="medium">
        <color indexed="64"/>
      </top>
      <bottom style="medium">
        <color indexed="64"/>
      </bottom>
      <diagonal/>
    </border>
    <border>
      <left style="dotted">
        <color indexed="9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rgb="FFCCCCCC"/>
      </bottom>
      <diagonal/>
    </border>
    <border>
      <left/>
      <right style="thin">
        <color indexed="64"/>
      </right>
      <top style="thin">
        <color rgb="FFCCCCCC"/>
      </top>
      <bottom style="thin">
        <color rgb="FFCCCCCC"/>
      </bottom>
      <diagonal/>
    </border>
  </borders>
  <cellStyleXfs count="29">
    <xf numFmtId="0" fontId="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37" fillId="6" borderId="0" applyNumberFormat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6" fontId="2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6" fillId="5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34" fillId="0" borderId="0"/>
    <xf numFmtId="164" fontId="51" fillId="0" borderId="0" applyFont="0" applyFill="0" applyBorder="0" applyAlignment="0" applyProtection="0"/>
  </cellStyleXfs>
  <cellXfs count="548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2" fontId="4" fillId="0" borderId="0" xfId="0" applyNumberFormat="1" applyFont="1"/>
    <xf numFmtId="9" fontId="4" fillId="0" borderId="0" xfId="8" applyFont="1" applyFill="1" applyBorder="1"/>
    <xf numFmtId="0" fontId="0" fillId="0" borderId="0" xfId="0" applyFill="1" applyBorder="1"/>
    <xf numFmtId="170" fontId="4" fillId="0" borderId="0" xfId="8" applyNumberFormat="1" applyFont="1"/>
    <xf numFmtId="0" fontId="4" fillId="2" borderId="0" xfId="0" applyFont="1" applyFill="1" applyBorder="1"/>
    <xf numFmtId="3" fontId="4" fillId="2" borderId="0" xfId="0" applyNumberFormat="1" applyFont="1" applyFill="1" applyBorder="1"/>
    <xf numFmtId="0" fontId="4" fillId="2" borderId="1" xfId="0" applyFont="1" applyFill="1" applyBorder="1"/>
    <xf numFmtId="3" fontId="4" fillId="2" borderId="1" xfId="0" applyNumberFormat="1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/>
    <xf numFmtId="3" fontId="3" fillId="2" borderId="6" xfId="0" applyNumberFormat="1" applyFont="1" applyFill="1" applyBorder="1"/>
    <xf numFmtId="1" fontId="4" fillId="0" borderId="0" xfId="0" applyNumberFormat="1" applyFont="1"/>
    <xf numFmtId="0" fontId="10" fillId="0" borderId="0" xfId="0" applyFont="1" applyBorder="1"/>
    <xf numFmtId="0" fontId="10" fillId="0" borderId="0" xfId="0" applyFont="1"/>
    <xf numFmtId="0" fontId="10" fillId="0" borderId="0" xfId="0" applyFont="1" applyFill="1" applyBorder="1"/>
    <xf numFmtId="0" fontId="11" fillId="0" borderId="0" xfId="0" applyFont="1" applyBorder="1"/>
    <xf numFmtId="0" fontId="11" fillId="0" borderId="0" xfId="0" applyFont="1"/>
    <xf numFmtId="0" fontId="11" fillId="0" borderId="0" xfId="0" applyFont="1" applyFill="1" applyBorder="1"/>
    <xf numFmtId="0" fontId="4" fillId="0" borderId="12" xfId="0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13" xfId="0" applyFont="1" applyFill="1" applyBorder="1"/>
    <xf numFmtId="0" fontId="6" fillId="2" borderId="14" xfId="0" applyFont="1" applyFill="1" applyBorder="1"/>
    <xf numFmtId="0" fontId="3" fillId="2" borderId="14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3" fontId="4" fillId="2" borderId="12" xfId="0" applyNumberFormat="1" applyFont="1" applyFill="1" applyBorder="1"/>
    <xf numFmtId="3" fontId="3" fillId="2" borderId="16" xfId="0" applyNumberFormat="1" applyFont="1" applyFill="1" applyBorder="1"/>
    <xf numFmtId="3" fontId="6" fillId="2" borderId="0" xfId="0" applyNumberFormat="1" applyFont="1" applyFill="1" applyBorder="1"/>
    <xf numFmtId="0" fontId="6" fillId="0" borderId="0" xfId="0" applyFont="1" applyBorder="1"/>
    <xf numFmtId="3" fontId="6" fillId="2" borderId="12" xfId="0" applyNumberFormat="1" applyFont="1" applyFill="1" applyBorder="1"/>
    <xf numFmtId="0" fontId="6" fillId="2" borderId="3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3" fontId="3" fillId="2" borderId="18" xfId="0" applyNumberFormat="1" applyFont="1" applyFill="1" applyBorder="1"/>
    <xf numFmtId="3" fontId="3" fillId="2" borderId="19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7" xfId="0" applyFont="1" applyFill="1" applyBorder="1"/>
    <xf numFmtId="3" fontId="4" fillId="2" borderId="18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2" borderId="24" xfId="0" applyFont="1" applyFill="1" applyBorder="1"/>
    <xf numFmtId="0" fontId="4" fillId="2" borderId="25" xfId="0" applyFont="1" applyFill="1" applyBorder="1"/>
    <xf numFmtId="0" fontId="4" fillId="2" borderId="27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27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16" fillId="2" borderId="29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22" fillId="2" borderId="20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left"/>
    </xf>
    <xf numFmtId="3" fontId="4" fillId="2" borderId="25" xfId="0" applyNumberFormat="1" applyFont="1" applyFill="1" applyBorder="1"/>
    <xf numFmtId="0" fontId="6" fillId="2" borderId="31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3" fontId="4" fillId="2" borderId="24" xfId="0" applyNumberFormat="1" applyFont="1" applyFill="1" applyBorder="1"/>
    <xf numFmtId="3" fontId="4" fillId="2" borderId="35" xfId="0" applyNumberFormat="1" applyFont="1" applyFill="1" applyBorder="1"/>
    <xf numFmtId="0" fontId="6" fillId="2" borderId="27" xfId="0" applyFont="1" applyFill="1" applyBorder="1" applyAlignment="1">
      <alignment horizontal="center"/>
    </xf>
    <xf numFmtId="0" fontId="4" fillId="2" borderId="36" xfId="0" applyFont="1" applyFill="1" applyBorder="1"/>
    <xf numFmtId="0" fontId="4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4" fillId="2" borderId="39" xfId="0" applyFont="1" applyFill="1" applyBorder="1"/>
    <xf numFmtId="0" fontId="4" fillId="2" borderId="39" xfId="0" applyFont="1" applyFill="1" applyBorder="1" applyAlignment="1">
      <alignment horizontal="center"/>
    </xf>
    <xf numFmtId="3" fontId="4" fillId="2" borderId="40" xfId="0" applyNumberFormat="1" applyFont="1" applyFill="1" applyBorder="1"/>
    <xf numFmtId="167" fontId="4" fillId="2" borderId="40" xfId="0" applyNumberFormat="1" applyFont="1" applyFill="1" applyBorder="1"/>
    <xf numFmtId="171" fontId="4" fillId="2" borderId="40" xfId="0" applyNumberFormat="1" applyFont="1" applyFill="1" applyBorder="1"/>
    <xf numFmtId="171" fontId="4" fillId="2" borderId="10" xfId="0" applyNumberFormat="1" applyFont="1" applyFill="1" applyBorder="1"/>
    <xf numFmtId="172" fontId="4" fillId="2" borderId="40" xfId="0" applyNumberFormat="1" applyFont="1" applyFill="1" applyBorder="1"/>
    <xf numFmtId="0" fontId="25" fillId="0" borderId="0" xfId="0" applyFont="1"/>
    <xf numFmtId="0" fontId="24" fillId="0" borderId="0" xfId="0" applyFont="1"/>
    <xf numFmtId="0" fontId="28" fillId="0" borderId="0" xfId="0" applyFont="1"/>
    <xf numFmtId="0" fontId="4" fillId="2" borderId="20" xfId="0" applyFont="1" applyFill="1" applyBorder="1"/>
    <xf numFmtId="0" fontId="4" fillId="2" borderId="42" xfId="0" applyFont="1" applyFill="1" applyBorder="1"/>
    <xf numFmtId="0" fontId="4" fillId="2" borderId="48" xfId="0" applyFont="1" applyFill="1" applyBorder="1"/>
    <xf numFmtId="165" fontId="4" fillId="0" borderId="0" xfId="0" applyNumberFormat="1" applyFont="1"/>
    <xf numFmtId="173" fontId="4" fillId="0" borderId="0" xfId="0" applyNumberFormat="1" applyFont="1"/>
    <xf numFmtId="0" fontId="4" fillId="2" borderId="0" xfId="0" applyFont="1" applyFill="1" applyBorder="1" applyAlignment="1">
      <alignment horizontal="left"/>
    </xf>
    <xf numFmtId="0" fontId="4" fillId="0" borderId="0" xfId="0" applyFont="1" applyFill="1"/>
    <xf numFmtId="0" fontId="4" fillId="2" borderId="21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4" fillId="2" borderId="92" xfId="0" applyFont="1" applyFill="1" applyBorder="1" applyAlignment="1">
      <alignment horizontal="center"/>
    </xf>
    <xf numFmtId="3" fontId="4" fillId="2" borderId="93" xfId="0" applyNumberFormat="1" applyFont="1" applyFill="1" applyBorder="1"/>
    <xf numFmtId="3" fontId="0" fillId="0" borderId="0" xfId="0" applyNumberFormat="1" applyFill="1"/>
    <xf numFmtId="168" fontId="0" fillId="0" borderId="0" xfId="0" applyNumberFormat="1" applyFill="1"/>
    <xf numFmtId="0" fontId="6" fillId="2" borderId="94" xfId="0" applyFont="1" applyFill="1" applyBorder="1" applyAlignment="1">
      <alignment horizontal="center"/>
    </xf>
    <xf numFmtId="171" fontId="4" fillId="2" borderId="35" xfId="0" applyNumberFormat="1" applyFont="1" applyFill="1" applyBorder="1"/>
    <xf numFmtId="0" fontId="4" fillId="0" borderId="11" xfId="0" applyFont="1" applyFill="1" applyBorder="1"/>
    <xf numFmtId="0" fontId="6" fillId="2" borderId="0" xfId="0" applyFont="1" applyFill="1" applyBorder="1" applyAlignment="1">
      <alignment horizontal="center"/>
    </xf>
    <xf numFmtId="9" fontId="4" fillId="0" borderId="0" xfId="0" applyNumberFormat="1" applyFont="1" applyFill="1"/>
    <xf numFmtId="0" fontId="6" fillId="2" borderId="95" xfId="0" applyFont="1" applyFill="1" applyBorder="1" applyAlignment="1">
      <alignment horizontal="center"/>
    </xf>
    <xf numFmtId="0" fontId="6" fillId="2" borderId="91" xfId="0" applyFont="1" applyFill="1" applyBorder="1" applyAlignment="1">
      <alignment horizontal="center"/>
    </xf>
    <xf numFmtId="0" fontId="4" fillId="2" borderId="96" xfId="0" applyFont="1" applyFill="1" applyBorder="1"/>
    <xf numFmtId="3" fontId="4" fillId="2" borderId="48" xfId="0" applyNumberFormat="1" applyFont="1" applyFill="1" applyBorder="1"/>
    <xf numFmtId="0" fontId="6" fillId="2" borderId="97" xfId="0" applyFont="1" applyFill="1" applyBorder="1" applyAlignment="1">
      <alignment horizontal="center"/>
    </xf>
    <xf numFmtId="171" fontId="4" fillId="2" borderId="12" xfId="0" applyNumberFormat="1" applyFont="1" applyFill="1" applyBorder="1"/>
    <xf numFmtId="3" fontId="4" fillId="2" borderId="0" xfId="0" applyNumberFormat="1" applyFont="1" applyFill="1"/>
    <xf numFmtId="167" fontId="0" fillId="0" borderId="0" xfId="8" applyNumberFormat="1" applyFont="1" applyFill="1"/>
    <xf numFmtId="0" fontId="4" fillId="2" borderId="24" xfId="0" applyFont="1" applyFill="1" applyBorder="1" applyAlignment="1">
      <alignment horizontal="left"/>
    </xf>
    <xf numFmtId="171" fontId="4" fillId="2" borderId="99" xfId="0" applyNumberFormat="1" applyFont="1" applyFill="1" applyBorder="1"/>
    <xf numFmtId="171" fontId="4" fillId="2" borderId="8" xfId="0" applyNumberFormat="1" applyFont="1" applyFill="1" applyBorder="1"/>
    <xf numFmtId="0" fontId="6" fillId="2" borderId="100" xfId="0" applyFont="1" applyFill="1" applyBorder="1" applyAlignment="1">
      <alignment horizontal="center"/>
    </xf>
    <xf numFmtId="1" fontId="6" fillId="2" borderId="0" xfId="0" applyNumberFormat="1" applyFont="1" applyFill="1" applyBorder="1"/>
    <xf numFmtId="0" fontId="6" fillId="0" borderId="30" xfId="0" applyFont="1" applyBorder="1" applyAlignment="1">
      <alignment horizontal="center"/>
    </xf>
    <xf numFmtId="0" fontId="4" fillId="0" borderId="30" xfId="0" applyFont="1" applyBorder="1"/>
    <xf numFmtId="0" fontId="6" fillId="2" borderId="0" xfId="0" applyFont="1" applyFill="1" applyBorder="1"/>
    <xf numFmtId="0" fontId="2" fillId="2" borderId="25" xfId="0" applyFont="1" applyFill="1" applyBorder="1"/>
    <xf numFmtId="0" fontId="2" fillId="2" borderId="24" xfId="0" applyFont="1" applyFill="1" applyBorder="1"/>
    <xf numFmtId="0" fontId="0" fillId="4" borderId="0" xfId="0" applyFill="1"/>
    <xf numFmtId="0" fontId="7" fillId="0" borderId="0" xfId="9" applyFont="1" applyBorder="1" applyAlignment="1">
      <alignment vertical="center"/>
    </xf>
    <xf numFmtId="0" fontId="8" fillId="0" borderId="0" xfId="9" applyFont="1" applyBorder="1" applyAlignment="1">
      <alignment vertical="center"/>
    </xf>
    <xf numFmtId="0" fontId="9" fillId="0" borderId="0" xfId="9" applyFont="1" applyBorder="1" applyAlignment="1">
      <alignment vertical="center"/>
    </xf>
    <xf numFmtId="0" fontId="7" fillId="0" borderId="0" xfId="9" applyFont="1" applyBorder="1" applyAlignment="1">
      <alignment horizontal="left" vertical="center"/>
    </xf>
    <xf numFmtId="0" fontId="9" fillId="0" borderId="0" xfId="9" applyFont="1" applyBorder="1" applyAlignment="1">
      <alignment horizontal="left" vertical="center"/>
    </xf>
    <xf numFmtId="0" fontId="7" fillId="0" borderId="0" xfId="9" applyFont="1" applyFill="1" applyBorder="1" applyAlignment="1">
      <alignment horizontal="left" vertical="center"/>
    </xf>
    <xf numFmtId="0" fontId="12" fillId="0" borderId="0" xfId="9" applyFont="1" applyFill="1" applyBorder="1" applyAlignment="1">
      <alignment horizontal="left" vertical="center"/>
    </xf>
    <xf numFmtId="0" fontId="9" fillId="0" borderId="0" xfId="9" applyFont="1" applyFill="1" applyBorder="1" applyAlignment="1">
      <alignment horizontal="left" vertical="center"/>
    </xf>
    <xf numFmtId="0" fontId="13" fillId="0" borderId="0" xfId="9" applyFont="1" applyFill="1" applyBorder="1" applyAlignment="1">
      <alignment horizontal="left" vertical="center"/>
    </xf>
    <xf numFmtId="0" fontId="2" fillId="0" borderId="0" xfId="9" applyBorder="1" applyAlignment="1">
      <alignment horizontal="left" vertical="center"/>
    </xf>
    <xf numFmtId="0" fontId="2" fillId="0" borderId="0" xfId="9" applyBorder="1"/>
    <xf numFmtId="0" fontId="1" fillId="0" borderId="0" xfId="10" applyBorder="1"/>
    <xf numFmtId="0" fontId="0" fillId="4" borderId="0" xfId="0" applyFill="1" applyBorder="1"/>
    <xf numFmtId="0" fontId="0" fillId="4" borderId="12" xfId="0" applyFill="1" applyBorder="1"/>
    <xf numFmtId="0" fontId="0" fillId="4" borderId="10" xfId="0" applyFill="1" applyBorder="1"/>
    <xf numFmtId="0" fontId="0" fillId="4" borderId="8" xfId="0" applyFill="1" applyBorder="1"/>
    <xf numFmtId="0" fontId="0" fillId="4" borderId="0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25" fillId="4" borderId="42" xfId="0" applyFont="1" applyFill="1" applyBorder="1" applyAlignment="1">
      <alignment horizontal="center"/>
    </xf>
    <xf numFmtId="0" fontId="24" fillId="4" borderId="11" xfId="0" applyFont="1" applyFill="1" applyBorder="1"/>
    <xf numFmtId="0" fontId="24" fillId="4" borderId="0" xfId="0" applyFont="1" applyFill="1" applyBorder="1"/>
    <xf numFmtId="0" fontId="25" fillId="4" borderId="0" xfId="0" applyFont="1" applyFill="1" applyBorder="1" applyAlignment="1">
      <alignment horizontal="center"/>
    </xf>
    <xf numFmtId="0" fontId="25" fillId="4" borderId="24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5" fillId="4" borderId="48" xfId="0" applyFont="1" applyFill="1" applyBorder="1" applyAlignment="1">
      <alignment horizontal="center"/>
    </xf>
    <xf numFmtId="0" fontId="25" fillId="4" borderId="23" xfId="0" applyFont="1" applyFill="1" applyBorder="1" applyAlignment="1">
      <alignment horizontal="center"/>
    </xf>
    <xf numFmtId="0" fontId="25" fillId="4" borderId="50" xfId="0" applyFont="1" applyFill="1" applyBorder="1" applyAlignment="1">
      <alignment horizontal="center"/>
    </xf>
    <xf numFmtId="0" fontId="25" fillId="4" borderId="53" xfId="0" applyFont="1" applyFill="1" applyBorder="1" applyAlignment="1">
      <alignment horizontal="center"/>
    </xf>
    <xf numFmtId="0" fontId="28" fillId="4" borderId="9" xfId="0" applyFont="1" applyFill="1" applyBorder="1"/>
    <xf numFmtId="0" fontId="28" fillId="4" borderId="30" xfId="0" applyFont="1" applyFill="1" applyBorder="1"/>
    <xf numFmtId="0" fontId="25" fillId="4" borderId="30" xfId="0" applyFont="1" applyFill="1" applyBorder="1" applyAlignment="1">
      <alignment horizontal="center"/>
    </xf>
    <xf numFmtId="0" fontId="24" fillId="4" borderId="8" xfId="0" applyFont="1" applyFill="1" applyBorder="1" applyAlignment="1">
      <alignment horizontal="center"/>
    </xf>
    <xf numFmtId="0" fontId="24" fillId="4" borderId="12" xfId="0" applyFont="1" applyFill="1" applyBorder="1" applyAlignment="1">
      <alignment horizontal="center"/>
    </xf>
    <xf numFmtId="0" fontId="25" fillId="4" borderId="71" xfId="0" applyFont="1" applyFill="1" applyBorder="1" applyAlignment="1">
      <alignment horizontal="center"/>
    </xf>
    <xf numFmtId="0" fontId="24" fillId="4" borderId="35" xfId="0" applyFont="1" applyFill="1" applyBorder="1" applyAlignment="1">
      <alignment horizontal="center"/>
    </xf>
    <xf numFmtId="0" fontId="25" fillId="4" borderId="70" xfId="0" applyFont="1" applyFill="1" applyBorder="1" applyAlignment="1">
      <alignment horizontal="center"/>
    </xf>
    <xf numFmtId="0" fontId="25" fillId="4" borderId="58" xfId="0" applyFont="1" applyFill="1" applyBorder="1" applyAlignment="1">
      <alignment horizontal="center"/>
    </xf>
    <xf numFmtId="0" fontId="25" fillId="4" borderId="80" xfId="0" applyFont="1" applyFill="1" applyBorder="1" applyAlignment="1">
      <alignment horizontal="center"/>
    </xf>
    <xf numFmtId="0" fontId="24" fillId="4" borderId="73" xfId="0" applyFont="1" applyFill="1" applyBorder="1" applyAlignment="1">
      <alignment horizontal="center"/>
    </xf>
    <xf numFmtId="0" fontId="25" fillId="4" borderId="81" xfId="0" applyFont="1" applyFill="1" applyBorder="1" applyAlignment="1">
      <alignment horizontal="center"/>
    </xf>
    <xf numFmtId="0" fontId="24" fillId="4" borderId="72" xfId="0" applyFont="1" applyFill="1" applyBorder="1" applyAlignment="1">
      <alignment horizontal="center"/>
    </xf>
    <xf numFmtId="0" fontId="28" fillId="4" borderId="10" xfId="0" applyFont="1" applyFill="1" applyBorder="1" applyAlignment="1">
      <alignment horizontal="center"/>
    </xf>
    <xf numFmtId="0" fontId="25" fillId="4" borderId="14" xfId="0" applyFont="1" applyFill="1" applyBorder="1" applyAlignment="1">
      <alignment horizontal="center"/>
    </xf>
    <xf numFmtId="0" fontId="25" fillId="4" borderId="15" xfId="0" applyFont="1" applyFill="1" applyBorder="1" applyAlignment="1">
      <alignment horizontal="center"/>
    </xf>
    <xf numFmtId="0" fontId="25" fillId="4" borderId="102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4" fillId="4" borderId="0" xfId="0" applyFont="1" applyFill="1" applyBorder="1"/>
    <xf numFmtId="0" fontId="25" fillId="4" borderId="101" xfId="0" applyFont="1" applyFill="1" applyBorder="1" applyAlignment="1">
      <alignment horizontal="center"/>
    </xf>
    <xf numFmtId="9" fontId="4" fillId="4" borderId="0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1" fontId="25" fillId="4" borderId="0" xfId="0" applyNumberFormat="1" applyFont="1" applyFill="1" applyBorder="1" applyAlignment="1">
      <alignment horizontal="center"/>
    </xf>
    <xf numFmtId="1" fontId="25" fillId="4" borderId="30" xfId="0" applyNumberFormat="1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9" fontId="25" fillId="4" borderId="0" xfId="0" applyNumberFormat="1" applyFont="1" applyFill="1" applyBorder="1" applyAlignment="1">
      <alignment horizontal="center"/>
    </xf>
    <xf numFmtId="167" fontId="25" fillId="4" borderId="0" xfId="0" applyNumberFormat="1" applyFont="1" applyFill="1" applyBorder="1" applyAlignment="1">
      <alignment horizontal="center"/>
    </xf>
    <xf numFmtId="0" fontId="25" fillId="4" borderId="103" xfId="0" applyFont="1" applyFill="1" applyBorder="1" applyAlignment="1">
      <alignment horizontal="center"/>
    </xf>
    <xf numFmtId="167" fontId="25" fillId="4" borderId="30" xfId="0" applyNumberFormat="1" applyFont="1" applyFill="1" applyBorder="1" applyAlignment="1">
      <alignment horizontal="center"/>
    </xf>
    <xf numFmtId="0" fontId="0" fillId="4" borderId="74" xfId="0" applyFill="1" applyBorder="1"/>
    <xf numFmtId="0" fontId="25" fillId="4" borderId="104" xfId="0" applyFont="1" applyFill="1" applyBorder="1" applyAlignment="1">
      <alignment horizontal="center"/>
    </xf>
    <xf numFmtId="0" fontId="0" fillId="4" borderId="74" xfId="0" applyFill="1" applyBorder="1" applyAlignment="1">
      <alignment horizontal="center"/>
    </xf>
    <xf numFmtId="0" fontId="0" fillId="4" borderId="89" xfId="0" applyFill="1" applyBorder="1" applyAlignment="1">
      <alignment horizontal="center"/>
    </xf>
    <xf numFmtId="0" fontId="40" fillId="7" borderId="0" xfId="0" applyFont="1" applyFill="1" applyBorder="1"/>
    <xf numFmtId="0" fontId="40" fillId="7" borderId="0" xfId="0" applyFont="1" applyFill="1"/>
    <xf numFmtId="0" fontId="40" fillId="7" borderId="0" xfId="0" applyFont="1" applyFill="1" applyAlignment="1">
      <alignment horizontal="center"/>
    </xf>
    <xf numFmtId="0" fontId="40" fillId="7" borderId="0" xfId="0" applyFont="1" applyFill="1" applyBorder="1" applyAlignment="1">
      <alignment horizontal="center"/>
    </xf>
    <xf numFmtId="0" fontId="35" fillId="7" borderId="57" xfId="0" applyFont="1" applyFill="1" applyBorder="1" applyAlignment="1">
      <alignment horizontal="center"/>
    </xf>
    <xf numFmtId="0" fontId="41" fillId="7" borderId="57" xfId="0" applyFont="1" applyFill="1" applyBorder="1" applyAlignment="1">
      <alignment horizontal="left"/>
    </xf>
    <xf numFmtId="0" fontId="41" fillId="7" borderId="57" xfId="0" applyFont="1" applyFill="1" applyBorder="1" applyAlignment="1">
      <alignment horizontal="center"/>
    </xf>
    <xf numFmtId="0" fontId="35" fillId="7" borderId="57" xfId="0" applyFont="1" applyFill="1" applyBorder="1"/>
    <xf numFmtId="0" fontId="24" fillId="8" borderId="7" xfId="0" applyFont="1" applyFill="1" applyBorder="1"/>
    <xf numFmtId="0" fontId="24" fillId="8" borderId="55" xfId="0" applyFont="1" applyFill="1" applyBorder="1"/>
    <xf numFmtId="0" fontId="24" fillId="8" borderId="42" xfId="0" applyFont="1" applyFill="1" applyBorder="1"/>
    <xf numFmtId="0" fontId="24" fillId="8" borderId="11" xfId="0" applyFont="1" applyFill="1" applyBorder="1"/>
    <xf numFmtId="0" fontId="24" fillId="8" borderId="46" xfId="0" applyFont="1" applyFill="1" applyBorder="1"/>
    <xf numFmtId="0" fontId="24" fillId="8" borderId="0" xfId="0" applyFont="1" applyFill="1" applyBorder="1"/>
    <xf numFmtId="0" fontId="24" fillId="8" borderId="21" xfId="0" applyFont="1" applyFill="1" applyBorder="1"/>
    <xf numFmtId="0" fontId="24" fillId="8" borderId="43" xfId="0" applyFont="1" applyFill="1" applyBorder="1"/>
    <xf numFmtId="0" fontId="24" fillId="8" borderId="24" xfId="0" applyFont="1" applyFill="1" applyBorder="1"/>
    <xf numFmtId="0" fontId="25" fillId="8" borderId="21" xfId="0" applyFont="1" applyFill="1" applyBorder="1"/>
    <xf numFmtId="0" fontId="25" fillId="8" borderId="44" xfId="0" applyFont="1" applyFill="1" applyBorder="1"/>
    <xf numFmtId="0" fontId="25" fillId="8" borderId="1" xfId="0" applyFont="1" applyFill="1" applyBorder="1"/>
    <xf numFmtId="0" fontId="25" fillId="8" borderId="45" xfId="0" applyFont="1" applyFill="1" applyBorder="1"/>
    <xf numFmtId="0" fontId="25" fillId="8" borderId="6" xfId="0" applyFont="1" applyFill="1" applyBorder="1"/>
    <xf numFmtId="0" fontId="24" fillId="8" borderId="47" xfId="0" applyFont="1" applyFill="1" applyBorder="1"/>
    <xf numFmtId="0" fontId="24" fillId="8" borderId="48" xfId="0" applyFont="1" applyFill="1" applyBorder="1"/>
    <xf numFmtId="0" fontId="25" fillId="8" borderId="11" xfId="0" applyFont="1" applyFill="1" applyBorder="1"/>
    <xf numFmtId="0" fontId="25" fillId="8" borderId="49" xfId="0" applyFont="1" applyFill="1" applyBorder="1"/>
    <xf numFmtId="0" fontId="25" fillId="8" borderId="23" xfId="0" applyFont="1" applyFill="1" applyBorder="1"/>
    <xf numFmtId="0" fontId="24" fillId="8" borderId="54" xfId="0" applyFont="1" applyFill="1" applyBorder="1"/>
    <xf numFmtId="0" fontId="24" fillId="8" borderId="51" xfId="0" applyFont="1" applyFill="1" applyBorder="1"/>
    <xf numFmtId="0" fontId="24" fillId="8" borderId="50" xfId="0" applyFont="1" applyFill="1" applyBorder="1"/>
    <xf numFmtId="0" fontId="24" fillId="8" borderId="52" xfId="0" applyFont="1" applyFill="1" applyBorder="1"/>
    <xf numFmtId="0" fontId="24" fillId="8" borderId="53" xfId="0" applyFont="1" applyFill="1" applyBorder="1"/>
    <xf numFmtId="0" fontId="28" fillId="8" borderId="9" xfId="0" applyFont="1" applyFill="1" applyBorder="1"/>
    <xf numFmtId="0" fontId="28" fillId="8" borderId="30" xfId="0" applyFont="1" applyFill="1" applyBorder="1"/>
    <xf numFmtId="0" fontId="25" fillId="8" borderId="7" xfId="0" applyFont="1" applyFill="1" applyBorder="1"/>
    <xf numFmtId="0" fontId="25" fillId="8" borderId="56" xfId="0" applyFont="1" applyFill="1" applyBorder="1"/>
    <xf numFmtId="0" fontId="25" fillId="8" borderId="14" xfId="0" applyFont="1" applyFill="1" applyBorder="1"/>
    <xf numFmtId="0" fontId="4" fillId="8" borderId="7" xfId="0" applyFont="1" applyFill="1" applyBorder="1"/>
    <xf numFmtId="0" fontId="4" fillId="8" borderId="42" xfId="0" applyFont="1" applyFill="1" applyBorder="1"/>
    <xf numFmtId="0" fontId="4" fillId="8" borderId="11" xfId="0" applyFont="1" applyFill="1" applyBorder="1"/>
    <xf numFmtId="0" fontId="4" fillId="8" borderId="0" xfId="0" applyFont="1" applyFill="1" applyBorder="1"/>
    <xf numFmtId="0" fontId="4" fillId="8" borderId="11" xfId="7" applyFont="1" applyFill="1" applyBorder="1"/>
    <xf numFmtId="0" fontId="4" fillId="8" borderId="0" xfId="7" applyFont="1" applyFill="1" applyBorder="1"/>
    <xf numFmtId="0" fontId="4" fillId="8" borderId="9" xfId="7" applyFont="1" applyFill="1" applyBorder="1"/>
    <xf numFmtId="0" fontId="4" fillId="8" borderId="30" xfId="7" applyFont="1" applyFill="1" applyBorder="1"/>
    <xf numFmtId="0" fontId="0" fillId="8" borderId="87" xfId="0" applyFill="1" applyBorder="1"/>
    <xf numFmtId="0" fontId="0" fillId="8" borderId="74" xfId="0" applyFill="1" applyBorder="1"/>
    <xf numFmtId="0" fontId="0" fillId="8" borderId="0" xfId="0" applyFill="1" applyBorder="1"/>
    <xf numFmtId="0" fontId="0" fillId="8" borderId="42" xfId="0" applyFill="1" applyBorder="1"/>
    <xf numFmtId="0" fontId="4" fillId="8" borderId="9" xfId="0" applyFont="1" applyFill="1" applyBorder="1" applyAlignment="1">
      <alignment horizontal="left"/>
    </xf>
    <xf numFmtId="0" fontId="4" fillId="8" borderId="30" xfId="0" applyFont="1" applyFill="1" applyBorder="1" applyAlignment="1">
      <alignment horizontal="left"/>
    </xf>
    <xf numFmtId="0" fontId="0" fillId="8" borderId="30" xfId="0" applyFill="1" applyBorder="1"/>
    <xf numFmtId="0" fontId="31" fillId="8" borderId="7" xfId="0" applyFont="1" applyFill="1" applyBorder="1"/>
    <xf numFmtId="0" fontId="0" fillId="8" borderId="11" xfId="0" applyFill="1" applyBorder="1"/>
    <xf numFmtId="0" fontId="0" fillId="8" borderId="9" xfId="0" applyFill="1" applyBorder="1"/>
    <xf numFmtId="0" fontId="35" fillId="4" borderId="0" xfId="0" applyFont="1" applyFill="1"/>
    <xf numFmtId="0" fontId="35" fillId="4" borderId="0" xfId="0" applyFont="1" applyFill="1" applyAlignment="1">
      <alignment horizontal="center"/>
    </xf>
    <xf numFmtId="0" fontId="31" fillId="4" borderId="0" xfId="0" applyFont="1" applyFill="1"/>
    <xf numFmtId="0" fontId="31" fillId="4" borderId="0" xfId="0" applyFont="1" applyFill="1" applyAlignment="1">
      <alignment horizontal="center"/>
    </xf>
    <xf numFmtId="0" fontId="0" fillId="4" borderId="59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27" fillId="4" borderId="0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0" fontId="24" fillId="4" borderId="0" xfId="0" applyFont="1" applyFill="1"/>
    <xf numFmtId="0" fontId="25" fillId="4" borderId="0" xfId="0" applyFont="1" applyFill="1"/>
    <xf numFmtId="0" fontId="28" fillId="4" borderId="0" xfId="0" applyFont="1" applyFill="1"/>
    <xf numFmtId="0" fontId="28" fillId="4" borderId="74" xfId="0" applyFont="1" applyFill="1" applyBorder="1"/>
    <xf numFmtId="0" fontId="28" fillId="4" borderId="0" xfId="0" applyFont="1" applyFill="1" applyBorder="1"/>
    <xf numFmtId="0" fontId="28" fillId="4" borderId="74" xfId="0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0" fontId="25" fillId="4" borderId="0" xfId="0" applyFont="1" applyFill="1" applyAlignment="1">
      <alignment horizontal="center"/>
    </xf>
    <xf numFmtId="167" fontId="25" fillId="4" borderId="42" xfId="0" applyNumberFormat="1" applyFont="1" applyFill="1" applyBorder="1" applyAlignment="1">
      <alignment horizontal="center"/>
    </xf>
    <xf numFmtId="0" fontId="35" fillId="7" borderId="0" xfId="0" applyFont="1" applyFill="1"/>
    <xf numFmtId="0" fontId="35" fillId="7" borderId="0" xfId="0" applyFont="1" applyFill="1" applyAlignment="1">
      <alignment horizontal="center"/>
    </xf>
    <xf numFmtId="0" fontId="41" fillId="7" borderId="0" xfId="0" applyFont="1" applyFill="1" applyAlignment="1">
      <alignment horizontal="center"/>
    </xf>
    <xf numFmtId="0" fontId="41" fillId="7" borderId="0" xfId="0" applyFont="1" applyFill="1"/>
    <xf numFmtId="0" fontId="43" fillId="7" borderId="57" xfId="0" applyFont="1" applyFill="1" applyBorder="1" applyAlignment="1">
      <alignment horizontal="center"/>
    </xf>
    <xf numFmtId="0" fontId="25" fillId="8" borderId="46" xfId="0" applyFont="1" applyFill="1" applyBorder="1"/>
    <xf numFmtId="0" fontId="25" fillId="8" borderId="0" xfId="0" applyFont="1" applyFill="1" applyBorder="1"/>
    <xf numFmtId="0" fontId="28" fillId="8" borderId="11" xfId="0" applyFont="1" applyFill="1" applyBorder="1"/>
    <xf numFmtId="0" fontId="28" fillId="8" borderId="0" xfId="0" applyFont="1" applyFill="1" applyBorder="1"/>
    <xf numFmtId="0" fontId="24" fillId="4" borderId="77" xfId="0" applyFont="1" applyFill="1" applyBorder="1" applyAlignment="1">
      <alignment horizontal="center"/>
    </xf>
    <xf numFmtId="0" fontId="25" fillId="4" borderId="42" xfId="0" applyNumberFormat="1" applyFont="1" applyFill="1" applyBorder="1" applyAlignment="1">
      <alignment horizontal="center"/>
    </xf>
    <xf numFmtId="0" fontId="24" fillId="4" borderId="75" xfId="0" applyFont="1" applyFill="1" applyBorder="1" applyAlignment="1">
      <alignment horizontal="center"/>
    </xf>
    <xf numFmtId="0" fontId="25" fillId="4" borderId="0" xfId="0" applyNumberFormat="1" applyFont="1" applyFill="1" applyBorder="1" applyAlignment="1">
      <alignment horizontal="center"/>
    </xf>
    <xf numFmtId="0" fontId="24" fillId="4" borderId="71" xfId="0" applyFont="1" applyFill="1" applyBorder="1" applyAlignment="1">
      <alignment horizontal="center"/>
    </xf>
    <xf numFmtId="0" fontId="25" fillId="4" borderId="24" xfId="0" applyNumberFormat="1" applyFont="1" applyFill="1" applyBorder="1" applyAlignment="1">
      <alignment horizontal="center"/>
    </xf>
    <xf numFmtId="0" fontId="25" fillId="4" borderId="76" xfId="0" applyFont="1" applyFill="1" applyBorder="1" applyAlignment="1">
      <alignment horizontal="center"/>
    </xf>
    <xf numFmtId="0" fontId="25" fillId="4" borderId="23" xfId="0" applyNumberFormat="1" applyFont="1" applyFill="1" applyBorder="1" applyAlignment="1">
      <alignment horizontal="center"/>
    </xf>
    <xf numFmtId="0" fontId="25" fillId="4" borderId="1" xfId="0" applyNumberFormat="1" applyFont="1" applyFill="1" applyBorder="1" applyAlignment="1">
      <alignment horizontal="center"/>
    </xf>
    <xf numFmtId="0" fontId="25" fillId="4" borderId="79" xfId="0" applyFont="1" applyFill="1" applyBorder="1" applyAlignment="1">
      <alignment horizontal="center"/>
    </xf>
    <xf numFmtId="0" fontId="25" fillId="4" borderId="6" xfId="0" applyNumberFormat="1" applyFont="1" applyFill="1" applyBorder="1" applyAlignment="1">
      <alignment horizontal="center"/>
    </xf>
    <xf numFmtId="0" fontId="0" fillId="4" borderId="16" xfId="0" applyFill="1" applyBorder="1" applyAlignment="1">
      <alignment horizontal="center" vertical="center"/>
    </xf>
    <xf numFmtId="0" fontId="25" fillId="4" borderId="75" xfId="0" applyFont="1" applyFill="1" applyBorder="1" applyAlignment="1">
      <alignment horizontal="center"/>
    </xf>
    <xf numFmtId="0" fontId="28" fillId="4" borderId="30" xfId="0" applyFont="1" applyFill="1" applyBorder="1" applyAlignment="1">
      <alignment horizontal="center"/>
    </xf>
    <xf numFmtId="0" fontId="25" fillId="4" borderId="30" xfId="0" applyNumberFormat="1" applyFont="1" applyFill="1" applyBorder="1" applyAlignment="1">
      <alignment horizontal="center"/>
    </xf>
    <xf numFmtId="0" fontId="24" fillId="4" borderId="7" xfId="0" applyFont="1" applyFill="1" applyBorder="1" applyAlignment="1">
      <alignment horizontal="center"/>
    </xf>
    <xf numFmtId="0" fontId="24" fillId="4" borderId="42" xfId="0" applyFont="1" applyFill="1" applyBorder="1" applyAlignment="1">
      <alignment horizontal="center"/>
    </xf>
    <xf numFmtId="0" fontId="24" fillId="4" borderId="11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25" fillId="4" borderId="11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0" fontId="28" fillId="4" borderId="11" xfId="0" applyFont="1" applyFill="1" applyBorder="1" applyAlignment="1">
      <alignment horizontal="center"/>
    </xf>
    <xf numFmtId="0" fontId="28" fillId="4" borderId="12" xfId="0" applyFont="1" applyFill="1" applyBorder="1" applyAlignment="1">
      <alignment horizontal="center"/>
    </xf>
    <xf numFmtId="0" fontId="28" fillId="4" borderId="9" xfId="0" applyFont="1" applyFill="1" applyBorder="1" applyAlignment="1">
      <alignment horizontal="center"/>
    </xf>
    <xf numFmtId="0" fontId="24" fillId="4" borderId="7" xfId="0" applyNumberFormat="1" applyFont="1" applyFill="1" applyBorder="1" applyAlignment="1">
      <alignment horizontal="center"/>
    </xf>
    <xf numFmtId="0" fontId="24" fillId="4" borderId="42" xfId="0" applyNumberFormat="1" applyFont="1" applyFill="1" applyBorder="1" applyAlignment="1">
      <alignment horizontal="center"/>
    </xf>
    <xf numFmtId="0" fontId="24" fillId="4" borderId="8" xfId="0" applyNumberFormat="1" applyFont="1" applyFill="1" applyBorder="1" applyAlignment="1">
      <alignment horizontal="center"/>
    </xf>
    <xf numFmtId="0" fontId="24" fillId="4" borderId="11" xfId="0" applyNumberFormat="1" applyFont="1" applyFill="1" applyBorder="1" applyAlignment="1">
      <alignment horizontal="center"/>
    </xf>
    <xf numFmtId="0" fontId="24" fillId="4" borderId="0" xfId="0" applyNumberFormat="1" applyFont="1" applyFill="1" applyBorder="1" applyAlignment="1">
      <alignment horizontal="center"/>
    </xf>
    <xf numFmtId="0" fontId="24" fillId="4" borderId="12" xfId="0" applyNumberFormat="1" applyFont="1" applyFill="1" applyBorder="1" applyAlignment="1">
      <alignment horizontal="center"/>
    </xf>
    <xf numFmtId="0" fontId="28" fillId="4" borderId="78" xfId="0" applyFont="1" applyFill="1" applyBorder="1"/>
    <xf numFmtId="0" fontId="28" fillId="4" borderId="6" xfId="0" applyFont="1" applyFill="1" applyBorder="1"/>
    <xf numFmtId="0" fontId="28" fillId="4" borderId="16" xfId="0" applyFont="1" applyFill="1" applyBorder="1"/>
    <xf numFmtId="0" fontId="24" fillId="4" borderId="9" xfId="0" applyFont="1" applyFill="1" applyBorder="1" applyAlignment="1">
      <alignment horizontal="center"/>
    </xf>
    <xf numFmtId="0" fontId="24" fillId="4" borderId="30" xfId="0" applyFont="1" applyFill="1" applyBorder="1" applyAlignment="1">
      <alignment horizontal="center"/>
    </xf>
    <xf numFmtId="0" fontId="24" fillId="4" borderId="10" xfId="0" applyFont="1" applyFill="1" applyBorder="1" applyAlignment="1">
      <alignment horizontal="center"/>
    </xf>
    <xf numFmtId="0" fontId="28" fillId="4" borderId="42" xfId="0" applyFont="1" applyFill="1" applyBorder="1"/>
    <xf numFmtId="0" fontId="28" fillId="4" borderId="11" xfId="0" applyFont="1" applyFill="1" applyBorder="1"/>
    <xf numFmtId="0" fontId="28" fillId="4" borderId="12" xfId="0" applyFont="1" applyFill="1" applyBorder="1"/>
    <xf numFmtId="0" fontId="28" fillId="4" borderId="10" xfId="0" applyFont="1" applyFill="1" applyBorder="1"/>
    <xf numFmtId="0" fontId="24" fillId="4" borderId="9" xfId="0" applyNumberFormat="1" applyFont="1" applyFill="1" applyBorder="1" applyAlignment="1">
      <alignment horizontal="center"/>
    </xf>
    <xf numFmtId="0" fontId="24" fillId="4" borderId="30" xfId="0" applyNumberFormat="1" applyFont="1" applyFill="1" applyBorder="1" applyAlignment="1">
      <alignment horizontal="center"/>
    </xf>
    <xf numFmtId="0" fontId="24" fillId="4" borderId="10" xfId="0" applyNumberFormat="1" applyFont="1" applyFill="1" applyBorder="1" applyAlignment="1">
      <alignment horizontal="center"/>
    </xf>
    <xf numFmtId="9" fontId="0" fillId="4" borderId="90" xfId="0" applyNumberFormat="1" applyFill="1" applyBorder="1"/>
    <xf numFmtId="9" fontId="0" fillId="4" borderId="74" xfId="0" applyNumberFormat="1" applyFill="1" applyBorder="1"/>
    <xf numFmtId="9" fontId="0" fillId="4" borderId="89" xfId="0" applyNumberFormat="1" applyFill="1" applyBorder="1"/>
    <xf numFmtId="9" fontId="0" fillId="4" borderId="87" xfId="8" applyNumberFormat="1" applyFont="1" applyFill="1" applyBorder="1"/>
    <xf numFmtId="9" fontId="0" fillId="4" borderId="74" xfId="8" applyFont="1" applyFill="1" applyBorder="1"/>
    <xf numFmtId="9" fontId="0" fillId="4" borderId="89" xfId="8" applyFont="1" applyFill="1" applyBorder="1"/>
    <xf numFmtId="0" fontId="28" fillId="8" borderId="42" xfId="0" applyFont="1" applyFill="1" applyBorder="1"/>
    <xf numFmtId="0" fontId="28" fillId="8" borderId="87" xfId="0" applyFont="1" applyFill="1" applyBorder="1"/>
    <xf numFmtId="1" fontId="28" fillId="4" borderId="42" xfId="0" applyNumberFormat="1" applyFont="1" applyFill="1" applyBorder="1" applyAlignment="1">
      <alignment horizontal="center"/>
    </xf>
    <xf numFmtId="0" fontId="28" fillId="4" borderId="8" xfId="0" applyFont="1" applyFill="1" applyBorder="1" applyAlignment="1">
      <alignment horizontal="center"/>
    </xf>
    <xf numFmtId="1" fontId="28" fillId="4" borderId="0" xfId="0" applyNumberFormat="1" applyFont="1" applyFill="1" applyBorder="1" applyAlignment="1">
      <alignment horizontal="center"/>
    </xf>
    <xf numFmtId="0" fontId="28" fillId="4" borderId="74" xfId="0" applyFont="1" applyFill="1" applyBorder="1" applyAlignment="1">
      <alignment horizontal="right"/>
    </xf>
    <xf numFmtId="0" fontId="28" fillId="4" borderId="42" xfId="0" applyFont="1" applyFill="1" applyBorder="1" applyAlignment="1">
      <alignment horizontal="center"/>
    </xf>
    <xf numFmtId="174" fontId="28" fillId="4" borderId="0" xfId="0" applyNumberFormat="1" applyFont="1" applyFill="1" applyBorder="1" applyAlignment="1">
      <alignment horizontal="center"/>
    </xf>
    <xf numFmtId="174" fontId="25" fillId="4" borderId="0" xfId="0" quotePrefix="1" applyNumberFormat="1" applyFont="1" applyFill="1" applyBorder="1" applyAlignment="1">
      <alignment horizontal="center"/>
    </xf>
    <xf numFmtId="1" fontId="25" fillId="4" borderId="14" xfId="0" applyNumberFormat="1" applyFont="1" applyFill="1" applyBorder="1" applyAlignment="1">
      <alignment horizontal="center"/>
    </xf>
    <xf numFmtId="1" fontId="25" fillId="4" borderId="1" xfId="0" applyNumberFormat="1" applyFont="1" applyFill="1" applyBorder="1" applyAlignment="1">
      <alignment horizontal="center"/>
    </xf>
    <xf numFmtId="1" fontId="25" fillId="4" borderId="42" xfId="0" applyNumberFormat="1" applyFont="1" applyFill="1" applyBorder="1" applyAlignment="1">
      <alignment horizontal="center"/>
    </xf>
    <xf numFmtId="9" fontId="4" fillId="4" borderId="0" xfId="8" applyFont="1" applyFill="1" applyBorder="1" applyAlignment="1">
      <alignment horizontal="center"/>
    </xf>
    <xf numFmtId="0" fontId="4" fillId="4" borderId="0" xfId="8" applyNumberFormat="1" applyFont="1" applyFill="1" applyBorder="1" applyAlignment="1">
      <alignment horizontal="center"/>
    </xf>
    <xf numFmtId="1" fontId="4" fillId="4" borderId="0" xfId="8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1" fontId="4" fillId="4" borderId="12" xfId="0" applyNumberFormat="1" applyFont="1" applyFill="1" applyBorder="1" applyAlignment="1">
      <alignment horizontal="center"/>
    </xf>
    <xf numFmtId="1" fontId="4" fillId="4" borderId="12" xfId="8" applyNumberFormat="1" applyFont="1" applyFill="1" applyBorder="1" applyAlignment="1">
      <alignment horizontal="center"/>
    </xf>
    <xf numFmtId="1" fontId="4" fillId="4" borderId="85" xfId="0" applyNumberFormat="1" applyFont="1" applyFill="1" applyBorder="1" applyAlignment="1">
      <alignment horizontal="center"/>
    </xf>
    <xf numFmtId="174" fontId="4" fillId="4" borderId="12" xfId="0" applyNumberFormat="1" applyFont="1" applyFill="1" applyBorder="1" applyAlignment="1">
      <alignment horizontal="center"/>
    </xf>
    <xf numFmtId="169" fontId="4" fillId="4" borderId="58" xfId="0" applyNumberFormat="1" applyFont="1" applyFill="1" applyBorder="1" applyAlignment="1">
      <alignment horizontal="center"/>
    </xf>
    <xf numFmtId="0" fontId="4" fillId="4" borderId="58" xfId="8" applyNumberFormat="1" applyFont="1" applyFill="1" applyBorder="1" applyAlignment="1">
      <alignment horizontal="center"/>
    </xf>
    <xf numFmtId="169" fontId="4" fillId="4" borderId="12" xfId="0" applyNumberFormat="1" applyFont="1" applyFill="1" applyBorder="1" applyAlignment="1">
      <alignment horizontal="center"/>
    </xf>
    <xf numFmtId="9" fontId="2" fillId="4" borderId="58" xfId="8" applyFill="1" applyBorder="1" applyAlignment="1">
      <alignment horizontal="center"/>
    </xf>
    <xf numFmtId="167" fontId="0" fillId="4" borderId="85" xfId="0" applyNumberFormat="1" applyFill="1" applyBorder="1" applyAlignment="1">
      <alignment horizontal="center"/>
    </xf>
    <xf numFmtId="167" fontId="0" fillId="4" borderId="12" xfId="0" applyNumberFormat="1" applyFill="1" applyBorder="1" applyAlignment="1">
      <alignment horizontal="center"/>
    </xf>
    <xf numFmtId="167" fontId="4" fillId="4" borderId="12" xfId="8" applyNumberFormat="1" applyFont="1" applyFill="1" applyBorder="1" applyAlignment="1">
      <alignment horizontal="center"/>
    </xf>
    <xf numFmtId="9" fontId="4" fillId="4" borderId="12" xfId="8" applyFont="1" applyFill="1" applyBorder="1" applyAlignment="1">
      <alignment horizontal="center"/>
    </xf>
    <xf numFmtId="9" fontId="4" fillId="4" borderId="12" xfId="8" applyNumberFormat="1" applyFont="1" applyFill="1" applyBorder="1" applyAlignment="1">
      <alignment horizontal="center"/>
    </xf>
    <xf numFmtId="167" fontId="4" fillId="4" borderId="58" xfId="8" applyNumberFormat="1" applyFont="1" applyFill="1" applyBorder="1" applyAlignment="1">
      <alignment horizontal="center"/>
    </xf>
    <xf numFmtId="1" fontId="4" fillId="4" borderId="58" xfId="0" applyNumberFormat="1" applyFont="1" applyFill="1" applyBorder="1" applyAlignment="1">
      <alignment horizontal="center"/>
    </xf>
    <xf numFmtId="1" fontId="4" fillId="4" borderId="10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/>
    </xf>
    <xf numFmtId="0" fontId="24" fillId="4" borderId="12" xfId="0" applyFont="1" applyFill="1" applyBorder="1"/>
    <xf numFmtId="3" fontId="24" fillId="4" borderId="0" xfId="0" applyNumberFormat="1" applyFont="1" applyFill="1" applyBorder="1"/>
    <xf numFmtId="9" fontId="45" fillId="4" borderId="11" xfId="8" applyFont="1" applyFill="1" applyBorder="1" applyAlignment="1">
      <alignment horizontal="center"/>
    </xf>
    <xf numFmtId="9" fontId="45" fillId="4" borderId="0" xfId="8" applyFont="1" applyFill="1" applyBorder="1" applyAlignment="1">
      <alignment horizontal="center"/>
    </xf>
    <xf numFmtId="9" fontId="45" fillId="4" borderId="12" xfId="8" applyFont="1" applyFill="1" applyBorder="1" applyAlignment="1">
      <alignment horizontal="center"/>
    </xf>
    <xf numFmtId="167" fontId="45" fillId="4" borderId="11" xfId="8" applyNumberFormat="1" applyFont="1" applyFill="1" applyBorder="1" applyAlignment="1">
      <alignment horizontal="center"/>
    </xf>
    <xf numFmtId="167" fontId="45" fillId="4" borderId="0" xfId="8" applyNumberFormat="1" applyFont="1" applyFill="1" applyBorder="1" applyAlignment="1">
      <alignment horizontal="center"/>
    </xf>
    <xf numFmtId="167" fontId="45" fillId="4" borderId="12" xfId="8" applyNumberFormat="1" applyFont="1" applyFill="1" applyBorder="1" applyAlignment="1">
      <alignment horizontal="center"/>
    </xf>
    <xf numFmtId="0" fontId="24" fillId="4" borderId="9" xfId="0" applyFont="1" applyFill="1" applyBorder="1"/>
    <xf numFmtId="0" fontId="24" fillId="4" borderId="30" xfId="0" applyFont="1" applyFill="1" applyBorder="1"/>
    <xf numFmtId="0" fontId="24" fillId="4" borderId="10" xfId="0" applyFont="1" applyFill="1" applyBorder="1"/>
    <xf numFmtId="0" fontId="0" fillId="4" borderId="57" xfId="0" applyFill="1" applyBorder="1"/>
    <xf numFmtId="0" fontId="5" fillId="4" borderId="30" xfId="0" applyFont="1" applyFill="1" applyBorder="1"/>
    <xf numFmtId="0" fontId="5" fillId="4" borderId="30" xfId="0" applyFont="1" applyFill="1" applyBorder="1" applyAlignment="1">
      <alignment horizontal="left"/>
    </xf>
    <xf numFmtId="0" fontId="5" fillId="4" borderId="30" xfId="0" applyFont="1" applyFill="1" applyBorder="1" applyAlignment="1">
      <alignment horizontal="center"/>
    </xf>
    <xf numFmtId="0" fontId="0" fillId="4" borderId="30" xfId="0" applyFill="1" applyBorder="1" applyAlignment="1">
      <alignment horizontal="center" wrapText="1"/>
    </xf>
    <xf numFmtId="0" fontId="30" fillId="4" borderId="30" xfId="0" applyFont="1" applyFill="1" applyBorder="1" applyAlignment="1">
      <alignment horizontal="center"/>
    </xf>
    <xf numFmtId="0" fontId="35" fillId="7" borderId="0" xfId="0" applyFont="1" applyFill="1" applyBorder="1"/>
    <xf numFmtId="0" fontId="35" fillId="7" borderId="0" xfId="0" applyFont="1" applyFill="1" applyBorder="1" applyAlignment="1">
      <alignment horizontal="center"/>
    </xf>
    <xf numFmtId="0" fontId="41" fillId="7" borderId="0" xfId="0" applyFont="1" applyFill="1" applyBorder="1"/>
    <xf numFmtId="0" fontId="41" fillId="7" borderId="57" xfId="0" applyFont="1" applyFill="1" applyBorder="1"/>
    <xf numFmtId="9" fontId="3" fillId="4" borderId="85" xfId="0" applyNumberFormat="1" applyFont="1" applyFill="1" applyBorder="1" applyAlignment="1">
      <alignment horizontal="center"/>
    </xf>
    <xf numFmtId="9" fontId="4" fillId="4" borderId="12" xfId="0" applyNumberFormat="1" applyFont="1" applyFill="1" applyBorder="1" applyAlignment="1">
      <alignment horizontal="center"/>
    </xf>
    <xf numFmtId="3" fontId="4" fillId="4" borderId="12" xfId="0" applyNumberFormat="1" applyFont="1" applyFill="1" applyBorder="1" applyAlignment="1">
      <alignment horizontal="center"/>
    </xf>
    <xf numFmtId="9" fontId="0" fillId="4" borderId="107" xfId="0" applyNumberForma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08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28" fillId="4" borderId="111" xfId="0" applyNumberFormat="1" applyFont="1" applyFill="1" applyBorder="1" applyAlignment="1">
      <alignment horizontal="center"/>
    </xf>
    <xf numFmtId="3" fontId="6" fillId="2" borderId="109" xfId="0" applyNumberFormat="1" applyFont="1" applyFill="1" applyBorder="1" applyAlignment="1">
      <alignment horizontal="center"/>
    </xf>
    <xf numFmtId="3" fontId="6" fillId="2" borderId="110" xfId="0" applyNumberFormat="1" applyFont="1" applyFill="1" applyBorder="1" applyAlignment="1">
      <alignment horizontal="center"/>
    </xf>
    <xf numFmtId="3" fontId="4" fillId="2" borderId="23" xfId="0" applyNumberFormat="1" applyFont="1" applyFill="1" applyBorder="1"/>
    <xf numFmtId="3" fontId="4" fillId="2" borderId="110" xfId="0" applyNumberFormat="1" applyFont="1" applyFill="1" applyBorder="1" applyAlignment="1">
      <alignment horizontal="center"/>
    </xf>
    <xf numFmtId="3" fontId="4" fillId="0" borderId="0" xfId="0" applyNumberFormat="1" applyFont="1" applyBorder="1"/>
    <xf numFmtId="0" fontId="15" fillId="4" borderId="0" xfId="0" applyFont="1" applyFill="1" applyAlignment="1">
      <alignment horizontal="right"/>
    </xf>
    <xf numFmtId="0" fontId="15" fillId="4" borderId="0" xfId="0" applyFont="1" applyFill="1"/>
    <xf numFmtId="0" fontId="15" fillId="4" borderId="0" xfId="0" applyFont="1" applyFill="1" applyBorder="1"/>
    <xf numFmtId="0" fontId="7" fillId="8" borderId="9" xfId="0" applyFont="1" applyFill="1" applyBorder="1"/>
    <xf numFmtId="0" fontId="7" fillId="8" borderId="7" xfId="0" applyFont="1" applyFill="1" applyBorder="1"/>
    <xf numFmtId="0" fontId="41" fillId="3" borderId="114" xfId="0" applyFont="1" applyFill="1" applyBorder="1" applyAlignment="1">
      <alignment horizontal="center" vertical="center" wrapText="1"/>
    </xf>
    <xf numFmtId="0" fontId="41" fillId="10" borderId="87" xfId="0" applyFont="1" applyFill="1" applyBorder="1"/>
    <xf numFmtId="0" fontId="41" fillId="10" borderId="74" xfId="0" applyFont="1" applyFill="1" applyBorder="1"/>
    <xf numFmtId="174" fontId="41" fillId="10" borderId="74" xfId="0" applyNumberFormat="1" applyFont="1" applyFill="1" applyBorder="1" applyAlignment="1">
      <alignment horizontal="center"/>
    </xf>
    <xf numFmtId="0" fontId="41" fillId="10" borderId="89" xfId="0" applyFont="1" applyFill="1" applyBorder="1"/>
    <xf numFmtId="174" fontId="32" fillId="10" borderId="117" xfId="0" applyNumberFormat="1" applyFont="1" applyFill="1" applyBorder="1" applyAlignment="1">
      <alignment horizontal="center"/>
    </xf>
    <xf numFmtId="0" fontId="47" fillId="0" borderId="0" xfId="9" applyFont="1" applyBorder="1" applyAlignment="1">
      <alignment vertical="center"/>
    </xf>
    <xf numFmtId="0" fontId="47" fillId="0" borderId="0" xfId="9" applyFont="1" applyBorder="1" applyAlignment="1">
      <alignment horizontal="left" vertical="center"/>
    </xf>
    <xf numFmtId="0" fontId="49" fillId="0" borderId="0" xfId="9" applyFont="1" applyBorder="1" applyAlignment="1">
      <alignment horizontal="left" vertical="center"/>
    </xf>
    <xf numFmtId="0" fontId="49" fillId="0" borderId="0" xfId="9" applyFont="1" applyBorder="1"/>
    <xf numFmtId="0" fontId="41" fillId="0" borderId="0" xfId="0" applyFont="1" applyFill="1" applyBorder="1" applyAlignment="1">
      <alignment horizontal="center"/>
    </xf>
    <xf numFmtId="0" fontId="0" fillId="0" borderId="0" xfId="0" applyFill="1"/>
    <xf numFmtId="0" fontId="24" fillId="0" borderId="0" xfId="0" applyFont="1" applyFill="1"/>
    <xf numFmtId="164" fontId="24" fillId="0" borderId="0" xfId="28" applyFont="1"/>
    <xf numFmtId="0" fontId="35" fillId="14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44" fillId="15" borderId="115" xfId="0" applyFont="1" applyFill="1" applyBorder="1" applyAlignment="1">
      <alignment horizontal="center" vertical="center" wrapText="1"/>
    </xf>
    <xf numFmtId="0" fontId="34" fillId="15" borderId="116" xfId="0" applyFont="1" applyFill="1" applyBorder="1"/>
    <xf numFmtId="0" fontId="34" fillId="15" borderId="74" xfId="0" applyFont="1" applyFill="1" applyBorder="1" applyAlignment="1">
      <alignment horizontal="center"/>
    </xf>
    <xf numFmtId="0" fontId="4" fillId="15" borderId="0" xfId="0" applyFont="1" applyFill="1" applyBorder="1"/>
    <xf numFmtId="0" fontId="4" fillId="15" borderId="0" xfId="0" applyFont="1" applyFill="1" applyBorder="1" applyAlignment="1">
      <alignment horizontal="center"/>
    </xf>
    <xf numFmtId="0" fontId="0" fillId="15" borderId="0" xfId="0" applyFill="1" applyAlignment="1">
      <alignment horizontal="center"/>
    </xf>
    <xf numFmtId="0" fontId="4" fillId="15" borderId="48" xfId="0" applyFont="1" applyFill="1" applyBorder="1"/>
    <xf numFmtId="0" fontId="4" fillId="15" borderId="48" xfId="0" applyFont="1" applyFill="1" applyBorder="1" applyAlignment="1">
      <alignment horizontal="center"/>
    </xf>
    <xf numFmtId="0" fontId="4" fillId="15" borderId="84" xfId="0" applyFont="1" applyFill="1" applyBorder="1"/>
    <xf numFmtId="0" fontId="4" fillId="15" borderId="82" xfId="0" applyFont="1" applyFill="1" applyBorder="1"/>
    <xf numFmtId="0" fontId="4" fillId="15" borderId="1" xfId="0" applyFont="1" applyFill="1" applyBorder="1" applyAlignment="1">
      <alignment horizontal="center"/>
    </xf>
    <xf numFmtId="0" fontId="4" fillId="15" borderId="1" xfId="0" applyFont="1" applyFill="1" applyBorder="1"/>
    <xf numFmtId="0" fontId="0" fillId="15" borderId="48" xfId="0" applyFill="1" applyBorder="1"/>
    <xf numFmtId="0" fontId="0" fillId="15" borderId="0" xfId="0" applyFill="1" applyBorder="1"/>
    <xf numFmtId="0" fontId="0" fillId="15" borderId="0" xfId="0" applyFill="1" applyBorder="1" applyAlignment="1">
      <alignment horizontal="center"/>
    </xf>
    <xf numFmtId="0" fontId="4" fillId="15" borderId="0" xfId="7" applyFont="1" applyFill="1" applyBorder="1"/>
    <xf numFmtId="0" fontId="4" fillId="15" borderId="1" xfId="0" applyFont="1" applyFill="1" applyBorder="1" applyAlignment="1">
      <alignment horizontal="left"/>
    </xf>
    <xf numFmtId="0" fontId="4" fillId="15" borderId="48" xfId="7" applyFont="1" applyFill="1" applyBorder="1"/>
    <xf numFmtId="0" fontId="15" fillId="15" borderId="86" xfId="0" applyFont="1" applyFill="1" applyBorder="1" applyAlignment="1">
      <alignment horizontal="center"/>
    </xf>
    <xf numFmtId="0" fontId="4" fillId="15" borderId="30" xfId="0" applyFont="1" applyFill="1" applyBorder="1"/>
    <xf numFmtId="0" fontId="4" fillId="15" borderId="30" xfId="0" applyFont="1" applyFill="1" applyBorder="1" applyAlignment="1">
      <alignment horizontal="center"/>
    </xf>
    <xf numFmtId="0" fontId="6" fillId="15" borderId="41" xfId="0" applyFont="1" applyFill="1" applyBorder="1" applyAlignment="1">
      <alignment horizontal="center"/>
    </xf>
    <xf numFmtId="0" fontId="6" fillId="15" borderId="83" xfId="0" applyFont="1" applyFill="1" applyBorder="1" applyAlignment="1">
      <alignment horizontal="center"/>
    </xf>
    <xf numFmtId="0" fontId="23" fillId="15" borderId="41" xfId="0" applyFont="1" applyFill="1" applyBorder="1" applyAlignment="1">
      <alignment horizontal="center"/>
    </xf>
    <xf numFmtId="0" fontId="6" fillId="15" borderId="26" xfId="0" applyFont="1" applyFill="1" applyBorder="1" applyAlignment="1">
      <alignment horizontal="center"/>
    </xf>
    <xf numFmtId="0" fontId="23" fillId="15" borderId="26" xfId="0" applyFont="1" applyFill="1" applyBorder="1" applyAlignment="1">
      <alignment horizontal="center"/>
    </xf>
    <xf numFmtId="0" fontId="0" fillId="11" borderId="88" xfId="0" applyFill="1" applyBorder="1" applyAlignment="1" applyProtection="1">
      <alignment horizontal="center"/>
      <protection locked="0"/>
    </xf>
    <xf numFmtId="0" fontId="28" fillId="11" borderId="69" xfId="0" applyNumberFormat="1" applyFont="1" applyFill="1" applyBorder="1" applyAlignment="1" applyProtection="1">
      <alignment horizontal="center"/>
      <protection locked="0"/>
    </xf>
    <xf numFmtId="0" fontId="28" fillId="11" borderId="60" xfId="0" applyNumberFormat="1" applyFont="1" applyFill="1" applyBorder="1" applyAlignment="1" applyProtection="1">
      <alignment horizontal="center"/>
      <protection locked="0"/>
    </xf>
    <xf numFmtId="0" fontId="24" fillId="11" borderId="59" xfId="0" applyFont="1" applyFill="1" applyBorder="1" applyAlignment="1" applyProtection="1">
      <alignment horizontal="center"/>
      <protection locked="0"/>
    </xf>
    <xf numFmtId="0" fontId="24" fillId="11" borderId="60" xfId="0" applyFont="1" applyFill="1" applyBorder="1" applyAlignment="1" applyProtection="1">
      <alignment horizontal="center"/>
      <protection locked="0"/>
    </xf>
    <xf numFmtId="0" fontId="24" fillId="11" borderId="61" xfId="0" applyFont="1" applyFill="1" applyBorder="1" applyAlignment="1" applyProtection="1">
      <alignment horizontal="center"/>
      <protection locked="0"/>
    </xf>
    <xf numFmtId="0" fontId="25" fillId="11" borderId="65" xfId="0" applyFont="1" applyFill="1" applyBorder="1" applyAlignment="1" applyProtection="1">
      <alignment horizontal="center"/>
      <protection locked="0"/>
    </xf>
    <xf numFmtId="0" fontId="25" fillId="11" borderId="62" xfId="0" applyFont="1" applyFill="1" applyBorder="1" applyAlignment="1" applyProtection="1">
      <alignment horizontal="center"/>
      <protection locked="0"/>
    </xf>
    <xf numFmtId="0" fontId="25" fillId="11" borderId="63" xfId="0" applyFont="1" applyFill="1" applyBorder="1" applyAlignment="1" applyProtection="1">
      <alignment horizontal="center"/>
      <protection locked="0"/>
    </xf>
    <xf numFmtId="0" fontId="25" fillId="11" borderId="60" xfId="0" applyFont="1" applyFill="1" applyBorder="1" applyAlignment="1" applyProtection="1">
      <alignment horizontal="center"/>
      <protection locked="0"/>
    </xf>
    <xf numFmtId="174" fontId="28" fillId="11" borderId="60" xfId="0" applyNumberFormat="1" applyFont="1" applyFill="1" applyBorder="1" applyAlignment="1" applyProtection="1">
      <alignment horizontal="center"/>
      <protection locked="0"/>
    </xf>
    <xf numFmtId="0" fontId="28" fillId="11" borderId="69" xfId="0" applyFont="1" applyFill="1" applyBorder="1" applyAlignment="1" applyProtection="1">
      <alignment horizontal="center"/>
      <protection locked="0"/>
    </xf>
    <xf numFmtId="166" fontId="28" fillId="11" borderId="112" xfId="0" applyNumberFormat="1" applyFont="1" applyFill="1" applyBorder="1" applyProtection="1">
      <protection locked="0"/>
    </xf>
    <xf numFmtId="166" fontId="28" fillId="11" borderId="111" xfId="0" applyNumberFormat="1" applyFont="1" applyFill="1" applyBorder="1" applyProtection="1">
      <protection locked="0"/>
    </xf>
    <xf numFmtId="0" fontId="28" fillId="11" borderId="111" xfId="0" applyFont="1" applyFill="1" applyBorder="1" applyProtection="1">
      <protection locked="0"/>
    </xf>
    <xf numFmtId="0" fontId="28" fillId="11" borderId="113" xfId="0" applyFont="1" applyFill="1" applyBorder="1" applyProtection="1">
      <protection locked="0"/>
    </xf>
    <xf numFmtId="0" fontId="24" fillId="11" borderId="64" xfId="0" applyFont="1" applyFill="1" applyBorder="1" applyAlignment="1" applyProtection="1">
      <alignment horizontal="center"/>
      <protection locked="0"/>
    </xf>
    <xf numFmtId="0" fontId="24" fillId="11" borderId="66" xfId="0" applyFont="1" applyFill="1" applyBorder="1" applyAlignment="1" applyProtection="1">
      <alignment horizontal="center"/>
      <protection locked="0"/>
    </xf>
    <xf numFmtId="0" fontId="24" fillId="11" borderId="67" xfId="0" applyFont="1" applyFill="1" applyBorder="1" applyAlignment="1" applyProtection="1">
      <alignment horizontal="center"/>
      <protection locked="0"/>
    </xf>
    <xf numFmtId="2" fontId="28" fillId="11" borderId="69" xfId="0" applyNumberFormat="1" applyFont="1" applyFill="1" applyBorder="1" applyAlignment="1" applyProtection="1">
      <alignment horizontal="center"/>
      <protection locked="0"/>
    </xf>
    <xf numFmtId="0" fontId="25" fillId="11" borderId="68" xfId="0" applyFont="1" applyFill="1" applyBorder="1" applyAlignment="1" applyProtection="1">
      <alignment horizontal="center"/>
      <protection locked="0"/>
    </xf>
    <xf numFmtId="1" fontId="4" fillId="11" borderId="102" xfId="0" applyNumberFormat="1" applyFont="1" applyFill="1" applyBorder="1" applyAlignment="1" applyProtection="1">
      <alignment horizontal="center"/>
      <protection locked="0"/>
    </xf>
    <xf numFmtId="9" fontId="0" fillId="11" borderId="60" xfId="0" applyNumberFormat="1" applyFill="1" applyBorder="1" applyAlignment="1" applyProtection="1">
      <alignment horizontal="center"/>
      <protection locked="0"/>
    </xf>
    <xf numFmtId="0" fontId="0" fillId="11" borderId="60" xfId="0" applyNumberFormat="1" applyFill="1" applyBorder="1" applyAlignment="1" applyProtection="1">
      <alignment horizontal="center"/>
      <protection locked="0"/>
    </xf>
    <xf numFmtId="1" fontId="4" fillId="11" borderId="60" xfId="8" applyNumberFormat="1" applyFont="1" applyFill="1" applyBorder="1" applyAlignment="1" applyProtection="1">
      <alignment horizontal="center"/>
      <protection locked="0"/>
    </xf>
    <xf numFmtId="167" fontId="0" fillId="11" borderId="102" xfId="0" applyNumberFormat="1" applyFill="1" applyBorder="1" applyAlignment="1" applyProtection="1">
      <alignment horizontal="center"/>
      <protection locked="0"/>
    </xf>
    <xf numFmtId="167" fontId="0" fillId="11" borderId="101" xfId="0" applyNumberFormat="1" applyFill="1" applyBorder="1" applyAlignment="1" applyProtection="1">
      <alignment horizontal="center"/>
      <protection locked="0"/>
    </xf>
    <xf numFmtId="9" fontId="0" fillId="11" borderId="101" xfId="0" applyNumberFormat="1" applyFill="1" applyBorder="1" applyAlignment="1" applyProtection="1">
      <alignment horizontal="center"/>
      <protection locked="0"/>
    </xf>
    <xf numFmtId="167" fontId="0" fillId="11" borderId="103" xfId="0" applyNumberFormat="1" applyFill="1" applyBorder="1" applyAlignment="1" applyProtection="1">
      <alignment horizontal="center"/>
      <protection locked="0"/>
    </xf>
    <xf numFmtId="0" fontId="25" fillId="11" borderId="104" xfId="0" applyFont="1" applyFill="1" applyBorder="1" applyAlignment="1" applyProtection="1">
      <alignment horizontal="center"/>
      <protection locked="0"/>
    </xf>
    <xf numFmtId="0" fontId="0" fillId="4" borderId="74" xfId="0" applyFill="1" applyBorder="1" applyAlignment="1" applyProtection="1">
      <alignment horizontal="center"/>
    </xf>
    <xf numFmtId="0" fontId="28" fillId="4" borderId="0" xfId="0" applyFont="1" applyFill="1" applyBorder="1" applyAlignment="1" applyProtection="1">
      <alignment horizontal="center"/>
    </xf>
    <xf numFmtId="0" fontId="28" fillId="4" borderId="74" xfId="0" applyFont="1" applyFill="1" applyBorder="1" applyAlignment="1" applyProtection="1">
      <alignment horizontal="center"/>
    </xf>
    <xf numFmtId="0" fontId="0" fillId="11" borderId="60" xfId="0" applyFill="1" applyBorder="1" applyAlignment="1" applyProtection="1">
      <alignment horizontal="center"/>
      <protection locked="0"/>
    </xf>
    <xf numFmtId="0" fontId="0" fillId="11" borderId="69" xfId="0" applyFill="1" applyBorder="1" applyAlignment="1" applyProtection="1">
      <alignment horizontal="center"/>
      <protection locked="0"/>
    </xf>
    <xf numFmtId="0" fontId="0" fillId="0" borderId="42" xfId="0" applyFill="1" applyBorder="1" applyAlignment="1">
      <alignment horizontal="center"/>
    </xf>
    <xf numFmtId="0" fontId="53" fillId="0" borderId="46" xfId="9" applyFont="1" applyBorder="1"/>
    <xf numFmtId="0" fontId="52" fillId="0" borderId="20" xfId="9" applyFont="1" applyBorder="1"/>
    <xf numFmtId="0" fontId="52" fillId="0" borderId="46" xfId="9" applyFont="1" applyBorder="1"/>
    <xf numFmtId="0" fontId="52" fillId="0" borderId="46" xfId="9" applyFont="1" applyBorder="1" applyAlignment="1">
      <alignment horizontal="left" vertical="center"/>
    </xf>
    <xf numFmtId="0" fontId="52" fillId="0" borderId="20" xfId="9" applyFont="1" applyBorder="1" applyAlignment="1">
      <alignment horizontal="left" vertical="center"/>
    </xf>
    <xf numFmtId="0" fontId="37" fillId="7" borderId="47" xfId="9" applyFont="1" applyFill="1" applyBorder="1" applyAlignment="1">
      <alignment vertical="center"/>
    </xf>
    <xf numFmtId="0" fontId="46" fillId="7" borderId="91" xfId="9" applyFont="1" applyFill="1" applyBorder="1" applyAlignment="1">
      <alignment vertical="center"/>
    </xf>
    <xf numFmtId="0" fontId="47" fillId="8" borderId="118" xfId="9" applyFont="1" applyFill="1" applyBorder="1" applyAlignment="1">
      <alignment horizontal="left" vertical="center"/>
    </xf>
    <xf numFmtId="0" fontId="48" fillId="9" borderId="20" xfId="9" applyFont="1" applyFill="1" applyBorder="1" applyAlignment="1">
      <alignment horizontal="left" vertical="center" wrapText="1"/>
    </xf>
    <xf numFmtId="0" fontId="49" fillId="8" borderId="119" xfId="9" applyFont="1" applyFill="1" applyBorder="1" applyAlignment="1">
      <alignment horizontal="left" vertical="center"/>
    </xf>
    <xf numFmtId="0" fontId="50" fillId="0" borderId="120" xfId="9" applyFont="1" applyBorder="1" applyAlignment="1">
      <alignment horizontal="left" vertical="center" wrapText="1"/>
    </xf>
    <xf numFmtId="49" fontId="50" fillId="0" borderId="121" xfId="9" applyNumberFormat="1" applyFont="1" applyBorder="1" applyAlignment="1">
      <alignment horizontal="left" vertical="center" wrapText="1"/>
    </xf>
    <xf numFmtId="0" fontId="50" fillId="0" borderId="121" xfId="9" applyFont="1" applyBorder="1" applyAlignment="1">
      <alignment horizontal="left" vertical="center" wrapText="1"/>
    </xf>
    <xf numFmtId="0" fontId="49" fillId="0" borderId="121" xfId="9" applyFont="1" applyBorder="1" applyAlignment="1">
      <alignment horizontal="left" vertical="center" wrapText="1"/>
    </xf>
    <xf numFmtId="0" fontId="49" fillId="8" borderId="46" xfId="9" applyFont="1" applyFill="1" applyBorder="1" applyAlignment="1">
      <alignment horizontal="left" vertical="center"/>
    </xf>
    <xf numFmtId="0" fontId="55" fillId="13" borderId="20" xfId="9" applyFont="1" applyFill="1" applyBorder="1" applyAlignment="1">
      <alignment horizontal="left" vertical="center" wrapText="1"/>
    </xf>
    <xf numFmtId="0" fontId="49" fillId="4" borderId="46" xfId="9" applyFont="1" applyFill="1" applyBorder="1"/>
    <xf numFmtId="0" fontId="49" fillId="4" borderId="20" xfId="9" applyFont="1" applyFill="1" applyBorder="1"/>
    <xf numFmtId="0" fontId="49" fillId="4" borderId="44" xfId="9" applyFont="1" applyFill="1" applyBorder="1"/>
    <xf numFmtId="0" fontId="49" fillId="4" borderId="2" xfId="9" applyFont="1" applyFill="1" applyBorder="1"/>
    <xf numFmtId="0" fontId="38" fillId="0" borderId="0" xfId="9" applyFont="1" applyBorder="1" applyAlignment="1">
      <alignment horizontal="left"/>
    </xf>
    <xf numFmtId="0" fontId="39" fillId="4" borderId="0" xfId="9" applyFont="1" applyFill="1" applyBorder="1" applyAlignment="1">
      <alignment horizontal="left"/>
    </xf>
    <xf numFmtId="0" fontId="39" fillId="9" borderId="0" xfId="9" applyFont="1" applyFill="1" applyBorder="1" applyAlignment="1">
      <alignment horizontal="left"/>
    </xf>
    <xf numFmtId="0" fontId="52" fillId="0" borderId="46" xfId="9" applyFont="1" applyBorder="1" applyAlignment="1">
      <alignment vertical="center" wrapText="1"/>
    </xf>
    <xf numFmtId="0" fontId="52" fillId="0" borderId="20" xfId="9" applyFont="1" applyBorder="1" applyAlignment="1">
      <alignment vertical="center" wrapText="1"/>
    </xf>
    <xf numFmtId="0" fontId="54" fillId="12" borderId="47" xfId="9" applyFont="1" applyFill="1" applyBorder="1"/>
    <xf numFmtId="0" fontId="54" fillId="12" borderId="91" xfId="9" applyFont="1" applyFill="1" applyBorder="1"/>
    <xf numFmtId="0" fontId="52" fillId="0" borderId="44" xfId="9" applyFont="1" applyBorder="1" applyAlignment="1">
      <alignment horizontal="left" vertical="center" wrapText="1"/>
    </xf>
    <xf numFmtId="0" fontId="52" fillId="0" borderId="2" xfId="9" applyFont="1" applyBorder="1" applyAlignment="1">
      <alignment horizontal="left" vertical="center" wrapText="1"/>
    </xf>
    <xf numFmtId="0" fontId="53" fillId="0" borderId="46" xfId="9" applyFont="1" applyBorder="1" applyAlignment="1">
      <alignment wrapText="1"/>
    </xf>
    <xf numFmtId="0" fontId="53" fillId="0" borderId="20" xfId="9" applyFont="1" applyBorder="1" applyAlignment="1">
      <alignment wrapText="1"/>
    </xf>
    <xf numFmtId="0" fontId="52" fillId="0" borderId="46" xfId="9" applyFont="1" applyBorder="1" applyAlignment="1">
      <alignment horizontal="left" vertical="center" wrapText="1"/>
    </xf>
    <xf numFmtId="0" fontId="52" fillId="0" borderId="20" xfId="9" applyFont="1" applyBorder="1" applyAlignment="1">
      <alignment horizontal="left" vertical="center" wrapText="1"/>
    </xf>
    <xf numFmtId="0" fontId="53" fillId="0" borderId="46" xfId="9" applyFont="1" applyBorder="1" applyAlignment="1">
      <alignment horizontal="left" vertical="center" wrapText="1"/>
    </xf>
    <xf numFmtId="0" fontId="53" fillId="0" borderId="20" xfId="9" applyFont="1" applyBorder="1" applyAlignment="1">
      <alignment horizontal="left" vertical="center" wrapText="1"/>
    </xf>
    <xf numFmtId="0" fontId="0" fillId="8" borderId="7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28" fillId="4" borderId="85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42" fillId="7" borderId="0" xfId="0" applyFont="1" applyFill="1" applyAlignment="1">
      <alignment horizontal="center" wrapText="1"/>
    </xf>
    <xf numFmtId="0" fontId="35" fillId="7" borderId="0" xfId="0" applyFont="1" applyFill="1" applyAlignment="1">
      <alignment horizontal="center" wrapText="1"/>
    </xf>
    <xf numFmtId="0" fontId="35" fillId="7" borderId="57" xfId="0" applyFont="1" applyFill="1" applyBorder="1" applyAlignment="1">
      <alignment horizontal="center" wrapText="1"/>
    </xf>
    <xf numFmtId="0" fontId="25" fillId="4" borderId="99" xfId="0" applyFont="1" applyFill="1" applyBorder="1" applyAlignment="1">
      <alignment horizontal="center" vertical="center"/>
    </xf>
    <xf numFmtId="0" fontId="0" fillId="4" borderId="58" xfId="0" applyFill="1" applyBorder="1" applyAlignment="1">
      <alignment horizontal="center" vertical="center"/>
    </xf>
    <xf numFmtId="0" fontId="25" fillId="4" borderId="12" xfId="0" applyFont="1" applyFill="1" applyBorder="1" applyAlignment="1">
      <alignment horizontal="center" vertical="center"/>
    </xf>
    <xf numFmtId="0" fontId="41" fillId="14" borderId="105" xfId="0" applyFont="1" applyFill="1" applyBorder="1" applyAlignment="1">
      <alignment horizontal="center" vertical="center" wrapText="1"/>
    </xf>
    <xf numFmtId="0" fontId="41" fillId="14" borderId="11" xfId="0" applyFont="1" applyFill="1" applyBorder="1" applyAlignment="1">
      <alignment horizontal="center" vertical="center" wrapText="1"/>
    </xf>
    <xf numFmtId="0" fontId="35" fillId="14" borderId="11" xfId="0" applyFont="1" applyFill="1" applyBorder="1" applyAlignment="1">
      <alignment horizontal="center" vertical="center" wrapText="1"/>
    </xf>
    <xf numFmtId="0" fontId="35" fillId="14" borderId="106" xfId="0" applyFont="1" applyFill="1" applyBorder="1" applyAlignment="1">
      <alignment horizontal="center" vertical="center" wrapText="1"/>
    </xf>
    <xf numFmtId="0" fontId="6" fillId="15" borderId="83" xfId="0" applyFont="1" applyFill="1" applyBorder="1" applyAlignment="1">
      <alignment horizontal="center" vertical="center"/>
    </xf>
    <xf numFmtId="0" fontId="2" fillId="15" borderId="26" xfId="0" applyFont="1" applyFill="1" applyBorder="1" applyAlignment="1">
      <alignment horizontal="center" vertical="center"/>
    </xf>
    <xf numFmtId="0" fontId="41" fillId="14" borderId="7" xfId="0" applyFont="1" applyFill="1" applyBorder="1" applyAlignment="1">
      <alignment horizontal="center" vertical="center" wrapText="1"/>
    </xf>
    <xf numFmtId="0" fontId="41" fillId="7" borderId="0" xfId="0" applyFont="1" applyFill="1" applyBorder="1" applyAlignment="1">
      <alignment horizontal="center" wrapText="1"/>
    </xf>
    <xf numFmtId="0" fontId="6" fillId="15" borderId="41" xfId="0" applyFont="1" applyFill="1" applyBorder="1" applyAlignment="1">
      <alignment horizontal="center" vertical="center"/>
    </xf>
    <xf numFmtId="0" fontId="6" fillId="2" borderId="98" xfId="0" applyFont="1" applyFill="1" applyBorder="1" applyAlignment="1">
      <alignment horizontal="center" vertical="center" wrapText="1"/>
    </xf>
    <xf numFmtId="0" fontId="6" fillId="2" borderId="97" xfId="0" applyFont="1" applyFill="1" applyBorder="1" applyAlignment="1">
      <alignment horizontal="center" vertical="center" wrapText="1"/>
    </xf>
    <xf numFmtId="0" fontId="6" fillId="2" borderId="94" xfId="0" applyFont="1" applyFill="1" applyBorder="1" applyAlignment="1">
      <alignment horizontal="center" vertical="center" wrapText="1"/>
    </xf>
    <xf numFmtId="0" fontId="6" fillId="2" borderId="98" xfId="0" applyFont="1" applyFill="1" applyBorder="1" applyAlignment="1">
      <alignment horizontal="center" vertical="center"/>
    </xf>
    <xf numFmtId="0" fontId="6" fillId="2" borderId="97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4" fillId="2" borderId="98" xfId="0" applyFont="1" applyFill="1" applyBorder="1" applyAlignment="1">
      <alignment horizontal="center" vertical="center" wrapText="1"/>
    </xf>
    <xf numFmtId="0" fontId="4" fillId="2" borderId="94" xfId="0" applyFont="1" applyFill="1" applyBorder="1" applyAlignment="1">
      <alignment horizontal="center" vertical="center" wrapText="1"/>
    </xf>
  </cellXfs>
  <cellStyles count="29">
    <cellStyle name="60% - Accent1 2" xfId="11" xr:uid="{00000000-0005-0000-0000-000000000000}"/>
    <cellStyle name="Comma 2" xfId="12" xr:uid="{00000000-0005-0000-0000-000001000000}"/>
    <cellStyle name="Comma 2 2" xfId="13" xr:uid="{00000000-0005-0000-0000-000002000000}"/>
    <cellStyle name="Comma 2 3" xfId="14" xr:uid="{00000000-0005-0000-0000-000003000000}"/>
    <cellStyle name="Comma 2 4" xfId="15" xr:uid="{00000000-0005-0000-0000-000004000000}"/>
    <cellStyle name="Comma 3" xfId="16" xr:uid="{00000000-0005-0000-0000-000005000000}"/>
    <cellStyle name="Comma 4" xfId="17" xr:uid="{00000000-0005-0000-0000-000006000000}"/>
    <cellStyle name="Comma 5" xfId="18" xr:uid="{00000000-0005-0000-0000-000007000000}"/>
    <cellStyle name="Currency 2" xfId="19" xr:uid="{00000000-0005-0000-0000-000008000000}"/>
    <cellStyle name="Currency 3" xfId="20" xr:uid="{00000000-0005-0000-0000-000009000000}"/>
    <cellStyle name="Euro" xfId="21" xr:uid="{00000000-0005-0000-0000-00000A000000}"/>
    <cellStyle name="Komma" xfId="28" builtinId="3"/>
    <cellStyle name="Komma 2" xfId="22" xr:uid="{00000000-0005-0000-0000-00000B000000}"/>
    <cellStyle name="Neutral 2" xfId="23" xr:uid="{00000000-0005-0000-0000-00000C000000}"/>
    <cellStyle name="Normal 2" xfId="9" xr:uid="{00000000-0005-0000-0000-00000E000000}"/>
    <cellStyle name="Normal 2 2" xfId="1" xr:uid="{00000000-0005-0000-0000-00000F000000}"/>
    <cellStyle name="Normal 3" xfId="2" xr:uid="{00000000-0005-0000-0000-000010000000}"/>
    <cellStyle name="Normal 3 2" xfId="24" xr:uid="{00000000-0005-0000-0000-000011000000}"/>
    <cellStyle name="Normal 4" xfId="3" xr:uid="{00000000-0005-0000-0000-000012000000}"/>
    <cellStyle name="Normal 5" xfId="4" xr:uid="{00000000-0005-0000-0000-000013000000}"/>
    <cellStyle name="Normal 6" xfId="10" xr:uid="{00000000-0005-0000-0000-000014000000}"/>
    <cellStyle name="Normal 7" xfId="5" xr:uid="{00000000-0005-0000-0000-000015000000}"/>
    <cellStyle name="Normal 8" xfId="6" xr:uid="{00000000-0005-0000-0000-000016000000}"/>
    <cellStyle name="Normal_factsheet01" xfId="7" xr:uid="{00000000-0005-0000-0000-000017000000}"/>
    <cellStyle name="Percent 2" xfId="25" xr:uid="{00000000-0005-0000-0000-000019000000}"/>
    <cellStyle name="Procent" xfId="8" builtinId="5"/>
    <cellStyle name="Standaard" xfId="0" builtinId="0"/>
    <cellStyle name="Standaard 2" xfId="26" xr:uid="{00000000-0005-0000-0000-00001A000000}"/>
    <cellStyle name="Standaard 2 2" xfId="27" xr:uid="{00000000-0005-0000-0000-00001B000000}"/>
  </cellStyles>
  <dxfs count="0"/>
  <tableStyles count="0" defaultTableStyle="TableStyleMedium9" defaultPivotStyle="PivotStyleLight16"/>
  <colors>
    <mruColors>
      <color rgb="FFA8A800"/>
      <color rgb="FF808000"/>
      <color rgb="FF99CC00"/>
      <color rgb="FFE3E334"/>
      <color rgb="FFCCCCCC"/>
      <color rgb="FFFFDF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76200</xdr:rowOff>
    </xdr:from>
    <xdr:to>
      <xdr:col>2</xdr:col>
      <xdr:colOff>3886219</xdr:colOff>
      <xdr:row>21</xdr:row>
      <xdr:rowOff>107065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1B0849C-0A77-4A3D-9F08-2E55560391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584"/>
        <a:stretch/>
      </xdr:blipFill>
      <xdr:spPr>
        <a:xfrm>
          <a:off x="0" y="2667000"/>
          <a:ext cx="5524519" cy="2002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showGridLines="0" tabSelected="1" workbookViewId="0">
      <selection activeCell="G15" sqref="G15"/>
    </sheetView>
  </sheetViews>
  <sheetFormatPr defaultColWidth="9.140625" defaultRowHeight="12.75" x14ac:dyDescent="0.2"/>
  <cols>
    <col min="1" max="1" width="9.140625" style="145"/>
    <col min="2" max="2" width="15.42578125" style="145" customWidth="1"/>
    <col min="3" max="3" width="72.85546875" style="145" customWidth="1"/>
    <col min="4" max="16384" width="9.140625" style="145"/>
  </cols>
  <sheetData>
    <row r="1" spans="1:16" s="135" customFormat="1" ht="26.25" customHeight="1" x14ac:dyDescent="0.2">
      <c r="A1" s="411"/>
      <c r="B1" s="411"/>
      <c r="C1" s="411"/>
      <c r="E1" s="136"/>
      <c r="F1" s="137"/>
    </row>
    <row r="2" spans="1:16" s="135" customFormat="1" ht="17.25" customHeight="1" x14ac:dyDescent="0.2">
      <c r="A2" s="411"/>
      <c r="B2" s="488"/>
      <c r="C2" s="489" t="s">
        <v>270</v>
      </c>
    </row>
    <row r="3" spans="1:16" s="138" customFormat="1" ht="33.950000000000003" customHeight="1" x14ac:dyDescent="0.2">
      <c r="A3" s="412"/>
      <c r="B3" s="490"/>
      <c r="C3" s="491" t="s">
        <v>253</v>
      </c>
      <c r="E3" s="139"/>
      <c r="F3" s="139"/>
      <c r="J3" s="140"/>
      <c r="K3" s="141"/>
      <c r="L3" s="142"/>
      <c r="M3" s="142"/>
      <c r="N3" s="143"/>
      <c r="O3" s="142"/>
      <c r="P3" s="142"/>
    </row>
    <row r="4" spans="1:16" s="144" customFormat="1" ht="33.950000000000003" customHeight="1" x14ac:dyDescent="0.2">
      <c r="A4" s="413"/>
      <c r="B4" s="492" t="s">
        <v>250</v>
      </c>
      <c r="C4" s="493" t="s">
        <v>249</v>
      </c>
    </row>
    <row r="5" spans="1:16" s="144" customFormat="1" ht="33.950000000000003" customHeight="1" x14ac:dyDescent="0.2">
      <c r="A5" s="413"/>
      <c r="B5" s="492" t="s">
        <v>251</v>
      </c>
      <c r="C5" s="494" t="s">
        <v>248</v>
      </c>
    </row>
    <row r="6" spans="1:16" s="144" customFormat="1" ht="33.950000000000003" customHeight="1" x14ac:dyDescent="0.2">
      <c r="A6" s="413"/>
      <c r="B6" s="492" t="s">
        <v>252</v>
      </c>
      <c r="C6" s="495" t="s">
        <v>283</v>
      </c>
    </row>
    <row r="7" spans="1:16" s="144" customFormat="1" x14ac:dyDescent="0.2">
      <c r="A7" s="413"/>
      <c r="B7" s="492" t="s">
        <v>254</v>
      </c>
      <c r="C7" s="496" t="s">
        <v>261</v>
      </c>
    </row>
    <row r="8" spans="1:16" s="144" customFormat="1" x14ac:dyDescent="0.2">
      <c r="A8" s="413"/>
      <c r="B8" s="497" t="s">
        <v>269</v>
      </c>
      <c r="C8" s="498" t="s">
        <v>284</v>
      </c>
    </row>
    <row r="9" spans="1:16" x14ac:dyDescent="0.2">
      <c r="A9" s="414"/>
      <c r="B9" s="499"/>
      <c r="C9" s="500"/>
    </row>
    <row r="10" spans="1:16" ht="15" x14ac:dyDescent="0.25">
      <c r="A10" s="414"/>
      <c r="B10" s="499"/>
      <c r="C10" s="500"/>
      <c r="E10" s="146"/>
    </row>
    <row r="11" spans="1:16" x14ac:dyDescent="0.2">
      <c r="A11" s="414"/>
      <c r="B11" s="499"/>
      <c r="C11" s="500"/>
    </row>
    <row r="12" spans="1:16" x14ac:dyDescent="0.2">
      <c r="A12" s="414"/>
      <c r="B12" s="499"/>
      <c r="C12" s="500"/>
    </row>
    <row r="13" spans="1:16" x14ac:dyDescent="0.2">
      <c r="A13" s="414"/>
      <c r="B13" s="499"/>
      <c r="C13" s="500"/>
    </row>
    <row r="14" spans="1:16" x14ac:dyDescent="0.2">
      <c r="A14" s="414"/>
      <c r="B14" s="499"/>
      <c r="C14" s="500"/>
    </row>
    <row r="15" spans="1:16" x14ac:dyDescent="0.2">
      <c r="A15" s="414"/>
      <c r="B15" s="499"/>
      <c r="C15" s="500"/>
    </row>
    <row r="16" spans="1:16" x14ac:dyDescent="0.2">
      <c r="A16" s="414"/>
      <c r="B16" s="499"/>
      <c r="C16" s="500"/>
    </row>
    <row r="17" spans="1:3" x14ac:dyDescent="0.2">
      <c r="A17" s="414"/>
      <c r="B17" s="499"/>
      <c r="C17" s="500"/>
    </row>
    <row r="18" spans="1:3" x14ac:dyDescent="0.2">
      <c r="A18" s="414"/>
      <c r="B18" s="499"/>
      <c r="C18" s="500"/>
    </row>
    <row r="19" spans="1:3" x14ac:dyDescent="0.2">
      <c r="A19" s="414"/>
      <c r="B19" s="501"/>
      <c r="C19" s="502"/>
    </row>
    <row r="20" spans="1:3" x14ac:dyDescent="0.2">
      <c r="A20" s="503" t="s">
        <v>239</v>
      </c>
      <c r="B20" s="503"/>
      <c r="C20" s="503"/>
    </row>
    <row r="21" spans="1:3" x14ac:dyDescent="0.2">
      <c r="A21" s="504" t="s">
        <v>240</v>
      </c>
      <c r="B21" s="504"/>
      <c r="C21" s="504"/>
    </row>
    <row r="22" spans="1:3" x14ac:dyDescent="0.2">
      <c r="A22" s="505" t="s">
        <v>241</v>
      </c>
      <c r="B22" s="505"/>
      <c r="C22" s="505"/>
    </row>
    <row r="23" spans="1:3" x14ac:dyDescent="0.2">
      <c r="A23" s="414"/>
      <c r="B23" s="414"/>
      <c r="C23" s="414"/>
    </row>
    <row r="24" spans="1:3" x14ac:dyDescent="0.2">
      <c r="A24" s="414"/>
      <c r="B24" s="414"/>
      <c r="C24" s="414"/>
    </row>
    <row r="25" spans="1:3" ht="18.75" x14ac:dyDescent="0.3">
      <c r="A25" s="414"/>
      <c r="B25" s="508" t="s">
        <v>264</v>
      </c>
      <c r="C25" s="509"/>
    </row>
    <row r="26" spans="1:3" ht="18.75" x14ac:dyDescent="0.3">
      <c r="A26" s="414"/>
      <c r="B26" s="483" t="s">
        <v>255</v>
      </c>
      <c r="C26" s="484"/>
    </row>
    <row r="27" spans="1:3" ht="54" customHeight="1" x14ac:dyDescent="0.2">
      <c r="A27" s="414"/>
      <c r="B27" s="506" t="s">
        <v>281</v>
      </c>
      <c r="C27" s="507"/>
    </row>
    <row r="28" spans="1:3" ht="15.75" x14ac:dyDescent="0.25">
      <c r="A28" s="414"/>
      <c r="B28" s="485"/>
      <c r="C28" s="484"/>
    </row>
    <row r="29" spans="1:3" ht="19.5" customHeight="1" x14ac:dyDescent="0.3">
      <c r="A29" s="414"/>
      <c r="B29" s="512" t="s">
        <v>262</v>
      </c>
      <c r="C29" s="513"/>
    </row>
    <row r="30" spans="1:3" ht="40.5" customHeight="1" x14ac:dyDescent="0.2">
      <c r="A30" s="414"/>
      <c r="B30" s="514" t="s">
        <v>256</v>
      </c>
      <c r="C30" s="515"/>
    </row>
    <row r="31" spans="1:3" ht="37.5" customHeight="1" x14ac:dyDescent="0.2">
      <c r="A31" s="414"/>
      <c r="B31" s="514" t="s">
        <v>282</v>
      </c>
      <c r="C31" s="515"/>
    </row>
    <row r="32" spans="1:3" ht="26.25" customHeight="1" x14ac:dyDescent="0.2">
      <c r="A32" s="414"/>
      <c r="B32" s="514" t="s">
        <v>257</v>
      </c>
      <c r="C32" s="515"/>
    </row>
    <row r="33" spans="1:3" ht="26.25" customHeight="1" x14ac:dyDescent="0.2">
      <c r="A33" s="414"/>
      <c r="B33" s="514" t="s">
        <v>258</v>
      </c>
      <c r="C33" s="515"/>
    </row>
    <row r="34" spans="1:3" ht="36.75" customHeight="1" x14ac:dyDescent="0.2">
      <c r="A34" s="414"/>
      <c r="B34" s="514" t="s">
        <v>259</v>
      </c>
      <c r="C34" s="515"/>
    </row>
    <row r="35" spans="1:3" ht="39.75" customHeight="1" x14ac:dyDescent="0.2">
      <c r="A35" s="414"/>
      <c r="B35" s="514" t="s">
        <v>260</v>
      </c>
      <c r="C35" s="515"/>
    </row>
    <row r="36" spans="1:3" ht="15.75" x14ac:dyDescent="0.2">
      <c r="A36" s="414"/>
      <c r="B36" s="486"/>
      <c r="C36" s="487"/>
    </row>
    <row r="37" spans="1:3" ht="21" customHeight="1" x14ac:dyDescent="0.2">
      <c r="A37" s="414"/>
      <c r="B37" s="516" t="s">
        <v>263</v>
      </c>
      <c r="C37" s="517"/>
    </row>
    <row r="38" spans="1:3" ht="37.5" customHeight="1" x14ac:dyDescent="0.2">
      <c r="B38" s="514" t="s">
        <v>265</v>
      </c>
      <c r="C38" s="515"/>
    </row>
    <row r="39" spans="1:3" ht="39.75" customHeight="1" x14ac:dyDescent="0.2">
      <c r="B39" s="514" t="s">
        <v>266</v>
      </c>
      <c r="C39" s="515"/>
    </row>
    <row r="40" spans="1:3" ht="34.5" customHeight="1" x14ac:dyDescent="0.2">
      <c r="B40" s="514" t="s">
        <v>267</v>
      </c>
      <c r="C40" s="515"/>
    </row>
    <row r="41" spans="1:3" ht="46.5" customHeight="1" x14ac:dyDescent="0.2">
      <c r="B41" s="510" t="s">
        <v>268</v>
      </c>
      <c r="C41" s="511"/>
    </row>
  </sheetData>
  <sheetProtection algorithmName="SHA-512" hashValue="rIr+Hw4DZiaJn+QxRLbhMT4X4SjERHRpqxM2JtWsOWdjKH1WuTIn1S2Dlf2N3VJvecEzoEZFg0REEVVf/ZRtBQ==" saltValue="55yJqupzeb5VbUE4tCXofg==" spinCount="100000" sheet="1" objects="1" scenarios="1"/>
  <mergeCells count="17">
    <mergeCell ref="B41:C41"/>
    <mergeCell ref="B29:C29"/>
    <mergeCell ref="B35:C35"/>
    <mergeCell ref="B37:C37"/>
    <mergeCell ref="B38:C38"/>
    <mergeCell ref="B39:C39"/>
    <mergeCell ref="B40:C40"/>
    <mergeCell ref="B30:C30"/>
    <mergeCell ref="B31:C31"/>
    <mergeCell ref="B32:C32"/>
    <mergeCell ref="B33:C33"/>
    <mergeCell ref="B34:C34"/>
    <mergeCell ref="A20:C20"/>
    <mergeCell ref="A21:C21"/>
    <mergeCell ref="A22:C22"/>
    <mergeCell ref="B27:C27"/>
    <mergeCell ref="B25:C25"/>
  </mergeCells>
  <pageMargins left="0.75" right="0.75" top="1" bottom="1" header="0.5" footer="0.5"/>
  <pageSetup paperSize="9" orientation="portrait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">
    <tabColor indexed="48"/>
  </sheetPr>
  <dimension ref="A1:F12"/>
  <sheetViews>
    <sheetView showGridLines="0" workbookViewId="0">
      <selection activeCell="D12" sqref="D12"/>
    </sheetView>
  </sheetViews>
  <sheetFormatPr defaultRowHeight="12.75" x14ac:dyDescent="0.2"/>
  <cols>
    <col min="1" max="1" width="0.85546875" customWidth="1"/>
    <col min="3" max="3" width="37.5703125" bestFit="1" customWidth="1"/>
    <col min="4" max="4" width="18.140625" style="28" customWidth="1"/>
    <col min="5" max="5" width="13.85546875" bestFit="1" customWidth="1"/>
    <col min="6" max="6" width="0.7109375" customWidth="1"/>
  </cols>
  <sheetData>
    <row r="1" spans="1:6" ht="3.75" customHeight="1" thickBot="1" x14ac:dyDescent="0.25">
      <c r="A1" s="253"/>
      <c r="B1" s="253"/>
      <c r="C1" s="253"/>
      <c r="D1" s="254"/>
      <c r="E1" s="253"/>
      <c r="F1" s="253"/>
    </row>
    <row r="2" spans="1:6" x14ac:dyDescent="0.2">
      <c r="A2" s="255"/>
      <c r="B2" s="518"/>
      <c r="C2" s="246" t="s">
        <v>88</v>
      </c>
      <c r="D2" s="257" t="s">
        <v>175</v>
      </c>
      <c r="E2" s="150"/>
      <c r="F2" s="255"/>
    </row>
    <row r="3" spans="1:6" x14ac:dyDescent="0.2">
      <c r="A3" s="255"/>
      <c r="B3" s="519"/>
      <c r="C3" s="245" t="s">
        <v>89</v>
      </c>
      <c r="D3" s="480">
        <v>88</v>
      </c>
      <c r="E3" s="148" t="s">
        <v>90</v>
      </c>
      <c r="F3" s="255"/>
    </row>
    <row r="4" spans="1:6" x14ac:dyDescent="0.2">
      <c r="A4" s="255"/>
      <c r="B4" s="519"/>
      <c r="C4" s="245" t="s">
        <v>92</v>
      </c>
      <c r="D4" s="480">
        <v>8</v>
      </c>
      <c r="E4" s="148" t="s">
        <v>91</v>
      </c>
      <c r="F4" s="255"/>
    </row>
    <row r="5" spans="1:6" x14ac:dyDescent="0.2">
      <c r="A5" s="255"/>
      <c r="B5" s="519"/>
      <c r="C5" s="245" t="s">
        <v>94</v>
      </c>
      <c r="D5" s="480"/>
      <c r="E5" s="148" t="s">
        <v>95</v>
      </c>
      <c r="F5" s="255"/>
    </row>
    <row r="6" spans="1:6" ht="13.5" thickBot="1" x14ac:dyDescent="0.25">
      <c r="A6" s="255"/>
      <c r="B6" s="520"/>
      <c r="C6" s="249" t="s">
        <v>96</v>
      </c>
      <c r="D6" s="481">
        <v>3097.6</v>
      </c>
      <c r="E6" s="149" t="s">
        <v>97</v>
      </c>
      <c r="F6" s="255"/>
    </row>
    <row r="7" spans="1:6" ht="3.75" customHeight="1" thickBot="1" x14ac:dyDescent="0.25">
      <c r="A7" s="255"/>
      <c r="B7" s="255"/>
      <c r="C7" s="255"/>
      <c r="D7" s="255"/>
      <c r="E7" s="255"/>
      <c r="F7" s="255"/>
    </row>
    <row r="8" spans="1:6" x14ac:dyDescent="0.2">
      <c r="A8" s="255"/>
      <c r="B8" s="250"/>
      <c r="C8" s="246" t="s">
        <v>108</v>
      </c>
      <c r="D8" s="482" t="s">
        <v>18</v>
      </c>
      <c r="E8" s="150"/>
      <c r="F8" s="255"/>
    </row>
    <row r="9" spans="1:6" x14ac:dyDescent="0.2">
      <c r="A9" s="255"/>
      <c r="B9" s="251"/>
      <c r="C9" s="245" t="s">
        <v>171</v>
      </c>
      <c r="D9" s="151" t="str">
        <f>CONCATENATE(Currency,"/kW")</f>
        <v>€/kW</v>
      </c>
      <c r="E9" s="148"/>
      <c r="F9" s="255"/>
    </row>
    <row r="10" spans="1:6" ht="13.5" thickBot="1" x14ac:dyDescent="0.25">
      <c r="A10" s="255"/>
      <c r="B10" s="252"/>
      <c r="C10" s="249" t="s">
        <v>170</v>
      </c>
      <c r="D10" s="152" t="str">
        <f>CONCATENATE(Currency,"/kWh")</f>
        <v>€/kWh</v>
      </c>
      <c r="E10" s="149"/>
      <c r="F10" s="255"/>
    </row>
    <row r="11" spans="1:6" ht="3.75" customHeight="1" thickBot="1" x14ac:dyDescent="0.25">
      <c r="A11" s="255"/>
      <c r="B11" s="255"/>
      <c r="C11" s="255"/>
      <c r="D11" s="256"/>
      <c r="E11" s="255"/>
      <c r="F11" s="255"/>
    </row>
    <row r="12" spans="1:6" ht="13.5" thickBot="1" x14ac:dyDescent="0.25">
      <c r="B12" s="406"/>
      <c r="C12" s="407" t="s">
        <v>242</v>
      </c>
      <c r="D12" s="408">
        <f>Input_Output!F40</f>
        <v>45.572642029597375</v>
      </c>
      <c r="E12" s="409" t="s">
        <v>177</v>
      </c>
    </row>
  </sheetData>
  <sheetProtection algorithmName="SHA-512" hashValue="+Te8MuOfW5pL3Na0XKbbX5oCXNKml/0s04BOAupq+R2srXO8mkjarRUrIvjiKCskFp9TfiR/Bg6qcmp/3b7ewg==" saltValue="yRL+XxT5qBIUEMjCbPwPWQ==" spinCount="100000" sheet="1" objects="1" scenarios="1"/>
  <dataConsolidate/>
  <mergeCells count="1">
    <mergeCell ref="B2:B6"/>
  </mergeCells>
  <phoneticPr fontId="24" type="noConversion"/>
  <dataValidations count="1">
    <dataValidation type="list" allowBlank="1" showInputMessage="1" showErrorMessage="1" sqref="D2" xr:uid="{00000000-0002-0000-0100-000001000000}">
      <formula1>"onshore,offshore"</formula1>
    </dataValidation>
  </dataValidations>
  <pageMargins left="0.75" right="0.75" top="1" bottom="1" header="0.5" footer="0.5"/>
  <pageSetup paperSize="9" orientation="portrait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>
    <tabColor indexed="48"/>
    <pageSetUpPr fitToPage="1"/>
  </sheetPr>
  <dimension ref="A1:AC51"/>
  <sheetViews>
    <sheetView showGridLines="0" topLeftCell="A4" zoomScaleNormal="100" workbookViewId="0">
      <selection activeCell="G39" sqref="G39"/>
    </sheetView>
  </sheetViews>
  <sheetFormatPr defaultRowHeight="15.95" customHeight="1" x14ac:dyDescent="0.2"/>
  <cols>
    <col min="1" max="1" width="1.42578125" customWidth="1"/>
    <col min="2" max="4" width="5.7109375" customWidth="1"/>
    <col min="5" max="5" width="37" bestFit="1" customWidth="1"/>
    <col min="6" max="6" width="12.85546875" style="28" bestFit="1" customWidth="1"/>
    <col min="7" max="7" width="12.42578125" style="28" customWidth="1"/>
    <col min="8" max="8" width="21.5703125" style="28" bestFit="1" customWidth="1"/>
    <col min="9" max="9" width="13.42578125" style="28" bestFit="1" customWidth="1"/>
    <col min="10" max="10" width="1.42578125" customWidth="1"/>
    <col min="14" max="14" width="12" bestFit="1" customWidth="1"/>
  </cols>
  <sheetData>
    <row r="1" spans="1:29" s="22" customFormat="1" ht="23.25" x14ac:dyDescent="0.35">
      <c r="A1" s="198"/>
      <c r="B1" s="199"/>
      <c r="C1" s="199"/>
      <c r="D1" s="199"/>
      <c r="E1" s="199"/>
      <c r="F1" s="200"/>
      <c r="G1" s="200"/>
      <c r="H1" s="201"/>
      <c r="I1" s="200"/>
      <c r="J1" s="199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4"/>
    </row>
    <row r="2" spans="1:29" ht="15.95" customHeight="1" thickBot="1" x14ac:dyDescent="0.25">
      <c r="A2" s="202"/>
      <c r="B2" s="203" t="s">
        <v>20</v>
      </c>
      <c r="C2" s="203"/>
      <c r="D2" s="203"/>
      <c r="E2" s="203"/>
      <c r="F2" s="204" t="s">
        <v>21</v>
      </c>
      <c r="G2" s="204" t="s">
        <v>105</v>
      </c>
      <c r="H2" s="204" t="s">
        <v>106</v>
      </c>
      <c r="I2" s="204" t="s">
        <v>133</v>
      </c>
      <c r="J2" s="205"/>
      <c r="K2" s="415"/>
    </row>
    <row r="3" spans="1:29" ht="3.75" customHeight="1" thickTop="1" thickBot="1" x14ac:dyDescent="0.25">
      <c r="A3" s="134"/>
      <c r="B3" s="134"/>
      <c r="C3" s="134"/>
      <c r="D3" s="134"/>
      <c r="E3" s="134"/>
      <c r="F3" s="258"/>
      <c r="G3" s="258"/>
      <c r="H3" s="258"/>
      <c r="I3" s="258"/>
      <c r="J3" s="134"/>
      <c r="K3" s="416"/>
    </row>
    <row r="4" spans="1:29" s="96" customFormat="1" ht="15.95" customHeight="1" x14ac:dyDescent="0.2">
      <c r="A4" s="259"/>
      <c r="B4" s="206"/>
      <c r="C4" s="207"/>
      <c r="D4" s="208" t="s">
        <v>98</v>
      </c>
      <c r="E4" s="208"/>
      <c r="F4" s="153" t="s">
        <v>139</v>
      </c>
      <c r="G4" s="450">
        <v>1060</v>
      </c>
      <c r="H4" s="153">
        <f>IF(AND(ISBLANK($G$21),ISBLANK($G$7)),G4,"value overruled")</f>
        <v>1060</v>
      </c>
      <c r="I4" s="167" t="s">
        <v>69</v>
      </c>
      <c r="J4" s="263"/>
      <c r="K4" s="417"/>
    </row>
    <row r="5" spans="1:29" s="96" customFormat="1" ht="15.95" customHeight="1" x14ac:dyDescent="0.2">
      <c r="A5" s="259"/>
      <c r="B5" s="209"/>
      <c r="C5" s="210"/>
      <c r="D5" s="211" t="s">
        <v>99</v>
      </c>
      <c r="E5" s="211"/>
      <c r="F5" s="156" t="s">
        <v>139</v>
      </c>
      <c r="G5" s="451"/>
      <c r="H5" s="156">
        <f>IF(AND(ISBLANK($G$21),ISBLANK($G$7)),G5,"value overruled")</f>
        <v>0</v>
      </c>
      <c r="I5" s="168" t="s">
        <v>118</v>
      </c>
      <c r="J5" s="263"/>
      <c r="K5" s="417"/>
    </row>
    <row r="6" spans="1:29" s="96" customFormat="1" ht="15.95" customHeight="1" x14ac:dyDescent="0.2">
      <c r="A6" s="259"/>
      <c r="B6" s="212"/>
      <c r="C6" s="213"/>
      <c r="D6" s="214" t="s">
        <v>100</v>
      </c>
      <c r="E6" s="214"/>
      <c r="F6" s="157" t="s">
        <v>139</v>
      </c>
      <c r="G6" s="452"/>
      <c r="H6" s="169">
        <f>IF(AND(ISBLANK($G$21),ISBLANK($G$7)),G6,"value overruled")</f>
        <v>0</v>
      </c>
      <c r="I6" s="170" t="s">
        <v>61</v>
      </c>
      <c r="J6" s="263"/>
      <c r="K6" s="417"/>
    </row>
    <row r="7" spans="1:29" s="95" customFormat="1" ht="15.95" customHeight="1" x14ac:dyDescent="0.2">
      <c r="A7" s="260"/>
      <c r="B7" s="215"/>
      <c r="C7" s="216" t="s">
        <v>98</v>
      </c>
      <c r="D7" s="217"/>
      <c r="E7" s="217"/>
      <c r="F7" s="158" t="s">
        <v>139</v>
      </c>
      <c r="G7" s="454"/>
      <c r="H7" s="171">
        <f>IF(NOT(ISBLANK($G$21)),"value overruled",IF(ISBLANK(G7),SUM(G4:G6),G7))</f>
        <v>1060</v>
      </c>
      <c r="I7" s="172" t="s">
        <v>119</v>
      </c>
      <c r="J7" s="264"/>
      <c r="K7" s="417"/>
    </row>
    <row r="8" spans="1:29" s="95" customFormat="1" ht="15.95" customHeight="1" x14ac:dyDescent="0.2">
      <c r="A8" s="260"/>
      <c r="B8" s="215"/>
      <c r="C8" s="218" t="s">
        <v>101</v>
      </c>
      <c r="D8" s="219"/>
      <c r="E8" s="219"/>
      <c r="F8" s="159" t="s">
        <v>139</v>
      </c>
      <c r="G8" s="455">
        <v>350</v>
      </c>
      <c r="H8" s="171">
        <f>IF(NOT(ISBLANK($G$21)),"value overruled",G8)</f>
        <v>350</v>
      </c>
      <c r="I8" s="172" t="s">
        <v>4</v>
      </c>
      <c r="J8" s="264"/>
      <c r="K8" s="417"/>
    </row>
    <row r="9" spans="1:29" s="96" customFormat="1" ht="15.95" customHeight="1" x14ac:dyDescent="0.2">
      <c r="A9" s="259"/>
      <c r="B9" s="212"/>
      <c r="C9" s="220"/>
      <c r="D9" s="221" t="s">
        <v>107</v>
      </c>
      <c r="E9" s="221"/>
      <c r="F9" s="160" t="s">
        <v>139</v>
      </c>
      <c r="G9" s="463"/>
      <c r="H9" s="156" t="str">
        <f>IF(AND(ISBLANK($G$21),ISBLANK($G$13)),G9,"value overruled")</f>
        <v>value overruled</v>
      </c>
      <c r="I9" s="168" t="s">
        <v>120</v>
      </c>
      <c r="J9" s="263"/>
      <c r="K9" s="417"/>
    </row>
    <row r="10" spans="1:29" s="96" customFormat="1" ht="15.95" customHeight="1" x14ac:dyDescent="0.2">
      <c r="A10" s="259"/>
      <c r="B10" s="212"/>
      <c r="C10" s="210"/>
      <c r="D10" s="211" t="s">
        <v>103</v>
      </c>
      <c r="E10" s="211"/>
      <c r="F10" s="156" t="s">
        <v>139</v>
      </c>
      <c r="G10" s="451"/>
      <c r="H10" s="156" t="str">
        <f>IF(AND(ISBLANK($G$21),ISBLANK($G$13)),G10,"value overruled")</f>
        <v>value overruled</v>
      </c>
      <c r="I10" s="168" t="s">
        <v>121</v>
      </c>
      <c r="J10" s="263"/>
      <c r="K10" s="417"/>
    </row>
    <row r="11" spans="1:29" s="96" customFormat="1" ht="15.95" customHeight="1" x14ac:dyDescent="0.2">
      <c r="A11" s="259"/>
      <c r="B11" s="212"/>
      <c r="C11" s="210"/>
      <c r="D11" s="211" t="s">
        <v>104</v>
      </c>
      <c r="E11" s="211"/>
      <c r="F11" s="156" t="s">
        <v>139</v>
      </c>
      <c r="G11" s="451"/>
      <c r="H11" s="156" t="str">
        <f>IF(AND(ISBLANK($G$21),ISBLANK($G$13)),G11,"value overruled")</f>
        <v>value overruled</v>
      </c>
      <c r="I11" s="168" t="s">
        <v>122</v>
      </c>
      <c r="J11" s="263"/>
      <c r="K11" s="417"/>
    </row>
    <row r="12" spans="1:29" s="96" customFormat="1" ht="15.95" customHeight="1" x14ac:dyDescent="0.2">
      <c r="A12" s="259"/>
      <c r="B12" s="212"/>
      <c r="C12" s="213"/>
      <c r="D12" s="214" t="s">
        <v>109</v>
      </c>
      <c r="E12" s="214"/>
      <c r="F12" s="157" t="s">
        <v>139</v>
      </c>
      <c r="G12" s="452"/>
      <c r="H12" s="169" t="str">
        <f>IF(Project!D2="onshore","applies to offshore only",IF(AND(ISBLANK($G$21),ISBLANK($G$13)),G12,"value overruled"))</f>
        <v>value overruled</v>
      </c>
      <c r="I12" s="170" t="s">
        <v>66</v>
      </c>
      <c r="J12" s="263"/>
      <c r="K12" s="417"/>
    </row>
    <row r="13" spans="1:29" s="95" customFormat="1" ht="15.95" customHeight="1" x14ac:dyDescent="0.2">
      <c r="A13" s="260"/>
      <c r="B13" s="222"/>
      <c r="C13" s="223" t="s">
        <v>102</v>
      </c>
      <c r="D13" s="224"/>
      <c r="E13" s="224"/>
      <c r="F13" s="161" t="s">
        <v>139</v>
      </c>
      <c r="G13" s="453">
        <v>119</v>
      </c>
      <c r="H13" s="171">
        <f>IF(NOT(ISBLANK($G$21)),"value overruled",IF(ISBLANK(G13),SUM(G9:G11)+IF(Project!D2="onshore",0,G12),G13))</f>
        <v>119</v>
      </c>
      <c r="I13" s="172" t="s">
        <v>123</v>
      </c>
      <c r="J13" s="264"/>
      <c r="K13" s="417"/>
    </row>
    <row r="14" spans="1:29" s="96" customFormat="1" ht="15.95" customHeight="1" x14ac:dyDescent="0.2">
      <c r="A14" s="259"/>
      <c r="B14" s="209"/>
      <c r="C14" s="220"/>
      <c r="D14" s="225"/>
      <c r="E14" s="221" t="s">
        <v>116</v>
      </c>
      <c r="F14" s="160" t="s">
        <v>139</v>
      </c>
      <c r="G14" s="463"/>
      <c r="H14" s="156" t="str">
        <f>IF(AND(ISBLANK($G$16),ISBLANK($G$20),ISBLANK($G$21)),G14,"value overruled")</f>
        <v>value overruled</v>
      </c>
      <c r="I14" s="168" t="s">
        <v>124</v>
      </c>
      <c r="J14" s="263"/>
      <c r="K14" s="417"/>
    </row>
    <row r="15" spans="1:29" s="96" customFormat="1" ht="15.95" customHeight="1" x14ac:dyDescent="0.2">
      <c r="A15" s="259"/>
      <c r="B15" s="209"/>
      <c r="C15" s="210"/>
      <c r="D15" s="226"/>
      <c r="E15" s="227" t="str">
        <f>IF(Project!D2="onshore","Environmental surveys","Environmental and geotechnical surveys")</f>
        <v>Environmental and geotechnical surveys</v>
      </c>
      <c r="F15" s="162" t="s">
        <v>139</v>
      </c>
      <c r="G15" s="464"/>
      <c r="H15" s="173" t="str">
        <f>IF(AND(ISBLANK($G$16),ISBLANK($G$20),ISBLANK($G$21)),G15,"value overruled")</f>
        <v>value overruled</v>
      </c>
      <c r="I15" s="174" t="s">
        <v>125</v>
      </c>
      <c r="J15" s="263"/>
      <c r="K15" s="417"/>
    </row>
    <row r="16" spans="1:29" s="96" customFormat="1" ht="15.95" customHeight="1" x14ac:dyDescent="0.2">
      <c r="A16" s="259"/>
      <c r="B16" s="209"/>
      <c r="C16" s="210"/>
      <c r="D16" s="228" t="s">
        <v>115</v>
      </c>
      <c r="E16" s="229"/>
      <c r="F16" s="163" t="s">
        <v>139</v>
      </c>
      <c r="G16" s="465"/>
      <c r="H16" s="175" t="str">
        <f>IF(AND(ISBLANK($G$20),ISBLANK($G$21)),IF(ISBLANK(G16),SUM(G14:G15),G16),"value overruled")</f>
        <v>value overruled</v>
      </c>
      <c r="I16" s="176" t="s">
        <v>126</v>
      </c>
      <c r="J16" s="263"/>
      <c r="K16" s="417"/>
    </row>
    <row r="17" spans="1:14" s="96" customFormat="1" ht="15.95" customHeight="1" x14ac:dyDescent="0.2">
      <c r="A17" s="259"/>
      <c r="B17" s="209"/>
      <c r="C17" s="210"/>
      <c r="D17" s="211" t="str">
        <f>IF(Project!D2="onshore","Access roads","O&amp;M facilities")</f>
        <v>O&amp;M facilities</v>
      </c>
      <c r="E17" s="211"/>
      <c r="F17" s="156" t="s">
        <v>139</v>
      </c>
      <c r="G17" s="451"/>
      <c r="H17" s="156" t="str">
        <f>IF(AND(ISBLANK($G$20),ISBLANK($G$21)),G17,"value overruled")</f>
        <v>value overruled</v>
      </c>
      <c r="I17" s="168" t="s">
        <v>127</v>
      </c>
      <c r="J17" s="263"/>
      <c r="K17" s="417"/>
    </row>
    <row r="18" spans="1:14" s="96" customFormat="1" ht="15.95" customHeight="1" x14ac:dyDescent="0.2">
      <c r="A18" s="259"/>
      <c r="B18" s="209"/>
      <c r="C18" s="210"/>
      <c r="D18" s="211" t="s">
        <v>114</v>
      </c>
      <c r="E18" s="211"/>
      <c r="F18" s="156" t="s">
        <v>139</v>
      </c>
      <c r="G18" s="451"/>
      <c r="H18" s="156" t="str">
        <f>IF(AND(ISBLANK($G$20),ISBLANK($G$21)),G18,"value overruled")</f>
        <v>value overruled</v>
      </c>
      <c r="I18" s="168" t="s">
        <v>93</v>
      </c>
      <c r="J18" s="263"/>
      <c r="K18" s="417"/>
    </row>
    <row r="19" spans="1:14" s="96" customFormat="1" ht="15.95" customHeight="1" x14ac:dyDescent="0.2">
      <c r="A19" s="259"/>
      <c r="B19" s="209"/>
      <c r="C19" s="213"/>
      <c r="D19" s="214" t="s">
        <v>111</v>
      </c>
      <c r="E19" s="214"/>
      <c r="F19" s="157" t="s">
        <v>139</v>
      </c>
      <c r="G19" s="452"/>
      <c r="H19" s="169" t="str">
        <f>IF(AND(ISBLANK($G$20),ISBLANK($G$21)),G19,"value overruled")</f>
        <v>value overruled</v>
      </c>
      <c r="I19" s="170" t="s">
        <v>128</v>
      </c>
      <c r="J19" s="263"/>
      <c r="K19" s="417"/>
      <c r="N19" s="418"/>
    </row>
    <row r="20" spans="1:14" s="95" customFormat="1" ht="15.95" customHeight="1" x14ac:dyDescent="0.2">
      <c r="A20" s="260"/>
      <c r="B20" s="222"/>
      <c r="C20" s="216" t="s">
        <v>110</v>
      </c>
      <c r="D20" s="217"/>
      <c r="E20" s="217"/>
      <c r="F20" s="158" t="s">
        <v>139</v>
      </c>
      <c r="G20" s="454">
        <f>196+16</f>
        <v>212</v>
      </c>
      <c r="H20" s="171">
        <f>IF(NOT(ISBLANK($G$21)),"value overruled",IF(ISBLANK(G20),SUM(H16,G17:G19),G20))</f>
        <v>212</v>
      </c>
      <c r="I20" s="172" t="s">
        <v>129</v>
      </c>
      <c r="J20" s="264"/>
      <c r="K20" s="417"/>
    </row>
    <row r="21" spans="1:14" s="97" customFormat="1" ht="15.95" customHeight="1" thickBot="1" x14ac:dyDescent="0.25">
      <c r="A21" s="261"/>
      <c r="B21" s="230" t="s">
        <v>11</v>
      </c>
      <c r="C21" s="231"/>
      <c r="D21" s="231"/>
      <c r="E21" s="231"/>
      <c r="F21" s="166" t="s">
        <v>139</v>
      </c>
      <c r="G21" s="466"/>
      <c r="H21" s="188">
        <f>IF(ISBLANK(G21),SUM(H7,H8,H13,H20),G21)</f>
        <v>1741</v>
      </c>
      <c r="I21" s="177" t="s">
        <v>130</v>
      </c>
      <c r="J21" s="265"/>
      <c r="K21" s="417"/>
    </row>
    <row r="22" spans="1:14" s="97" customFormat="1" ht="3.75" customHeight="1" thickBot="1" x14ac:dyDescent="0.25">
      <c r="A22" s="261"/>
      <c r="B22" s="266"/>
      <c r="C22" s="267"/>
      <c r="D22" s="267"/>
      <c r="E22" s="267"/>
      <c r="F22" s="156"/>
      <c r="G22" s="479"/>
      <c r="H22" s="187"/>
      <c r="I22" s="268"/>
      <c r="J22" s="265"/>
      <c r="K22" s="417"/>
    </row>
    <row r="23" spans="1:14" s="95" customFormat="1" ht="15.95" customHeight="1" x14ac:dyDescent="0.2">
      <c r="A23" s="260"/>
      <c r="B23" s="232"/>
      <c r="C23" s="233" t="s">
        <v>117</v>
      </c>
      <c r="D23" s="234"/>
      <c r="E23" s="234"/>
      <c r="F23" s="178" t="s">
        <v>139</v>
      </c>
      <c r="G23" s="467"/>
      <c r="H23" s="339" t="str">
        <f>IF(ISBLANK($G$25),G23,"value overruled")</f>
        <v>value overruled</v>
      </c>
      <c r="I23" s="179" t="s">
        <v>131</v>
      </c>
      <c r="J23" s="264"/>
      <c r="K23" s="417"/>
    </row>
    <row r="24" spans="1:14" s="95" customFormat="1" ht="15.95" customHeight="1" x14ac:dyDescent="0.2">
      <c r="A24" s="260"/>
      <c r="B24" s="222"/>
      <c r="C24" s="218" t="s">
        <v>113</v>
      </c>
      <c r="D24" s="219"/>
      <c r="E24" s="219"/>
      <c r="F24" s="159" t="s">
        <v>139</v>
      </c>
      <c r="G24" s="455"/>
      <c r="H24" s="340" t="str">
        <f>IF(ISBLANK($G$25),G24,"value overruled")</f>
        <v>value overruled</v>
      </c>
      <c r="I24" s="172" t="s">
        <v>67</v>
      </c>
      <c r="J24" s="264"/>
      <c r="K24" s="417"/>
    </row>
    <row r="25" spans="1:14" s="97" customFormat="1" ht="15.95" customHeight="1" thickBot="1" x14ac:dyDescent="0.25">
      <c r="A25" s="261"/>
      <c r="B25" s="230" t="s">
        <v>112</v>
      </c>
      <c r="C25" s="231"/>
      <c r="D25" s="231"/>
      <c r="E25" s="231"/>
      <c r="F25" s="166" t="s">
        <v>139</v>
      </c>
      <c r="G25" s="458">
        <v>44</v>
      </c>
      <c r="H25" s="188">
        <f>IF(ISBLANK($G$25),H23-H24,G25)</f>
        <v>44</v>
      </c>
      <c r="I25" s="177" t="s">
        <v>132</v>
      </c>
      <c r="J25" s="265"/>
      <c r="K25" s="417"/>
    </row>
    <row r="26" spans="1:14" s="97" customFormat="1" ht="3.75" customHeight="1" thickBot="1" x14ac:dyDescent="0.25">
      <c r="A26" s="261"/>
      <c r="B26" s="267"/>
      <c r="C26" s="267"/>
      <c r="D26" s="267"/>
      <c r="E26" s="267"/>
      <c r="F26" s="156"/>
      <c r="G26" s="478"/>
      <c r="H26" s="187"/>
      <c r="I26" s="269"/>
      <c r="J26" s="265"/>
      <c r="K26" s="417"/>
    </row>
    <row r="27" spans="1:14" ht="15.95" customHeight="1" x14ac:dyDescent="0.2">
      <c r="A27" s="260"/>
      <c r="B27" s="235" t="s">
        <v>7</v>
      </c>
      <c r="C27" s="236"/>
      <c r="D27" s="236"/>
      <c r="E27" s="236"/>
      <c r="F27" s="180" t="s">
        <v>9</v>
      </c>
      <c r="G27" s="468">
        <v>4355</v>
      </c>
      <c r="H27" s="341">
        <f>IF(ISBLANK(G27),1000*Project!D6/(Project!D3*Project!D4),G27)</f>
        <v>4355</v>
      </c>
      <c r="I27" s="181"/>
      <c r="J27" s="147"/>
      <c r="K27" s="417"/>
      <c r="L27" s="7"/>
    </row>
    <row r="28" spans="1:14" ht="15.95" customHeight="1" x14ac:dyDescent="0.2">
      <c r="A28" s="260"/>
      <c r="B28" s="237" t="s">
        <v>179</v>
      </c>
      <c r="C28" s="238"/>
      <c r="D28" s="238"/>
      <c r="E28" s="238"/>
      <c r="F28" s="183"/>
      <c r="G28" s="469">
        <v>0.3</v>
      </c>
      <c r="H28" s="184">
        <f>G28</f>
        <v>0.3</v>
      </c>
      <c r="I28" s="185"/>
      <c r="J28" s="147"/>
      <c r="K28" s="417"/>
      <c r="L28" s="7"/>
    </row>
    <row r="29" spans="1:14" ht="15.95" customHeight="1" x14ac:dyDescent="0.2">
      <c r="A29" s="260"/>
      <c r="B29" s="237" t="s">
        <v>180</v>
      </c>
      <c r="C29" s="238"/>
      <c r="D29" s="238"/>
      <c r="E29" s="238"/>
      <c r="F29" s="183"/>
      <c r="G29" s="469">
        <v>0.7</v>
      </c>
      <c r="H29" s="184">
        <f t="shared" ref="H29:H34" si="0">G29</f>
        <v>0.7</v>
      </c>
      <c r="I29" s="185"/>
      <c r="J29" s="147"/>
      <c r="K29" s="417"/>
      <c r="L29" s="7"/>
    </row>
    <row r="30" spans="1:14" ht="15.95" customHeight="1" x14ac:dyDescent="0.2">
      <c r="A30" s="260"/>
      <c r="B30" s="237" t="s">
        <v>181</v>
      </c>
      <c r="C30" s="238"/>
      <c r="D30" s="238"/>
      <c r="E30" s="238"/>
      <c r="F30" s="183"/>
      <c r="G30" s="469">
        <v>0</v>
      </c>
      <c r="H30" s="184">
        <f t="shared" si="0"/>
        <v>0</v>
      </c>
      <c r="I30" s="185"/>
      <c r="J30" s="147"/>
      <c r="K30" s="417"/>
      <c r="L30" s="7"/>
    </row>
    <row r="31" spans="1:14" ht="15.95" customHeight="1" x14ac:dyDescent="0.2">
      <c r="A31" s="260"/>
      <c r="B31" s="237" t="s">
        <v>182</v>
      </c>
      <c r="C31" s="238"/>
      <c r="D31" s="238"/>
      <c r="E31" s="238"/>
      <c r="F31" s="183"/>
      <c r="G31" s="469">
        <v>1</v>
      </c>
      <c r="H31" s="184">
        <f t="shared" si="0"/>
        <v>1</v>
      </c>
      <c r="I31" s="185"/>
      <c r="J31" s="147"/>
      <c r="K31" s="417"/>
      <c r="L31" s="7"/>
    </row>
    <row r="32" spans="1:14" ht="15.95" customHeight="1" x14ac:dyDescent="0.2">
      <c r="A32" s="260"/>
      <c r="B32" s="237" t="s">
        <v>183</v>
      </c>
      <c r="C32" s="238"/>
      <c r="D32" s="238"/>
      <c r="E32" s="238"/>
      <c r="F32" s="183" t="s">
        <v>10</v>
      </c>
      <c r="G32" s="470">
        <v>1</v>
      </c>
      <c r="H32" s="343">
        <f t="shared" si="0"/>
        <v>1</v>
      </c>
      <c r="I32" s="185"/>
      <c r="J32" s="147"/>
      <c r="K32" s="417"/>
      <c r="L32" s="7"/>
    </row>
    <row r="33" spans="1:12" ht="15.95" customHeight="1" x14ac:dyDescent="0.2">
      <c r="A33" s="260"/>
      <c r="B33" s="237" t="s">
        <v>184</v>
      </c>
      <c r="C33" s="238"/>
      <c r="D33" s="238"/>
      <c r="E33" s="238"/>
      <c r="F33" s="183"/>
      <c r="G33" s="469">
        <v>0</v>
      </c>
      <c r="H33" s="342">
        <f t="shared" si="0"/>
        <v>0</v>
      </c>
      <c r="I33" s="185"/>
      <c r="J33" s="147"/>
      <c r="K33" s="417"/>
      <c r="L33" s="7"/>
    </row>
    <row r="34" spans="1:12" ht="15.95" customHeight="1" x14ac:dyDescent="0.2">
      <c r="A34" s="260"/>
      <c r="B34" s="237" t="s">
        <v>185</v>
      </c>
      <c r="C34" s="238"/>
      <c r="D34" s="238"/>
      <c r="E34" s="238"/>
      <c r="F34" s="183" t="s">
        <v>10</v>
      </c>
      <c r="G34" s="470">
        <v>1</v>
      </c>
      <c r="H34" s="344">
        <f t="shared" si="0"/>
        <v>1</v>
      </c>
      <c r="I34" s="185"/>
      <c r="J34" s="147"/>
      <c r="K34" s="417"/>
      <c r="L34" s="7"/>
    </row>
    <row r="35" spans="1:12" ht="15.95" customHeight="1" x14ac:dyDescent="0.2">
      <c r="A35" s="260"/>
      <c r="B35" s="237" t="s">
        <v>8</v>
      </c>
      <c r="C35" s="238"/>
      <c r="D35" s="238"/>
      <c r="E35" s="238"/>
      <c r="F35" s="156" t="s">
        <v>10</v>
      </c>
      <c r="G35" s="471">
        <v>25</v>
      </c>
      <c r="H35" s="187">
        <f>G35</f>
        <v>25</v>
      </c>
      <c r="I35" s="185"/>
      <c r="J35" s="147"/>
      <c r="K35" s="417"/>
      <c r="L35" s="7"/>
    </row>
    <row r="36" spans="1:12" ht="15.95" customHeight="1" x14ac:dyDescent="0.2">
      <c r="A36" s="260"/>
      <c r="B36" s="237" t="s">
        <v>227</v>
      </c>
      <c r="C36" s="238"/>
      <c r="D36" s="238"/>
      <c r="E36" s="238"/>
      <c r="F36" s="156" t="s">
        <v>10</v>
      </c>
      <c r="G36" s="471">
        <v>25</v>
      </c>
      <c r="H36" s="187">
        <f>G36</f>
        <v>25</v>
      </c>
      <c r="I36" s="185"/>
      <c r="J36" s="147"/>
      <c r="K36" s="417"/>
      <c r="L36" s="7"/>
    </row>
    <row r="37" spans="1:12" ht="15.95" customHeight="1" x14ac:dyDescent="0.2">
      <c r="A37" s="260"/>
      <c r="B37" s="237"/>
      <c r="C37" s="238" t="s">
        <v>35</v>
      </c>
      <c r="D37" s="238"/>
      <c r="E37" s="238"/>
      <c r="F37" s="156" t="s">
        <v>10</v>
      </c>
      <c r="G37" s="471">
        <v>15</v>
      </c>
      <c r="H37" s="156">
        <f>IF(ISBLANK(G37),G35,G37)</f>
        <v>15</v>
      </c>
      <c r="I37" s="185"/>
      <c r="J37" s="147"/>
      <c r="K37" s="417"/>
      <c r="L37" s="7"/>
    </row>
    <row r="38" spans="1:12" ht="15.95" customHeight="1" x14ac:dyDescent="0.2">
      <c r="A38" s="260"/>
      <c r="B38" s="239" t="s">
        <v>28</v>
      </c>
      <c r="C38" s="240"/>
      <c r="D38" s="240"/>
      <c r="E38" s="240"/>
      <c r="F38" s="156" t="s">
        <v>10</v>
      </c>
      <c r="G38" s="471">
        <v>15</v>
      </c>
      <c r="H38" s="187">
        <f>G38</f>
        <v>15</v>
      </c>
      <c r="I38" s="185"/>
      <c r="J38" s="147"/>
      <c r="K38" s="417"/>
      <c r="L38" s="7"/>
    </row>
    <row r="39" spans="1:12" ht="15.95" customHeight="1" thickBot="1" x14ac:dyDescent="0.25">
      <c r="A39" s="260"/>
      <c r="B39" s="241" t="s">
        <v>34</v>
      </c>
      <c r="C39" s="242"/>
      <c r="D39" s="242"/>
      <c r="E39" s="242"/>
      <c r="F39" s="166" t="s">
        <v>10</v>
      </c>
      <c r="G39" s="471">
        <v>15</v>
      </c>
      <c r="H39" s="188">
        <f>G39</f>
        <v>15</v>
      </c>
      <c r="I39" s="189"/>
      <c r="J39" s="147"/>
      <c r="K39" s="417"/>
      <c r="L39" s="7"/>
    </row>
    <row r="40" spans="1:12" ht="3.75" customHeight="1" thickBot="1" x14ac:dyDescent="0.25">
      <c r="A40" s="134"/>
      <c r="B40" s="194"/>
      <c r="C40" s="134"/>
      <c r="D40" s="134"/>
      <c r="E40" s="134"/>
      <c r="F40" s="270"/>
      <c r="G40" s="477"/>
      <c r="H40" s="270"/>
      <c r="I40" s="258"/>
      <c r="J40" s="134"/>
      <c r="K40" s="417"/>
    </row>
    <row r="41" spans="1:12" ht="15.95" customHeight="1" x14ac:dyDescent="0.2">
      <c r="A41" s="262"/>
      <c r="B41" s="245" t="s">
        <v>178</v>
      </c>
      <c r="C41" s="246"/>
      <c r="D41" s="246"/>
      <c r="E41" s="246"/>
      <c r="F41" s="180"/>
      <c r="G41" s="472">
        <v>0.02</v>
      </c>
      <c r="H41" s="271">
        <f t="shared" ref="H41:H47" si="1">G41</f>
        <v>0.02</v>
      </c>
      <c r="I41" s="181"/>
      <c r="J41" s="147"/>
      <c r="K41" s="417"/>
      <c r="L41" s="7"/>
    </row>
    <row r="42" spans="1:12" ht="15.95" customHeight="1" x14ac:dyDescent="0.2">
      <c r="A42" s="262"/>
      <c r="B42" s="245" t="s">
        <v>186</v>
      </c>
      <c r="C42" s="245"/>
      <c r="D42" s="245"/>
      <c r="E42" s="245"/>
      <c r="F42" s="183"/>
      <c r="G42" s="473">
        <v>0</v>
      </c>
      <c r="H42" s="191">
        <f>G42</f>
        <v>0</v>
      </c>
      <c r="I42" s="185"/>
      <c r="J42" s="147"/>
      <c r="K42" s="417"/>
      <c r="L42" s="7"/>
    </row>
    <row r="43" spans="1:12" ht="15.95" customHeight="1" x14ac:dyDescent="0.2">
      <c r="A43" s="260"/>
      <c r="B43" s="237" t="s">
        <v>29</v>
      </c>
      <c r="C43" s="238"/>
      <c r="D43" s="238"/>
      <c r="E43" s="238"/>
      <c r="F43" s="183"/>
      <c r="G43" s="473">
        <v>2.5000000000000001E-2</v>
      </c>
      <c r="H43" s="191">
        <f t="shared" si="1"/>
        <v>2.5000000000000001E-2</v>
      </c>
      <c r="I43" s="185"/>
      <c r="J43" s="147"/>
      <c r="K43" s="417"/>
      <c r="L43" s="7"/>
    </row>
    <row r="44" spans="1:12" ht="15.95" customHeight="1" x14ac:dyDescent="0.2">
      <c r="A44" s="260"/>
      <c r="B44" s="237" t="s">
        <v>30</v>
      </c>
      <c r="C44" s="238"/>
      <c r="D44" s="238"/>
      <c r="E44" s="238"/>
      <c r="F44" s="183"/>
      <c r="G44" s="473">
        <v>0.12</v>
      </c>
      <c r="H44" s="191">
        <f t="shared" si="1"/>
        <v>0.12</v>
      </c>
      <c r="I44" s="185"/>
      <c r="J44" s="147"/>
      <c r="K44" s="417"/>
      <c r="L44" s="7"/>
    </row>
    <row r="45" spans="1:12" ht="15.95" customHeight="1" x14ac:dyDescent="0.2">
      <c r="A45" s="148"/>
      <c r="B45" s="237" t="s">
        <v>160</v>
      </c>
      <c r="C45" s="238"/>
      <c r="D45" s="238"/>
      <c r="E45" s="238"/>
      <c r="F45" s="183"/>
      <c r="G45" s="474">
        <v>0.3</v>
      </c>
      <c r="H45" s="190">
        <f t="shared" si="1"/>
        <v>0.3</v>
      </c>
      <c r="I45" s="185"/>
      <c r="J45" s="134"/>
      <c r="K45" s="417"/>
    </row>
    <row r="46" spans="1:12" ht="15.95" customHeight="1" x14ac:dyDescent="0.2">
      <c r="A46" s="521"/>
      <c r="B46" s="239" t="s">
        <v>161</v>
      </c>
      <c r="C46" s="240"/>
      <c r="D46" s="240"/>
      <c r="E46" s="240"/>
      <c r="F46" s="156"/>
      <c r="G46" s="389">
        <f>1-G45</f>
        <v>0.7</v>
      </c>
      <c r="H46" s="190">
        <f t="shared" si="1"/>
        <v>0.7</v>
      </c>
      <c r="I46" s="185"/>
      <c r="J46" s="134"/>
      <c r="K46" s="417"/>
    </row>
    <row r="47" spans="1:12" ht="15.95" customHeight="1" thickBot="1" x14ac:dyDescent="0.25">
      <c r="A47" s="522"/>
      <c r="B47" s="247" t="s">
        <v>31</v>
      </c>
      <c r="C47" s="248"/>
      <c r="D47" s="248"/>
      <c r="E47" s="248"/>
      <c r="F47" s="192"/>
      <c r="G47" s="475">
        <v>0.25</v>
      </c>
      <c r="H47" s="193">
        <f t="shared" si="1"/>
        <v>0.25</v>
      </c>
      <c r="I47" s="189"/>
      <c r="J47" s="134"/>
      <c r="K47" s="417"/>
    </row>
    <row r="48" spans="1:12" ht="3.75" customHeight="1" thickBot="1" x14ac:dyDescent="0.25">
      <c r="A48" s="522"/>
      <c r="B48" s="134"/>
      <c r="C48" s="134"/>
      <c r="D48" s="134"/>
      <c r="E48" s="134"/>
      <c r="F48" s="196"/>
      <c r="G48" s="196"/>
      <c r="H48" s="258"/>
      <c r="I48" s="151"/>
      <c r="J48" s="134"/>
      <c r="K48" s="417"/>
    </row>
    <row r="49" spans="1:11" ht="15.95" customHeight="1" thickBot="1" x14ac:dyDescent="0.25">
      <c r="A49" s="147"/>
      <c r="B49" s="243" t="s">
        <v>223</v>
      </c>
      <c r="C49" s="244"/>
      <c r="D49" s="244"/>
      <c r="E49" s="244"/>
      <c r="F49" s="195" t="s">
        <v>9</v>
      </c>
      <c r="G49" s="476">
        <v>8760</v>
      </c>
      <c r="H49" s="196">
        <f>G49</f>
        <v>8760</v>
      </c>
      <c r="I49" s="197"/>
      <c r="J49" s="134"/>
      <c r="K49" s="417"/>
    </row>
    <row r="50" spans="1:11" ht="3.75" customHeight="1" x14ac:dyDescent="0.2">
      <c r="A50" s="134"/>
      <c r="B50" s="134"/>
      <c r="C50" s="134"/>
      <c r="D50" s="134"/>
      <c r="E50" s="134"/>
      <c r="F50" s="258"/>
      <c r="G50" s="258"/>
      <c r="H50" s="258"/>
      <c r="I50" s="258"/>
      <c r="J50" s="134"/>
      <c r="K50" s="417"/>
    </row>
    <row r="51" spans="1:11" ht="15.95" customHeight="1" x14ac:dyDescent="0.2">
      <c r="K51" s="416"/>
    </row>
  </sheetData>
  <sheetProtection algorithmName="SHA-512" hashValue="enU+fVKJNbQz0ijq3LBaifvtHJBzm3Zn0lPIkk7S7XWWJxUsxoucNOXZEfahPyl3uBjfWV4LkbrNe0o533m/kQ==" saltValue="CMiyfb7xmffnWlVZpeLOdw==" spinCount="100000" sheet="1" objects="1" scenarios="1"/>
  <dataConsolidate/>
  <mergeCells count="1">
    <mergeCell ref="A46:A48"/>
  </mergeCells>
  <phoneticPr fontId="0" type="noConversion"/>
  <dataValidations count="2">
    <dataValidation type="custom" errorStyle="warning" allowBlank="1" showErrorMessage="1" errorTitle="Negative scrap value" error="The scrap value should be a positive number." sqref="G24" xr:uid="{00000000-0002-0000-0200-000000000000}">
      <formula1>G24&gt;=0</formula1>
    </dataValidation>
    <dataValidation allowBlank="1" showInputMessage="1" showErrorMessage="1" promptTitle="Operational time" prompt="If omitted, value is deduced from Project worksheet." sqref="G27" xr:uid="{00000000-0002-0000-0200-000001000000}"/>
  </dataValidations>
  <pageMargins left="0.75" right="0.75" top="1" bottom="1" header="0.5" footer="0.5"/>
  <pageSetup paperSize="9" scale="83" orientation="landscape" r:id="rId1"/>
  <headerFooter alignWithMargins="0">
    <oddFooter>&amp;L&amp;D&amp;RVersie  2003.1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8">
    <tabColor indexed="48"/>
    <pageSetUpPr fitToPage="1"/>
  </sheetPr>
  <dimension ref="A1:BV34"/>
  <sheetViews>
    <sheetView showGridLines="0" zoomScaleNormal="100" workbookViewId="0">
      <selection activeCell="E41" sqref="E41"/>
    </sheetView>
  </sheetViews>
  <sheetFormatPr defaultRowHeight="15.95" customHeight="1" x14ac:dyDescent="0.2"/>
  <cols>
    <col min="1" max="1" width="1.42578125" customWidth="1"/>
    <col min="2" max="4" width="5.7109375" customWidth="1"/>
    <col min="5" max="5" width="37" bestFit="1" customWidth="1"/>
    <col min="6" max="6" width="12.85546875" style="28" bestFit="1" customWidth="1"/>
    <col min="7" max="7" width="12.42578125" style="28" customWidth="1"/>
    <col min="8" max="8" width="12.85546875" style="28" customWidth="1"/>
    <col min="9" max="9" width="12.85546875" style="28" bestFit="1" customWidth="1"/>
    <col min="10" max="10" width="21.42578125" style="28" bestFit="1" customWidth="1"/>
    <col min="11" max="11" width="1.42578125" customWidth="1"/>
    <col min="12" max="12" width="0" hidden="1" customWidth="1"/>
    <col min="43" max="43" width="0.7109375" customWidth="1"/>
    <col min="74" max="74" width="0.85546875" customWidth="1"/>
  </cols>
  <sheetData>
    <row r="1" spans="1:74" s="22" customFormat="1" ht="23.25" x14ac:dyDescent="0.35">
      <c r="A1" s="198"/>
      <c r="B1" s="199"/>
      <c r="C1" s="199"/>
      <c r="D1" s="199"/>
      <c r="E1" s="199"/>
      <c r="F1" s="200"/>
      <c r="G1" s="525" t="s">
        <v>167</v>
      </c>
      <c r="H1" s="200"/>
      <c r="I1" s="201"/>
      <c r="J1" s="200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</row>
    <row r="2" spans="1:74" ht="15.95" customHeight="1" x14ac:dyDescent="0.2">
      <c r="A2" s="272"/>
      <c r="B2" s="272"/>
      <c r="C2" s="272"/>
      <c r="D2" s="272"/>
      <c r="E2" s="272"/>
      <c r="F2" s="273"/>
      <c r="G2" s="526"/>
      <c r="H2" s="273"/>
      <c r="I2" s="274" t="s">
        <v>106</v>
      </c>
      <c r="J2" s="273"/>
      <c r="K2" s="272"/>
      <c r="L2" s="272"/>
      <c r="M2" s="275" t="s">
        <v>163</v>
      </c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5" t="s">
        <v>165</v>
      </c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F2" s="272"/>
      <c r="BG2" s="272"/>
      <c r="BH2" s="272"/>
      <c r="BI2" s="272"/>
      <c r="BJ2" s="272"/>
      <c r="BK2" s="272"/>
      <c r="BL2" s="272"/>
      <c r="BM2" s="272"/>
      <c r="BN2" s="272"/>
      <c r="BO2" s="272"/>
      <c r="BP2" s="272"/>
      <c r="BQ2" s="272"/>
      <c r="BR2" s="272"/>
      <c r="BS2" s="272"/>
      <c r="BT2" s="272"/>
      <c r="BU2" s="272"/>
      <c r="BV2" s="272"/>
    </row>
    <row r="3" spans="1:74" ht="15.95" customHeight="1" thickBot="1" x14ac:dyDescent="0.25">
      <c r="A3" s="202"/>
      <c r="B3" s="203" t="s">
        <v>20</v>
      </c>
      <c r="C3" s="203"/>
      <c r="D3" s="203"/>
      <c r="E3" s="203"/>
      <c r="F3" s="204" t="s">
        <v>21</v>
      </c>
      <c r="G3" s="527"/>
      <c r="H3" s="204" t="s">
        <v>164</v>
      </c>
      <c r="I3" s="204" t="s">
        <v>166</v>
      </c>
      <c r="J3" s="204" t="s">
        <v>133</v>
      </c>
      <c r="K3" s="205"/>
      <c r="L3" s="272"/>
      <c r="M3" s="276">
        <v>1</v>
      </c>
      <c r="N3" s="276">
        <v>2</v>
      </c>
      <c r="O3" s="276">
        <v>3</v>
      </c>
      <c r="P3" s="276">
        <v>4</v>
      </c>
      <c r="Q3" s="276">
        <v>5</v>
      </c>
      <c r="R3" s="276">
        <v>6</v>
      </c>
      <c r="S3" s="276">
        <v>7</v>
      </c>
      <c r="T3" s="276">
        <v>8</v>
      </c>
      <c r="U3" s="276">
        <v>9</v>
      </c>
      <c r="V3" s="276">
        <v>10</v>
      </c>
      <c r="W3" s="276">
        <v>11</v>
      </c>
      <c r="X3" s="276">
        <v>12</v>
      </c>
      <c r="Y3" s="276">
        <v>13</v>
      </c>
      <c r="Z3" s="276">
        <v>14</v>
      </c>
      <c r="AA3" s="276">
        <v>15</v>
      </c>
      <c r="AB3" s="276">
        <v>16</v>
      </c>
      <c r="AC3" s="276">
        <v>17</v>
      </c>
      <c r="AD3" s="276">
        <v>18</v>
      </c>
      <c r="AE3" s="276">
        <v>19</v>
      </c>
      <c r="AF3" s="276">
        <v>20</v>
      </c>
      <c r="AG3" s="276">
        <v>21</v>
      </c>
      <c r="AH3" s="276">
        <v>22</v>
      </c>
      <c r="AI3" s="276">
        <v>23</v>
      </c>
      <c r="AJ3" s="276">
        <v>24</v>
      </c>
      <c r="AK3" s="276">
        <v>25</v>
      </c>
      <c r="AL3" s="276">
        <v>26</v>
      </c>
      <c r="AM3" s="276">
        <v>27</v>
      </c>
      <c r="AN3" s="276">
        <v>28</v>
      </c>
      <c r="AO3" s="276">
        <v>29</v>
      </c>
      <c r="AP3" s="276">
        <v>30</v>
      </c>
      <c r="AQ3" s="205"/>
      <c r="AR3" s="276">
        <v>1</v>
      </c>
      <c r="AS3" s="276">
        <v>2</v>
      </c>
      <c r="AT3" s="276">
        <v>3</v>
      </c>
      <c r="AU3" s="276">
        <v>4</v>
      </c>
      <c r="AV3" s="276">
        <v>5</v>
      </c>
      <c r="AW3" s="276">
        <v>6</v>
      </c>
      <c r="AX3" s="276">
        <v>7</v>
      </c>
      <c r="AY3" s="276">
        <v>8</v>
      </c>
      <c r="AZ3" s="276">
        <v>9</v>
      </c>
      <c r="BA3" s="276">
        <v>10</v>
      </c>
      <c r="BB3" s="276">
        <v>11</v>
      </c>
      <c r="BC3" s="276">
        <v>12</v>
      </c>
      <c r="BD3" s="276">
        <v>13</v>
      </c>
      <c r="BE3" s="276">
        <v>14</v>
      </c>
      <c r="BF3" s="276">
        <v>15</v>
      </c>
      <c r="BG3" s="276">
        <v>16</v>
      </c>
      <c r="BH3" s="276">
        <v>17</v>
      </c>
      <c r="BI3" s="276">
        <v>18</v>
      </c>
      <c r="BJ3" s="276">
        <v>19</v>
      </c>
      <c r="BK3" s="276">
        <v>20</v>
      </c>
      <c r="BL3" s="276">
        <v>21</v>
      </c>
      <c r="BM3" s="276">
        <v>22</v>
      </c>
      <c r="BN3" s="276">
        <v>23</v>
      </c>
      <c r="BO3" s="276">
        <v>24</v>
      </c>
      <c r="BP3" s="276">
        <v>25</v>
      </c>
      <c r="BQ3" s="276">
        <v>26</v>
      </c>
      <c r="BR3" s="276">
        <v>27</v>
      </c>
      <c r="BS3" s="276">
        <v>28</v>
      </c>
      <c r="BT3" s="276">
        <v>29</v>
      </c>
      <c r="BU3" s="276">
        <v>30</v>
      </c>
      <c r="BV3" s="205"/>
    </row>
    <row r="4" spans="1:74" ht="3.75" customHeight="1" thickTop="1" thickBot="1" x14ac:dyDescent="0.25">
      <c r="A4" s="134"/>
      <c r="B4" s="134"/>
      <c r="C4" s="134"/>
      <c r="D4" s="134"/>
      <c r="E4" s="134"/>
      <c r="F4" s="258"/>
      <c r="G4" s="258"/>
      <c r="H4" s="258"/>
      <c r="I4" s="258"/>
      <c r="J4" s="258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</row>
    <row r="5" spans="1:74" s="96" customFormat="1" ht="15.95" customHeight="1" x14ac:dyDescent="0.2">
      <c r="A5" s="259"/>
      <c r="B5" s="206"/>
      <c r="C5" s="207"/>
      <c r="D5" s="208" t="s">
        <v>135</v>
      </c>
      <c r="E5" s="208"/>
      <c r="F5" s="153" t="s">
        <v>14</v>
      </c>
      <c r="G5" s="450"/>
      <c r="H5" s="281">
        <f>IF(ISBLANK(G5),SUM($M5:$AP5)/'Year independent'!$G$35,G5)</f>
        <v>0</v>
      </c>
      <c r="I5" s="282" t="str">
        <f>IF(AND($H$23=0,$H$24=0,$H$9=0,$H$10=0),H5,"value overruled")</f>
        <v>value overruled</v>
      </c>
      <c r="J5" s="167" t="s">
        <v>69</v>
      </c>
      <c r="K5" s="263"/>
      <c r="L5" s="263" t="str">
        <f>Project!D9</f>
        <v>€/kW</v>
      </c>
      <c r="M5" s="296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7"/>
      <c r="AM5" s="297"/>
      <c r="AN5" s="297"/>
      <c r="AO5" s="297"/>
      <c r="AP5" s="167"/>
      <c r="AQ5" s="263"/>
      <c r="AR5" s="305">
        <f t="shared" ref="AR5:AR24" si="0">IF($I5="value overruled",0,IF(ISBLANK($G5),M5,$G5))</f>
        <v>0</v>
      </c>
      <c r="AS5" s="306">
        <f t="shared" ref="AS5:AS24" si="1">IF($I5="value overruled",0,IF(ISBLANK($G5),N5,$G5))</f>
        <v>0</v>
      </c>
      <c r="AT5" s="306">
        <f t="shared" ref="AT5:AT24" si="2">IF($I5="value overruled",0,IF(ISBLANK($G5),O5,$G5))</f>
        <v>0</v>
      </c>
      <c r="AU5" s="306">
        <f t="shared" ref="AU5:AU24" si="3">IF($I5="value overruled",0,IF(ISBLANK($G5),P5,$G5))</f>
        <v>0</v>
      </c>
      <c r="AV5" s="306">
        <f t="shared" ref="AV5:AV24" si="4">IF($I5="value overruled",0,IF(ISBLANK($G5),Q5,$G5))</f>
        <v>0</v>
      </c>
      <c r="AW5" s="306">
        <f t="shared" ref="AW5:AW24" si="5">IF($I5="value overruled",0,IF(ISBLANK($G5),R5,$G5))</f>
        <v>0</v>
      </c>
      <c r="AX5" s="306">
        <f t="shared" ref="AX5:AX24" si="6">IF($I5="value overruled",0,IF(ISBLANK($G5),S5,$G5))</f>
        <v>0</v>
      </c>
      <c r="AY5" s="306">
        <f t="shared" ref="AY5:AY24" si="7">IF($I5="value overruled",0,IF(ISBLANK($G5),T5,$G5))</f>
        <v>0</v>
      </c>
      <c r="AZ5" s="306">
        <f t="shared" ref="AZ5:AZ24" si="8">IF($I5="value overruled",0,IF(ISBLANK($G5),U5,$G5))</f>
        <v>0</v>
      </c>
      <c r="BA5" s="306">
        <f t="shared" ref="BA5:BA24" si="9">IF($I5="value overruled",0,IF(ISBLANK($G5),V5,$G5))</f>
        <v>0</v>
      </c>
      <c r="BB5" s="306">
        <f t="shared" ref="BB5:BB24" si="10">IF($I5="value overruled",0,IF(ISBLANK($G5),W5,$G5))</f>
        <v>0</v>
      </c>
      <c r="BC5" s="306">
        <f t="shared" ref="BC5:BC24" si="11">IF($I5="value overruled",0,IF(ISBLANK($G5),X5,$G5))</f>
        <v>0</v>
      </c>
      <c r="BD5" s="306">
        <f t="shared" ref="BD5:BD24" si="12">IF($I5="value overruled",0,IF(ISBLANK($G5),Y5,$G5))</f>
        <v>0</v>
      </c>
      <c r="BE5" s="306">
        <f t="shared" ref="BE5:BE24" si="13">IF($I5="value overruled",0,IF(ISBLANK($G5),Z5,$G5))</f>
        <v>0</v>
      </c>
      <c r="BF5" s="306">
        <f t="shared" ref="BF5:BF24" si="14">IF($I5="value overruled",0,IF(ISBLANK($G5),AA5,$G5))</f>
        <v>0</v>
      </c>
      <c r="BG5" s="306">
        <f t="shared" ref="BG5:BG24" si="15">IF($I5="value overruled",0,IF(ISBLANK($G5),AB5,$G5))</f>
        <v>0</v>
      </c>
      <c r="BH5" s="306">
        <f t="shared" ref="BH5:BH24" si="16">IF($I5="value overruled",0,IF(ISBLANK($G5),AC5,$G5))</f>
        <v>0</v>
      </c>
      <c r="BI5" s="306">
        <f t="shared" ref="BI5:BI24" si="17">IF($I5="value overruled",0,IF(ISBLANK($G5),AD5,$G5))</f>
        <v>0</v>
      </c>
      <c r="BJ5" s="306">
        <f t="shared" ref="BJ5:BJ24" si="18">IF($I5="value overruled",0,IF(ISBLANK($G5),AE5,$G5))</f>
        <v>0</v>
      </c>
      <c r="BK5" s="306">
        <f t="shared" ref="BK5:BK24" si="19">IF($I5="value overruled",0,IF(ISBLANK($G5),AF5,$G5))</f>
        <v>0</v>
      </c>
      <c r="BL5" s="306">
        <f t="shared" ref="BL5:BL24" si="20">IF($I5="value overruled",0,IF(ISBLANK($G5),AG5,$G5))</f>
        <v>0</v>
      </c>
      <c r="BM5" s="306">
        <f t="shared" ref="BM5:BM24" si="21">IF($I5="value overruled",0,IF(ISBLANK($G5),AH5,$G5))</f>
        <v>0</v>
      </c>
      <c r="BN5" s="306">
        <f t="shared" ref="BN5:BN24" si="22">IF($I5="value overruled",0,IF(ISBLANK($G5),AI5,$G5))</f>
        <v>0</v>
      </c>
      <c r="BO5" s="306">
        <f t="shared" ref="BO5:BO24" si="23">IF($I5="value overruled",0,IF(ISBLANK($G5),AJ5,$G5))</f>
        <v>0</v>
      </c>
      <c r="BP5" s="306">
        <f t="shared" ref="BP5:BP24" si="24">IF($I5="value overruled",0,IF(ISBLANK($G5),AK5,$G5))</f>
        <v>0</v>
      </c>
      <c r="BQ5" s="306">
        <f t="shared" ref="BQ5:BQ24" si="25">IF($I5="value overruled",0,IF(ISBLANK($G5),AL5,$G5))</f>
        <v>0</v>
      </c>
      <c r="BR5" s="306">
        <f t="shared" ref="BR5:BR24" si="26">IF($I5="value overruled",0,IF(ISBLANK($G5),AM5,$G5))</f>
        <v>0</v>
      </c>
      <c r="BS5" s="306">
        <f t="shared" ref="BS5:BS24" si="27">IF($I5="value overruled",0,IF(ISBLANK($G5),AN5,$G5))</f>
        <v>0</v>
      </c>
      <c r="BT5" s="306">
        <f t="shared" ref="BT5:BT24" si="28">IF($I5="value overruled",0,IF(ISBLANK($G5),AO5,$G5))</f>
        <v>0</v>
      </c>
      <c r="BU5" s="307">
        <f t="shared" ref="BU5:BU24" si="29">IF($I5="value overruled",0,IF(ISBLANK($G5),AP5,$G5))</f>
        <v>0</v>
      </c>
      <c r="BV5" s="263"/>
    </row>
    <row r="6" spans="1:74" s="96" customFormat="1" ht="15.95" customHeight="1" x14ac:dyDescent="0.2">
      <c r="A6" s="259"/>
      <c r="B6" s="209"/>
      <c r="C6" s="210"/>
      <c r="D6" s="211" t="s">
        <v>136</v>
      </c>
      <c r="E6" s="211"/>
      <c r="F6" s="156" t="s">
        <v>139</v>
      </c>
      <c r="G6" s="451"/>
      <c r="H6" s="283">
        <f>IF(ISBLANK(G6),SUM($M6:$AP6)/'Year independent'!$G$35,G6)</f>
        <v>0</v>
      </c>
      <c r="I6" s="284" t="str">
        <f>IF(AND($H$23=0,$H$24=0,$H$9=0,$H$10=0),H6,"value overruled")</f>
        <v>value overruled</v>
      </c>
      <c r="J6" s="168" t="s">
        <v>118</v>
      </c>
      <c r="K6" s="263"/>
      <c r="L6" s="263" t="str">
        <f>Project!D10</f>
        <v>€/kWh</v>
      </c>
      <c r="M6" s="298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168"/>
      <c r="AQ6" s="263"/>
      <c r="AR6" s="308">
        <f t="shared" si="0"/>
        <v>0</v>
      </c>
      <c r="AS6" s="309">
        <f t="shared" si="1"/>
        <v>0</v>
      </c>
      <c r="AT6" s="309">
        <f t="shared" si="2"/>
        <v>0</v>
      </c>
      <c r="AU6" s="309">
        <f t="shared" si="3"/>
        <v>0</v>
      </c>
      <c r="AV6" s="309">
        <f t="shared" si="4"/>
        <v>0</v>
      </c>
      <c r="AW6" s="309">
        <f t="shared" si="5"/>
        <v>0</v>
      </c>
      <c r="AX6" s="309">
        <f t="shared" si="6"/>
        <v>0</v>
      </c>
      <c r="AY6" s="309">
        <f t="shared" si="7"/>
        <v>0</v>
      </c>
      <c r="AZ6" s="309">
        <f t="shared" si="8"/>
        <v>0</v>
      </c>
      <c r="BA6" s="309">
        <f t="shared" si="9"/>
        <v>0</v>
      </c>
      <c r="BB6" s="309">
        <f t="shared" si="10"/>
        <v>0</v>
      </c>
      <c r="BC6" s="309">
        <f t="shared" si="11"/>
        <v>0</v>
      </c>
      <c r="BD6" s="309">
        <f t="shared" si="12"/>
        <v>0</v>
      </c>
      <c r="BE6" s="309">
        <f t="shared" si="13"/>
        <v>0</v>
      </c>
      <c r="BF6" s="309">
        <f t="shared" si="14"/>
        <v>0</v>
      </c>
      <c r="BG6" s="309">
        <f t="shared" si="15"/>
        <v>0</v>
      </c>
      <c r="BH6" s="309">
        <f t="shared" si="16"/>
        <v>0</v>
      </c>
      <c r="BI6" s="309">
        <f t="shared" si="17"/>
        <v>0</v>
      </c>
      <c r="BJ6" s="309">
        <f t="shared" si="18"/>
        <v>0</v>
      </c>
      <c r="BK6" s="309">
        <f t="shared" si="19"/>
        <v>0</v>
      </c>
      <c r="BL6" s="309">
        <f t="shared" si="20"/>
        <v>0</v>
      </c>
      <c r="BM6" s="309">
        <f t="shared" si="21"/>
        <v>0</v>
      </c>
      <c r="BN6" s="309">
        <f t="shared" si="22"/>
        <v>0</v>
      </c>
      <c r="BO6" s="309">
        <f t="shared" si="23"/>
        <v>0</v>
      </c>
      <c r="BP6" s="309">
        <f t="shared" si="24"/>
        <v>0</v>
      </c>
      <c r="BQ6" s="309">
        <f t="shared" si="25"/>
        <v>0</v>
      </c>
      <c r="BR6" s="309">
        <f t="shared" si="26"/>
        <v>0</v>
      </c>
      <c r="BS6" s="309">
        <f t="shared" si="27"/>
        <v>0</v>
      </c>
      <c r="BT6" s="309">
        <f t="shared" si="28"/>
        <v>0</v>
      </c>
      <c r="BU6" s="310">
        <f t="shared" si="29"/>
        <v>0</v>
      </c>
      <c r="BV6" s="263"/>
    </row>
    <row r="7" spans="1:74" s="96" customFormat="1" ht="15.95" customHeight="1" x14ac:dyDescent="0.2">
      <c r="A7" s="259"/>
      <c r="B7" s="209"/>
      <c r="C7" s="210"/>
      <c r="D7" s="211" t="s">
        <v>137</v>
      </c>
      <c r="E7" s="211"/>
      <c r="F7" s="156" t="s">
        <v>14</v>
      </c>
      <c r="G7" s="451"/>
      <c r="H7" s="283">
        <f>IF(ISBLANK(G7),SUM($M7:$AP7)/'Year independent'!$G$35,G7)</f>
        <v>0</v>
      </c>
      <c r="I7" s="284" t="str">
        <f>IF(AND($H$23=0,$H$24=0,$H$9=0,$H$10=0),H7,"value overruled")</f>
        <v>value overruled</v>
      </c>
      <c r="J7" s="168" t="s">
        <v>61</v>
      </c>
      <c r="K7" s="263"/>
      <c r="L7" s="263"/>
      <c r="M7" s="298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168"/>
      <c r="AQ7" s="263"/>
      <c r="AR7" s="308">
        <f t="shared" si="0"/>
        <v>0</v>
      </c>
      <c r="AS7" s="309">
        <f t="shared" si="1"/>
        <v>0</v>
      </c>
      <c r="AT7" s="309">
        <f t="shared" si="2"/>
        <v>0</v>
      </c>
      <c r="AU7" s="309">
        <f t="shared" si="3"/>
        <v>0</v>
      </c>
      <c r="AV7" s="309">
        <f t="shared" si="4"/>
        <v>0</v>
      </c>
      <c r="AW7" s="309">
        <f t="shared" si="5"/>
        <v>0</v>
      </c>
      <c r="AX7" s="309">
        <f t="shared" si="6"/>
        <v>0</v>
      </c>
      <c r="AY7" s="309">
        <f t="shared" si="7"/>
        <v>0</v>
      </c>
      <c r="AZ7" s="309">
        <f t="shared" si="8"/>
        <v>0</v>
      </c>
      <c r="BA7" s="309">
        <f t="shared" si="9"/>
        <v>0</v>
      </c>
      <c r="BB7" s="309">
        <f t="shared" si="10"/>
        <v>0</v>
      </c>
      <c r="BC7" s="309">
        <f t="shared" si="11"/>
        <v>0</v>
      </c>
      <c r="BD7" s="309">
        <f t="shared" si="12"/>
        <v>0</v>
      </c>
      <c r="BE7" s="309">
        <f t="shared" si="13"/>
        <v>0</v>
      </c>
      <c r="BF7" s="309">
        <f t="shared" si="14"/>
        <v>0</v>
      </c>
      <c r="BG7" s="309">
        <f t="shared" si="15"/>
        <v>0</v>
      </c>
      <c r="BH7" s="309">
        <f t="shared" si="16"/>
        <v>0</v>
      </c>
      <c r="BI7" s="309">
        <f t="shared" si="17"/>
        <v>0</v>
      </c>
      <c r="BJ7" s="309">
        <f t="shared" si="18"/>
        <v>0</v>
      </c>
      <c r="BK7" s="309">
        <f t="shared" si="19"/>
        <v>0</v>
      </c>
      <c r="BL7" s="309">
        <f t="shared" si="20"/>
        <v>0</v>
      </c>
      <c r="BM7" s="309">
        <f t="shared" si="21"/>
        <v>0</v>
      </c>
      <c r="BN7" s="309">
        <f t="shared" si="22"/>
        <v>0</v>
      </c>
      <c r="BO7" s="309">
        <f t="shared" si="23"/>
        <v>0</v>
      </c>
      <c r="BP7" s="309">
        <f t="shared" si="24"/>
        <v>0</v>
      </c>
      <c r="BQ7" s="309">
        <f t="shared" si="25"/>
        <v>0</v>
      </c>
      <c r="BR7" s="309">
        <f t="shared" si="26"/>
        <v>0</v>
      </c>
      <c r="BS7" s="309">
        <f t="shared" si="27"/>
        <v>0</v>
      </c>
      <c r="BT7" s="309">
        <f t="shared" si="28"/>
        <v>0</v>
      </c>
      <c r="BU7" s="310">
        <f t="shared" si="29"/>
        <v>0</v>
      </c>
      <c r="BV7" s="263"/>
    </row>
    <row r="8" spans="1:74" s="96" customFormat="1" ht="15.95" customHeight="1" x14ac:dyDescent="0.2">
      <c r="A8" s="259"/>
      <c r="B8" s="212"/>
      <c r="C8" s="213"/>
      <c r="D8" s="214" t="s">
        <v>138</v>
      </c>
      <c r="E8" s="214"/>
      <c r="F8" s="157" t="s">
        <v>139</v>
      </c>
      <c r="G8" s="452"/>
      <c r="H8" s="285">
        <f>IF(ISBLANK(G8),SUM($M8:$AP8)/'Year independent'!$G$35,G8)</f>
        <v>0</v>
      </c>
      <c r="I8" s="286" t="str">
        <f>IF(AND($H$23=0,$H$24=0,$H$9=0,$H$10=0),H8,"value overruled")</f>
        <v>value overruled</v>
      </c>
      <c r="J8" s="170" t="s">
        <v>57</v>
      </c>
      <c r="K8" s="263"/>
      <c r="L8" s="263"/>
      <c r="M8" s="298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299"/>
      <c r="Z8" s="299"/>
      <c r="AA8" s="299"/>
      <c r="AB8" s="299"/>
      <c r="AC8" s="299"/>
      <c r="AD8" s="299"/>
      <c r="AE8" s="299"/>
      <c r="AF8" s="299"/>
      <c r="AG8" s="299"/>
      <c r="AH8" s="299"/>
      <c r="AI8" s="299"/>
      <c r="AJ8" s="299"/>
      <c r="AK8" s="299"/>
      <c r="AL8" s="299"/>
      <c r="AM8" s="299"/>
      <c r="AN8" s="299"/>
      <c r="AO8" s="299"/>
      <c r="AP8" s="168"/>
      <c r="AQ8" s="263"/>
      <c r="AR8" s="308">
        <f t="shared" si="0"/>
        <v>0</v>
      </c>
      <c r="AS8" s="309">
        <f t="shared" si="1"/>
        <v>0</v>
      </c>
      <c r="AT8" s="309">
        <f t="shared" si="2"/>
        <v>0</v>
      </c>
      <c r="AU8" s="309">
        <f t="shared" si="3"/>
        <v>0</v>
      </c>
      <c r="AV8" s="309">
        <f t="shared" si="4"/>
        <v>0</v>
      </c>
      <c r="AW8" s="309">
        <f t="shared" si="5"/>
        <v>0</v>
      </c>
      <c r="AX8" s="309">
        <f t="shared" si="6"/>
        <v>0</v>
      </c>
      <c r="AY8" s="309">
        <f t="shared" si="7"/>
        <v>0</v>
      </c>
      <c r="AZ8" s="309">
        <f t="shared" si="8"/>
        <v>0</v>
      </c>
      <c r="BA8" s="309">
        <f t="shared" si="9"/>
        <v>0</v>
      </c>
      <c r="BB8" s="309">
        <f t="shared" si="10"/>
        <v>0</v>
      </c>
      <c r="BC8" s="309">
        <f t="shared" si="11"/>
        <v>0</v>
      </c>
      <c r="BD8" s="309">
        <f t="shared" si="12"/>
        <v>0</v>
      </c>
      <c r="BE8" s="309">
        <f t="shared" si="13"/>
        <v>0</v>
      </c>
      <c r="BF8" s="309">
        <f t="shared" si="14"/>
        <v>0</v>
      </c>
      <c r="BG8" s="309">
        <f t="shared" si="15"/>
        <v>0</v>
      </c>
      <c r="BH8" s="309">
        <f t="shared" si="16"/>
        <v>0</v>
      </c>
      <c r="BI8" s="309">
        <f t="shared" si="17"/>
        <v>0</v>
      </c>
      <c r="BJ8" s="309">
        <f t="shared" si="18"/>
        <v>0</v>
      </c>
      <c r="BK8" s="309">
        <f t="shared" si="19"/>
        <v>0</v>
      </c>
      <c r="BL8" s="309">
        <f t="shared" si="20"/>
        <v>0</v>
      </c>
      <c r="BM8" s="309">
        <f t="shared" si="21"/>
        <v>0</v>
      </c>
      <c r="BN8" s="309">
        <f t="shared" si="22"/>
        <v>0</v>
      </c>
      <c r="BO8" s="309">
        <f t="shared" si="23"/>
        <v>0</v>
      </c>
      <c r="BP8" s="309">
        <f t="shared" si="24"/>
        <v>0</v>
      </c>
      <c r="BQ8" s="309">
        <f t="shared" si="25"/>
        <v>0</v>
      </c>
      <c r="BR8" s="309">
        <f t="shared" si="26"/>
        <v>0</v>
      </c>
      <c r="BS8" s="309">
        <f t="shared" si="27"/>
        <v>0</v>
      </c>
      <c r="BT8" s="309">
        <f t="shared" si="28"/>
        <v>0</v>
      </c>
      <c r="BU8" s="310">
        <f t="shared" si="29"/>
        <v>0</v>
      </c>
      <c r="BV8" s="263"/>
    </row>
    <row r="9" spans="1:74" s="95" customFormat="1" ht="15.95" customHeight="1" x14ac:dyDescent="0.2">
      <c r="A9" s="260"/>
      <c r="B9" s="215"/>
      <c r="C9" s="223" t="s">
        <v>141</v>
      </c>
      <c r="D9" s="224"/>
      <c r="E9" s="224"/>
      <c r="F9" s="161" t="str">
        <f>L5</f>
        <v>€/kW</v>
      </c>
      <c r="G9" s="453"/>
      <c r="H9" s="287">
        <f>IF(ISBLANK(G9),SUM($M9:$AP9)/'Year independent'!$G$35,G9)</f>
        <v>0</v>
      </c>
      <c r="I9" s="288" t="str">
        <f>IF(AND(H23=0,H24=0),IF(AND(H9=0,H10=0),SUMIF(F5:F8,"="&amp;L5,I5:I8),H9),"value overruled")</f>
        <v>value overruled</v>
      </c>
      <c r="J9" s="528" t="s">
        <v>140</v>
      </c>
      <c r="K9" s="264"/>
      <c r="L9" s="264"/>
      <c r="M9" s="300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301"/>
      <c r="AQ9" s="264"/>
      <c r="AR9" s="308">
        <f t="shared" si="0"/>
        <v>0</v>
      </c>
      <c r="AS9" s="309">
        <f t="shared" si="1"/>
        <v>0</v>
      </c>
      <c r="AT9" s="309">
        <f t="shared" si="2"/>
        <v>0</v>
      </c>
      <c r="AU9" s="309">
        <f t="shared" si="3"/>
        <v>0</v>
      </c>
      <c r="AV9" s="309">
        <f t="shared" si="4"/>
        <v>0</v>
      </c>
      <c r="AW9" s="309">
        <f t="shared" si="5"/>
        <v>0</v>
      </c>
      <c r="AX9" s="309">
        <f t="shared" si="6"/>
        <v>0</v>
      </c>
      <c r="AY9" s="309">
        <f t="shared" si="7"/>
        <v>0</v>
      </c>
      <c r="AZ9" s="309">
        <f t="shared" si="8"/>
        <v>0</v>
      </c>
      <c r="BA9" s="309">
        <f t="shared" si="9"/>
        <v>0</v>
      </c>
      <c r="BB9" s="309">
        <f t="shared" si="10"/>
        <v>0</v>
      </c>
      <c r="BC9" s="309">
        <f t="shared" si="11"/>
        <v>0</v>
      </c>
      <c r="BD9" s="309">
        <f t="shared" si="12"/>
        <v>0</v>
      </c>
      <c r="BE9" s="309">
        <f t="shared" si="13"/>
        <v>0</v>
      </c>
      <c r="BF9" s="309">
        <f t="shared" si="14"/>
        <v>0</v>
      </c>
      <c r="BG9" s="309">
        <f t="shared" si="15"/>
        <v>0</v>
      </c>
      <c r="BH9" s="309">
        <f t="shared" si="16"/>
        <v>0</v>
      </c>
      <c r="BI9" s="309">
        <f t="shared" si="17"/>
        <v>0</v>
      </c>
      <c r="BJ9" s="309">
        <f t="shared" si="18"/>
        <v>0</v>
      </c>
      <c r="BK9" s="309">
        <f t="shared" si="19"/>
        <v>0</v>
      </c>
      <c r="BL9" s="309">
        <f t="shared" si="20"/>
        <v>0</v>
      </c>
      <c r="BM9" s="309">
        <f t="shared" si="21"/>
        <v>0</v>
      </c>
      <c r="BN9" s="309">
        <f t="shared" si="22"/>
        <v>0</v>
      </c>
      <c r="BO9" s="309">
        <f t="shared" si="23"/>
        <v>0</v>
      </c>
      <c r="BP9" s="309">
        <f t="shared" si="24"/>
        <v>0</v>
      </c>
      <c r="BQ9" s="309">
        <f t="shared" si="25"/>
        <v>0</v>
      </c>
      <c r="BR9" s="309">
        <f t="shared" si="26"/>
        <v>0</v>
      </c>
      <c r="BS9" s="309">
        <f t="shared" si="27"/>
        <v>0</v>
      </c>
      <c r="BT9" s="309">
        <f t="shared" si="28"/>
        <v>0</v>
      </c>
      <c r="BU9" s="310">
        <f t="shared" si="29"/>
        <v>0</v>
      </c>
      <c r="BV9" s="264"/>
    </row>
    <row r="10" spans="1:74" s="95" customFormat="1" ht="15.95" customHeight="1" x14ac:dyDescent="0.2">
      <c r="A10" s="260"/>
      <c r="B10" s="215"/>
      <c r="C10" s="216" t="s">
        <v>142</v>
      </c>
      <c r="D10" s="217"/>
      <c r="E10" s="217"/>
      <c r="F10" s="158" t="str">
        <f>L6</f>
        <v>€/kWh</v>
      </c>
      <c r="G10" s="454"/>
      <c r="H10" s="171">
        <f>IF(ISBLANK(G10),SUM($M10:$AP10)/'Year independent'!$G$35,G10)</f>
        <v>0</v>
      </c>
      <c r="I10" s="289" t="str">
        <f>IF(AND(H23=0,H24=0),IF(AND(H9=0,H10=0),SUMIF(F5:F8,"="&amp;L6,I5:I8),H10),"value overruled")</f>
        <v>value overruled</v>
      </c>
      <c r="J10" s="529"/>
      <c r="K10" s="264"/>
      <c r="L10" s="264"/>
      <c r="M10" s="300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301"/>
      <c r="AQ10" s="264"/>
      <c r="AR10" s="308">
        <f t="shared" si="0"/>
        <v>0</v>
      </c>
      <c r="AS10" s="309">
        <f t="shared" si="1"/>
        <v>0</v>
      </c>
      <c r="AT10" s="309">
        <f t="shared" si="2"/>
        <v>0</v>
      </c>
      <c r="AU10" s="309">
        <f t="shared" si="3"/>
        <v>0</v>
      </c>
      <c r="AV10" s="309">
        <f t="shared" si="4"/>
        <v>0</v>
      </c>
      <c r="AW10" s="309">
        <f t="shared" si="5"/>
        <v>0</v>
      </c>
      <c r="AX10" s="309">
        <f t="shared" si="6"/>
        <v>0</v>
      </c>
      <c r="AY10" s="309">
        <f t="shared" si="7"/>
        <v>0</v>
      </c>
      <c r="AZ10" s="309">
        <f t="shared" si="8"/>
        <v>0</v>
      </c>
      <c r="BA10" s="309">
        <f t="shared" si="9"/>
        <v>0</v>
      </c>
      <c r="BB10" s="309">
        <f t="shared" si="10"/>
        <v>0</v>
      </c>
      <c r="BC10" s="309">
        <f t="shared" si="11"/>
        <v>0</v>
      </c>
      <c r="BD10" s="309">
        <f t="shared" si="12"/>
        <v>0</v>
      </c>
      <c r="BE10" s="309">
        <f t="shared" si="13"/>
        <v>0</v>
      </c>
      <c r="BF10" s="309">
        <f t="shared" si="14"/>
        <v>0</v>
      </c>
      <c r="BG10" s="309">
        <f t="shared" si="15"/>
        <v>0</v>
      </c>
      <c r="BH10" s="309">
        <f t="shared" si="16"/>
        <v>0</v>
      </c>
      <c r="BI10" s="309">
        <f t="shared" si="17"/>
        <v>0</v>
      </c>
      <c r="BJ10" s="309">
        <f t="shared" si="18"/>
        <v>0</v>
      </c>
      <c r="BK10" s="309">
        <f t="shared" si="19"/>
        <v>0</v>
      </c>
      <c r="BL10" s="309">
        <f t="shared" si="20"/>
        <v>0</v>
      </c>
      <c r="BM10" s="309">
        <f t="shared" si="21"/>
        <v>0</v>
      </c>
      <c r="BN10" s="309">
        <f t="shared" si="22"/>
        <v>0</v>
      </c>
      <c r="BO10" s="309">
        <f t="shared" si="23"/>
        <v>0</v>
      </c>
      <c r="BP10" s="309">
        <f t="shared" si="24"/>
        <v>0</v>
      </c>
      <c r="BQ10" s="309">
        <f t="shared" si="25"/>
        <v>0</v>
      </c>
      <c r="BR10" s="309">
        <f t="shared" si="26"/>
        <v>0</v>
      </c>
      <c r="BS10" s="309">
        <f t="shared" si="27"/>
        <v>0</v>
      </c>
      <c r="BT10" s="309">
        <f t="shared" si="28"/>
        <v>0</v>
      </c>
      <c r="BU10" s="310">
        <f t="shared" si="29"/>
        <v>0</v>
      </c>
      <c r="BV10" s="264"/>
    </row>
    <row r="11" spans="1:74" s="95" customFormat="1" ht="15.95" customHeight="1" x14ac:dyDescent="0.2">
      <c r="A11" s="260"/>
      <c r="B11" s="215"/>
      <c r="C11" s="218" t="s">
        <v>143</v>
      </c>
      <c r="D11" s="219"/>
      <c r="E11" s="219"/>
      <c r="F11" s="159" t="s">
        <v>139</v>
      </c>
      <c r="G11" s="455"/>
      <c r="H11" s="290">
        <f>IF(ISBLANK(G11),SUM($M11:$AP11)/'Year independent'!$G$35,G11)</f>
        <v>0</v>
      </c>
      <c r="I11" s="291" t="str">
        <f>IF(AND(H23=0,H24=0),H11,"value overruled")</f>
        <v>value overruled</v>
      </c>
      <c r="J11" s="292" t="s">
        <v>147</v>
      </c>
      <c r="K11" s="264"/>
      <c r="L11" s="264"/>
      <c r="M11" s="300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301"/>
      <c r="AQ11" s="264"/>
      <c r="AR11" s="308">
        <f t="shared" si="0"/>
        <v>0</v>
      </c>
      <c r="AS11" s="309">
        <f t="shared" si="1"/>
        <v>0</v>
      </c>
      <c r="AT11" s="309">
        <f t="shared" si="2"/>
        <v>0</v>
      </c>
      <c r="AU11" s="309">
        <f t="shared" si="3"/>
        <v>0</v>
      </c>
      <c r="AV11" s="309">
        <f t="shared" si="4"/>
        <v>0</v>
      </c>
      <c r="AW11" s="309">
        <f t="shared" si="5"/>
        <v>0</v>
      </c>
      <c r="AX11" s="309">
        <f t="shared" si="6"/>
        <v>0</v>
      </c>
      <c r="AY11" s="309">
        <f t="shared" si="7"/>
        <v>0</v>
      </c>
      <c r="AZ11" s="309">
        <f t="shared" si="8"/>
        <v>0</v>
      </c>
      <c r="BA11" s="309">
        <f t="shared" si="9"/>
        <v>0</v>
      </c>
      <c r="BB11" s="309">
        <f t="shared" si="10"/>
        <v>0</v>
      </c>
      <c r="BC11" s="309">
        <f t="shared" si="11"/>
        <v>0</v>
      </c>
      <c r="BD11" s="309">
        <f t="shared" si="12"/>
        <v>0</v>
      </c>
      <c r="BE11" s="309">
        <f t="shared" si="13"/>
        <v>0</v>
      </c>
      <c r="BF11" s="309">
        <f t="shared" si="14"/>
        <v>0</v>
      </c>
      <c r="BG11" s="309">
        <f t="shared" si="15"/>
        <v>0</v>
      </c>
      <c r="BH11" s="309">
        <f t="shared" si="16"/>
        <v>0</v>
      </c>
      <c r="BI11" s="309">
        <f t="shared" si="17"/>
        <v>0</v>
      </c>
      <c r="BJ11" s="309">
        <f t="shared" si="18"/>
        <v>0</v>
      </c>
      <c r="BK11" s="309">
        <f t="shared" si="19"/>
        <v>0</v>
      </c>
      <c r="BL11" s="309">
        <f t="shared" si="20"/>
        <v>0</v>
      </c>
      <c r="BM11" s="309">
        <f t="shared" si="21"/>
        <v>0</v>
      </c>
      <c r="BN11" s="309">
        <f t="shared" si="22"/>
        <v>0</v>
      </c>
      <c r="BO11" s="309">
        <f t="shared" si="23"/>
        <v>0</v>
      </c>
      <c r="BP11" s="309">
        <f t="shared" si="24"/>
        <v>0</v>
      </c>
      <c r="BQ11" s="309">
        <f t="shared" si="25"/>
        <v>0</v>
      </c>
      <c r="BR11" s="309">
        <f t="shared" si="26"/>
        <v>0</v>
      </c>
      <c r="BS11" s="309">
        <f t="shared" si="27"/>
        <v>0</v>
      </c>
      <c r="BT11" s="309">
        <f t="shared" si="28"/>
        <v>0</v>
      </c>
      <c r="BU11" s="310">
        <f t="shared" si="29"/>
        <v>0</v>
      </c>
      <c r="BV11" s="264"/>
    </row>
    <row r="12" spans="1:74" s="95" customFormat="1" ht="15.95" customHeight="1" x14ac:dyDescent="0.2">
      <c r="A12" s="260"/>
      <c r="B12" s="215"/>
      <c r="C12" s="277" t="str">
        <f>IF(Project!D2="onshore","Insurance","Insurance, including risk identification")</f>
        <v>Insurance, including risk identification</v>
      </c>
      <c r="D12" s="219"/>
      <c r="E12" s="219"/>
      <c r="F12" s="159" t="s">
        <v>139</v>
      </c>
      <c r="G12" s="455"/>
      <c r="H12" s="290">
        <f>IF(ISBLANK(G12),SUM($M12:$AP12)/'Year independent'!$G$35,G12)</f>
        <v>0</v>
      </c>
      <c r="I12" s="291" t="str">
        <f>IF(AND(H23=0,H24=0),H12,"value overruled")</f>
        <v>value overruled</v>
      </c>
      <c r="J12" s="292" t="s">
        <v>148</v>
      </c>
      <c r="K12" s="264"/>
      <c r="L12" s="264"/>
      <c r="M12" s="300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301"/>
      <c r="AQ12" s="264"/>
      <c r="AR12" s="308">
        <f t="shared" si="0"/>
        <v>0</v>
      </c>
      <c r="AS12" s="309">
        <f t="shared" si="1"/>
        <v>0</v>
      </c>
      <c r="AT12" s="309">
        <f t="shared" si="2"/>
        <v>0</v>
      </c>
      <c r="AU12" s="309">
        <f t="shared" si="3"/>
        <v>0</v>
      </c>
      <c r="AV12" s="309">
        <f t="shared" si="4"/>
        <v>0</v>
      </c>
      <c r="AW12" s="309">
        <f t="shared" si="5"/>
        <v>0</v>
      </c>
      <c r="AX12" s="309">
        <f t="shared" si="6"/>
        <v>0</v>
      </c>
      <c r="AY12" s="309">
        <f t="shared" si="7"/>
        <v>0</v>
      </c>
      <c r="AZ12" s="309">
        <f t="shared" si="8"/>
        <v>0</v>
      </c>
      <c r="BA12" s="309">
        <f t="shared" si="9"/>
        <v>0</v>
      </c>
      <c r="BB12" s="309">
        <f t="shared" si="10"/>
        <v>0</v>
      </c>
      <c r="BC12" s="309">
        <f t="shared" si="11"/>
        <v>0</v>
      </c>
      <c r="BD12" s="309">
        <f t="shared" si="12"/>
        <v>0</v>
      </c>
      <c r="BE12" s="309">
        <f t="shared" si="13"/>
        <v>0</v>
      </c>
      <c r="BF12" s="309">
        <f t="shared" si="14"/>
        <v>0</v>
      </c>
      <c r="BG12" s="309">
        <f t="shared" si="15"/>
        <v>0</v>
      </c>
      <c r="BH12" s="309">
        <f t="shared" si="16"/>
        <v>0</v>
      </c>
      <c r="BI12" s="309">
        <f t="shared" si="17"/>
        <v>0</v>
      </c>
      <c r="BJ12" s="309">
        <f t="shared" si="18"/>
        <v>0</v>
      </c>
      <c r="BK12" s="309">
        <f t="shared" si="19"/>
        <v>0</v>
      </c>
      <c r="BL12" s="309">
        <f t="shared" si="20"/>
        <v>0</v>
      </c>
      <c r="BM12" s="309">
        <f t="shared" si="21"/>
        <v>0</v>
      </c>
      <c r="BN12" s="309">
        <f t="shared" si="22"/>
        <v>0</v>
      </c>
      <c r="BO12" s="309">
        <f t="shared" si="23"/>
        <v>0</v>
      </c>
      <c r="BP12" s="309">
        <f t="shared" si="24"/>
        <v>0</v>
      </c>
      <c r="BQ12" s="309">
        <f t="shared" si="25"/>
        <v>0</v>
      </c>
      <c r="BR12" s="309">
        <f t="shared" si="26"/>
        <v>0</v>
      </c>
      <c r="BS12" s="309">
        <f t="shared" si="27"/>
        <v>0</v>
      </c>
      <c r="BT12" s="309">
        <f t="shared" si="28"/>
        <v>0</v>
      </c>
      <c r="BU12" s="310">
        <f t="shared" si="29"/>
        <v>0</v>
      </c>
      <c r="BV12" s="264"/>
    </row>
    <row r="13" spans="1:74" s="96" customFormat="1" ht="15.95" customHeight="1" x14ac:dyDescent="0.2">
      <c r="A13" s="259"/>
      <c r="B13" s="212"/>
      <c r="C13" s="220"/>
      <c r="D13" s="211" t="s">
        <v>144</v>
      </c>
      <c r="E13" s="211"/>
      <c r="F13" s="156" t="s">
        <v>139</v>
      </c>
      <c r="G13" s="451"/>
      <c r="H13" s="283">
        <f>IF(ISBLANK(G13),SUM($M13:$AP13)/'Year independent'!$G$35,G13)</f>
        <v>0</v>
      </c>
      <c r="I13" s="284" t="str">
        <f>IF(AND($H$23=0,$H$24=0,$H$15=0,$H$16=0),H13,"value overruled")</f>
        <v>value overruled</v>
      </c>
      <c r="J13" s="168" t="s">
        <v>122</v>
      </c>
      <c r="K13" s="263"/>
      <c r="L13" s="263"/>
      <c r="M13" s="298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168"/>
      <c r="AQ13" s="263"/>
      <c r="AR13" s="308">
        <f t="shared" si="0"/>
        <v>0</v>
      </c>
      <c r="AS13" s="309">
        <f t="shared" si="1"/>
        <v>0</v>
      </c>
      <c r="AT13" s="309">
        <f t="shared" si="2"/>
        <v>0</v>
      </c>
      <c r="AU13" s="309">
        <f t="shared" si="3"/>
        <v>0</v>
      </c>
      <c r="AV13" s="309">
        <f t="shared" si="4"/>
        <v>0</v>
      </c>
      <c r="AW13" s="309">
        <f t="shared" si="5"/>
        <v>0</v>
      </c>
      <c r="AX13" s="309">
        <f t="shared" si="6"/>
        <v>0</v>
      </c>
      <c r="AY13" s="309">
        <f t="shared" si="7"/>
        <v>0</v>
      </c>
      <c r="AZ13" s="309">
        <f t="shared" si="8"/>
        <v>0</v>
      </c>
      <c r="BA13" s="309">
        <f t="shared" si="9"/>
        <v>0</v>
      </c>
      <c r="BB13" s="309">
        <f t="shared" si="10"/>
        <v>0</v>
      </c>
      <c r="BC13" s="309">
        <f t="shared" si="11"/>
        <v>0</v>
      </c>
      <c r="BD13" s="309">
        <f t="shared" si="12"/>
        <v>0</v>
      </c>
      <c r="BE13" s="309">
        <f t="shared" si="13"/>
        <v>0</v>
      </c>
      <c r="BF13" s="309">
        <f t="shared" si="14"/>
        <v>0</v>
      </c>
      <c r="BG13" s="309">
        <f t="shared" si="15"/>
        <v>0</v>
      </c>
      <c r="BH13" s="309">
        <f t="shared" si="16"/>
        <v>0</v>
      </c>
      <c r="BI13" s="309">
        <f t="shared" si="17"/>
        <v>0</v>
      </c>
      <c r="BJ13" s="309">
        <f t="shared" si="18"/>
        <v>0</v>
      </c>
      <c r="BK13" s="309">
        <f t="shared" si="19"/>
        <v>0</v>
      </c>
      <c r="BL13" s="309">
        <f t="shared" si="20"/>
        <v>0</v>
      </c>
      <c r="BM13" s="309">
        <f t="shared" si="21"/>
        <v>0</v>
      </c>
      <c r="BN13" s="309">
        <f t="shared" si="22"/>
        <v>0</v>
      </c>
      <c r="BO13" s="309">
        <f t="shared" si="23"/>
        <v>0</v>
      </c>
      <c r="BP13" s="309">
        <f t="shared" si="24"/>
        <v>0</v>
      </c>
      <c r="BQ13" s="309">
        <f t="shared" si="25"/>
        <v>0</v>
      </c>
      <c r="BR13" s="309">
        <f t="shared" si="26"/>
        <v>0</v>
      </c>
      <c r="BS13" s="309">
        <f t="shared" si="27"/>
        <v>0</v>
      </c>
      <c r="BT13" s="309">
        <f t="shared" si="28"/>
        <v>0</v>
      </c>
      <c r="BU13" s="310">
        <f t="shared" si="29"/>
        <v>0</v>
      </c>
      <c r="BV13" s="263"/>
    </row>
    <row r="14" spans="1:74" s="96" customFormat="1" ht="15.95" customHeight="1" x14ac:dyDescent="0.2">
      <c r="A14" s="259"/>
      <c r="B14" s="212"/>
      <c r="C14" s="210"/>
      <c r="D14" s="211" t="s">
        <v>247</v>
      </c>
      <c r="E14" s="211"/>
      <c r="F14" s="156" t="s">
        <v>14</v>
      </c>
      <c r="G14" s="451"/>
      <c r="H14" s="283">
        <f>IF(ISBLANK(G14),SUM($M14:$AP14)/'Year independent'!$G$35,G14)</f>
        <v>0</v>
      </c>
      <c r="I14" s="286" t="str">
        <f>IF(AND($H$23=0,$H$24=0,$H$15=0,$H$16=0),H14,"value overruled")</f>
        <v>value overruled</v>
      </c>
      <c r="J14" s="170" t="s">
        <v>66</v>
      </c>
      <c r="K14" s="263"/>
      <c r="L14" s="263"/>
      <c r="M14" s="298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99"/>
      <c r="AJ14" s="299"/>
      <c r="AK14" s="299"/>
      <c r="AL14" s="299"/>
      <c r="AM14" s="299"/>
      <c r="AN14" s="299"/>
      <c r="AO14" s="299"/>
      <c r="AP14" s="168"/>
      <c r="AQ14" s="263"/>
      <c r="AR14" s="308">
        <f t="shared" si="0"/>
        <v>0</v>
      </c>
      <c r="AS14" s="309">
        <f t="shared" si="1"/>
        <v>0</v>
      </c>
      <c r="AT14" s="309">
        <f t="shared" si="2"/>
        <v>0</v>
      </c>
      <c r="AU14" s="309">
        <f t="shared" si="3"/>
        <v>0</v>
      </c>
      <c r="AV14" s="309">
        <f t="shared" si="4"/>
        <v>0</v>
      </c>
      <c r="AW14" s="309">
        <f t="shared" si="5"/>
        <v>0</v>
      </c>
      <c r="AX14" s="309">
        <f t="shared" si="6"/>
        <v>0</v>
      </c>
      <c r="AY14" s="309">
        <f t="shared" si="7"/>
        <v>0</v>
      </c>
      <c r="AZ14" s="309">
        <f t="shared" si="8"/>
        <v>0</v>
      </c>
      <c r="BA14" s="309">
        <f t="shared" si="9"/>
        <v>0</v>
      </c>
      <c r="BB14" s="309">
        <f t="shared" si="10"/>
        <v>0</v>
      </c>
      <c r="BC14" s="309">
        <f t="shared" si="11"/>
        <v>0</v>
      </c>
      <c r="BD14" s="309">
        <f t="shared" si="12"/>
        <v>0</v>
      </c>
      <c r="BE14" s="309">
        <f t="shared" si="13"/>
        <v>0</v>
      </c>
      <c r="BF14" s="309">
        <f t="shared" si="14"/>
        <v>0</v>
      </c>
      <c r="BG14" s="309">
        <f t="shared" si="15"/>
        <v>0</v>
      </c>
      <c r="BH14" s="309">
        <f t="shared" si="16"/>
        <v>0</v>
      </c>
      <c r="BI14" s="309">
        <f t="shared" si="17"/>
        <v>0</v>
      </c>
      <c r="BJ14" s="309">
        <f t="shared" si="18"/>
        <v>0</v>
      </c>
      <c r="BK14" s="309">
        <f t="shared" si="19"/>
        <v>0</v>
      </c>
      <c r="BL14" s="309">
        <f t="shared" si="20"/>
        <v>0</v>
      </c>
      <c r="BM14" s="309">
        <f t="shared" si="21"/>
        <v>0</v>
      </c>
      <c r="BN14" s="309">
        <f t="shared" si="22"/>
        <v>0</v>
      </c>
      <c r="BO14" s="309">
        <f t="shared" si="23"/>
        <v>0</v>
      </c>
      <c r="BP14" s="309">
        <f t="shared" si="24"/>
        <v>0</v>
      </c>
      <c r="BQ14" s="309">
        <f t="shared" si="25"/>
        <v>0</v>
      </c>
      <c r="BR14" s="309">
        <f t="shared" si="26"/>
        <v>0</v>
      </c>
      <c r="BS14" s="309">
        <f t="shared" si="27"/>
        <v>0</v>
      </c>
      <c r="BT14" s="309">
        <f t="shared" si="28"/>
        <v>0</v>
      </c>
      <c r="BU14" s="310">
        <f t="shared" si="29"/>
        <v>0</v>
      </c>
      <c r="BV14" s="263"/>
    </row>
    <row r="15" spans="1:74" s="95" customFormat="1" ht="15.95" customHeight="1" x14ac:dyDescent="0.2">
      <c r="A15" s="260"/>
      <c r="B15" s="222"/>
      <c r="C15" s="223" t="s">
        <v>145</v>
      </c>
      <c r="D15" s="224"/>
      <c r="E15" s="224"/>
      <c r="F15" s="161" t="str">
        <f>L5</f>
        <v>€/kW</v>
      </c>
      <c r="G15" s="453"/>
      <c r="H15" s="287">
        <f>IF(ISBLANK(G15),SUM($M15:$AP15)/'Year independent'!$G$35,G15)</f>
        <v>0</v>
      </c>
      <c r="I15" s="284" t="str">
        <f>IF(AND($H$23=0,$H$24=0),IF(AND($H$15=0,$H$16=0),SUMIF($F$13:$F$14,"="&amp;L5,$I$13:$I$14),H15),"value overruled")</f>
        <v>value overruled</v>
      </c>
      <c r="J15" s="530" t="s">
        <v>149</v>
      </c>
      <c r="K15" s="264"/>
      <c r="L15" s="264"/>
      <c r="M15" s="300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301"/>
      <c r="AQ15" s="264"/>
      <c r="AR15" s="308">
        <f t="shared" si="0"/>
        <v>0</v>
      </c>
      <c r="AS15" s="309">
        <f t="shared" si="1"/>
        <v>0</v>
      </c>
      <c r="AT15" s="309">
        <f t="shared" si="2"/>
        <v>0</v>
      </c>
      <c r="AU15" s="309">
        <f t="shared" si="3"/>
        <v>0</v>
      </c>
      <c r="AV15" s="309">
        <f t="shared" si="4"/>
        <v>0</v>
      </c>
      <c r="AW15" s="309">
        <f t="shared" si="5"/>
        <v>0</v>
      </c>
      <c r="AX15" s="309">
        <f t="shared" si="6"/>
        <v>0</v>
      </c>
      <c r="AY15" s="309">
        <f t="shared" si="7"/>
        <v>0</v>
      </c>
      <c r="AZ15" s="309">
        <f t="shared" si="8"/>
        <v>0</v>
      </c>
      <c r="BA15" s="309">
        <f t="shared" si="9"/>
        <v>0</v>
      </c>
      <c r="BB15" s="309">
        <f t="shared" si="10"/>
        <v>0</v>
      </c>
      <c r="BC15" s="309">
        <f t="shared" si="11"/>
        <v>0</v>
      </c>
      <c r="BD15" s="309">
        <f t="shared" si="12"/>
        <v>0</v>
      </c>
      <c r="BE15" s="309">
        <f t="shared" si="13"/>
        <v>0</v>
      </c>
      <c r="BF15" s="309">
        <f t="shared" si="14"/>
        <v>0</v>
      </c>
      <c r="BG15" s="309">
        <f t="shared" si="15"/>
        <v>0</v>
      </c>
      <c r="BH15" s="309">
        <f t="shared" si="16"/>
        <v>0</v>
      </c>
      <c r="BI15" s="309">
        <f t="shared" si="17"/>
        <v>0</v>
      </c>
      <c r="BJ15" s="309">
        <f t="shared" si="18"/>
        <v>0</v>
      </c>
      <c r="BK15" s="309">
        <f t="shared" si="19"/>
        <v>0</v>
      </c>
      <c r="BL15" s="309">
        <f t="shared" si="20"/>
        <v>0</v>
      </c>
      <c r="BM15" s="309">
        <f t="shared" si="21"/>
        <v>0</v>
      </c>
      <c r="BN15" s="309">
        <f t="shared" si="22"/>
        <v>0</v>
      </c>
      <c r="BO15" s="309">
        <f t="shared" si="23"/>
        <v>0</v>
      </c>
      <c r="BP15" s="309">
        <f t="shared" si="24"/>
        <v>0</v>
      </c>
      <c r="BQ15" s="309">
        <f t="shared" si="25"/>
        <v>0</v>
      </c>
      <c r="BR15" s="309">
        <f t="shared" si="26"/>
        <v>0</v>
      </c>
      <c r="BS15" s="309">
        <f t="shared" si="27"/>
        <v>0</v>
      </c>
      <c r="BT15" s="309">
        <f t="shared" si="28"/>
        <v>0</v>
      </c>
      <c r="BU15" s="310">
        <f t="shared" si="29"/>
        <v>0</v>
      </c>
      <c r="BV15" s="264"/>
    </row>
    <row r="16" spans="1:74" s="95" customFormat="1" ht="15.95" customHeight="1" x14ac:dyDescent="0.2">
      <c r="A16" s="260"/>
      <c r="B16" s="222"/>
      <c r="C16" s="216" t="s">
        <v>146</v>
      </c>
      <c r="D16" s="217"/>
      <c r="E16" s="217"/>
      <c r="F16" s="158" t="str">
        <f>L6</f>
        <v>€/kWh</v>
      </c>
      <c r="G16" s="454"/>
      <c r="H16" s="171">
        <f>IF(ISBLANK(G16),SUM($M16:$AP16)/'Year independent'!$G$35,G16)</f>
        <v>0</v>
      </c>
      <c r="I16" s="289" t="str">
        <f>IF(AND($H$23=0,$H$24=0),IF(AND($H$15=0,$H$16=0),SUMIF($F$13:$F$14,"="&amp;L6,$I$13:$I$14),H16),"value overruled")</f>
        <v>value overruled</v>
      </c>
      <c r="J16" s="529"/>
      <c r="K16" s="264"/>
      <c r="L16" s="264"/>
      <c r="M16" s="300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301"/>
      <c r="AQ16" s="264"/>
      <c r="AR16" s="308">
        <f t="shared" si="0"/>
        <v>0</v>
      </c>
      <c r="AS16" s="309">
        <f t="shared" si="1"/>
        <v>0</v>
      </c>
      <c r="AT16" s="309">
        <f t="shared" si="2"/>
        <v>0</v>
      </c>
      <c r="AU16" s="309">
        <f t="shared" si="3"/>
        <v>0</v>
      </c>
      <c r="AV16" s="309">
        <f t="shared" si="4"/>
        <v>0</v>
      </c>
      <c r="AW16" s="309">
        <f t="shared" si="5"/>
        <v>0</v>
      </c>
      <c r="AX16" s="309">
        <f t="shared" si="6"/>
        <v>0</v>
      </c>
      <c r="AY16" s="309">
        <f t="shared" si="7"/>
        <v>0</v>
      </c>
      <c r="AZ16" s="309">
        <f t="shared" si="8"/>
        <v>0</v>
      </c>
      <c r="BA16" s="309">
        <f t="shared" si="9"/>
        <v>0</v>
      </c>
      <c r="BB16" s="309">
        <f t="shared" si="10"/>
        <v>0</v>
      </c>
      <c r="BC16" s="309">
        <f t="shared" si="11"/>
        <v>0</v>
      </c>
      <c r="BD16" s="309">
        <f t="shared" si="12"/>
        <v>0</v>
      </c>
      <c r="BE16" s="309">
        <f t="shared" si="13"/>
        <v>0</v>
      </c>
      <c r="BF16" s="309">
        <f t="shared" si="14"/>
        <v>0</v>
      </c>
      <c r="BG16" s="309">
        <f t="shared" si="15"/>
        <v>0</v>
      </c>
      <c r="BH16" s="309">
        <f t="shared" si="16"/>
        <v>0</v>
      </c>
      <c r="BI16" s="309">
        <f t="shared" si="17"/>
        <v>0</v>
      </c>
      <c r="BJ16" s="309">
        <f t="shared" si="18"/>
        <v>0</v>
      </c>
      <c r="BK16" s="309">
        <f t="shared" si="19"/>
        <v>0</v>
      </c>
      <c r="BL16" s="309">
        <f t="shared" si="20"/>
        <v>0</v>
      </c>
      <c r="BM16" s="309">
        <f t="shared" si="21"/>
        <v>0</v>
      </c>
      <c r="BN16" s="309">
        <f t="shared" si="22"/>
        <v>0</v>
      </c>
      <c r="BO16" s="309">
        <f t="shared" si="23"/>
        <v>0</v>
      </c>
      <c r="BP16" s="309">
        <f t="shared" si="24"/>
        <v>0</v>
      </c>
      <c r="BQ16" s="309">
        <f t="shared" si="25"/>
        <v>0</v>
      </c>
      <c r="BR16" s="309">
        <f t="shared" si="26"/>
        <v>0</v>
      </c>
      <c r="BS16" s="309">
        <f t="shared" si="27"/>
        <v>0</v>
      </c>
      <c r="BT16" s="309">
        <f t="shared" si="28"/>
        <v>0</v>
      </c>
      <c r="BU16" s="310">
        <f t="shared" si="29"/>
        <v>0</v>
      </c>
      <c r="BV16" s="264"/>
    </row>
    <row r="17" spans="1:74" s="95" customFormat="1" ht="15.95" customHeight="1" x14ac:dyDescent="0.2">
      <c r="A17" s="260"/>
      <c r="B17" s="222"/>
      <c r="C17" s="218" t="str">
        <f>IF(Project!D2="onshore","Land rent","Site lease")</f>
        <v>Site lease</v>
      </c>
      <c r="D17" s="219"/>
      <c r="E17" s="219"/>
      <c r="F17" s="159" t="s">
        <v>139</v>
      </c>
      <c r="G17" s="455"/>
      <c r="H17" s="290">
        <f>IF(ISBLANK(G17),SUM($M17:$AP17)/'Year independent'!$G$35,G17)</f>
        <v>0</v>
      </c>
      <c r="I17" s="291" t="str">
        <f>IF(AND($H$23=0,$H$24=0),H17,"value overruled")</f>
        <v>value overruled</v>
      </c>
      <c r="J17" s="292" t="s">
        <v>153</v>
      </c>
      <c r="K17" s="264"/>
      <c r="L17" s="264"/>
      <c r="M17" s="300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301"/>
      <c r="AQ17" s="264"/>
      <c r="AR17" s="308">
        <f t="shared" si="0"/>
        <v>0</v>
      </c>
      <c r="AS17" s="309">
        <f t="shared" si="1"/>
        <v>0</v>
      </c>
      <c r="AT17" s="309">
        <f t="shared" si="2"/>
        <v>0</v>
      </c>
      <c r="AU17" s="309">
        <f t="shared" si="3"/>
        <v>0</v>
      </c>
      <c r="AV17" s="309">
        <f t="shared" si="4"/>
        <v>0</v>
      </c>
      <c r="AW17" s="309">
        <f t="shared" si="5"/>
        <v>0</v>
      </c>
      <c r="AX17" s="309">
        <f t="shared" si="6"/>
        <v>0</v>
      </c>
      <c r="AY17" s="309">
        <f t="shared" si="7"/>
        <v>0</v>
      </c>
      <c r="AZ17" s="309">
        <f t="shared" si="8"/>
        <v>0</v>
      </c>
      <c r="BA17" s="309">
        <f t="shared" si="9"/>
        <v>0</v>
      </c>
      <c r="BB17" s="309">
        <f t="shared" si="10"/>
        <v>0</v>
      </c>
      <c r="BC17" s="309">
        <f t="shared" si="11"/>
        <v>0</v>
      </c>
      <c r="BD17" s="309">
        <f t="shared" si="12"/>
        <v>0</v>
      </c>
      <c r="BE17" s="309">
        <f t="shared" si="13"/>
        <v>0</v>
      </c>
      <c r="BF17" s="309">
        <f t="shared" si="14"/>
        <v>0</v>
      </c>
      <c r="BG17" s="309">
        <f t="shared" si="15"/>
        <v>0</v>
      </c>
      <c r="BH17" s="309">
        <f t="shared" si="16"/>
        <v>0</v>
      </c>
      <c r="BI17" s="309">
        <f t="shared" si="17"/>
        <v>0</v>
      </c>
      <c r="BJ17" s="309">
        <f t="shared" si="18"/>
        <v>0</v>
      </c>
      <c r="BK17" s="309">
        <f t="shared" si="19"/>
        <v>0</v>
      </c>
      <c r="BL17" s="309">
        <f t="shared" si="20"/>
        <v>0</v>
      </c>
      <c r="BM17" s="309">
        <f t="shared" si="21"/>
        <v>0</v>
      </c>
      <c r="BN17" s="309">
        <f t="shared" si="22"/>
        <v>0</v>
      </c>
      <c r="BO17" s="309">
        <f t="shared" si="23"/>
        <v>0</v>
      </c>
      <c r="BP17" s="309">
        <f t="shared" si="24"/>
        <v>0</v>
      </c>
      <c r="BQ17" s="309">
        <f t="shared" si="25"/>
        <v>0</v>
      </c>
      <c r="BR17" s="309">
        <f t="shared" si="26"/>
        <v>0</v>
      </c>
      <c r="BS17" s="309">
        <f t="shared" si="27"/>
        <v>0</v>
      </c>
      <c r="BT17" s="309">
        <f t="shared" si="28"/>
        <v>0</v>
      </c>
      <c r="BU17" s="310">
        <f t="shared" si="29"/>
        <v>0</v>
      </c>
      <c r="BV17" s="264"/>
    </row>
    <row r="18" spans="1:74" s="95" customFormat="1" ht="15.95" customHeight="1" x14ac:dyDescent="0.2">
      <c r="A18" s="260"/>
      <c r="B18" s="222"/>
      <c r="C18" s="218" t="s">
        <v>150</v>
      </c>
      <c r="D18" s="219"/>
      <c r="E18" s="219"/>
      <c r="F18" s="159" t="s">
        <v>139</v>
      </c>
      <c r="G18" s="455"/>
      <c r="H18" s="290">
        <f>IF(ISBLANK(G18),SUM($M18:$AP18)/'Year independent'!$G$35,G18)</f>
        <v>0</v>
      </c>
      <c r="I18" s="291" t="str">
        <f>IF(AND($H$23=0,$H$24=0),H18,"value overruled")</f>
        <v>value overruled</v>
      </c>
      <c r="J18" s="292" t="s">
        <v>154</v>
      </c>
      <c r="K18" s="264"/>
      <c r="L18" s="264"/>
      <c r="M18" s="300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301"/>
      <c r="AQ18" s="264"/>
      <c r="AR18" s="308">
        <f t="shared" si="0"/>
        <v>0</v>
      </c>
      <c r="AS18" s="309">
        <f t="shared" si="1"/>
        <v>0</v>
      </c>
      <c r="AT18" s="309">
        <f t="shared" si="2"/>
        <v>0</v>
      </c>
      <c r="AU18" s="309">
        <f t="shared" si="3"/>
        <v>0</v>
      </c>
      <c r="AV18" s="309">
        <f t="shared" si="4"/>
        <v>0</v>
      </c>
      <c r="AW18" s="309">
        <f t="shared" si="5"/>
        <v>0</v>
      </c>
      <c r="AX18" s="309">
        <f t="shared" si="6"/>
        <v>0</v>
      </c>
      <c r="AY18" s="309">
        <f t="shared" si="7"/>
        <v>0</v>
      </c>
      <c r="AZ18" s="309">
        <f t="shared" si="8"/>
        <v>0</v>
      </c>
      <c r="BA18" s="309">
        <f t="shared" si="9"/>
        <v>0</v>
      </c>
      <c r="BB18" s="309">
        <f t="shared" si="10"/>
        <v>0</v>
      </c>
      <c r="BC18" s="309">
        <f t="shared" si="11"/>
        <v>0</v>
      </c>
      <c r="BD18" s="309">
        <f t="shared" si="12"/>
        <v>0</v>
      </c>
      <c r="BE18" s="309">
        <f t="shared" si="13"/>
        <v>0</v>
      </c>
      <c r="BF18" s="309">
        <f t="shared" si="14"/>
        <v>0</v>
      </c>
      <c r="BG18" s="309">
        <f t="shared" si="15"/>
        <v>0</v>
      </c>
      <c r="BH18" s="309">
        <f t="shared" si="16"/>
        <v>0</v>
      </c>
      <c r="BI18" s="309">
        <f t="shared" si="17"/>
        <v>0</v>
      </c>
      <c r="BJ18" s="309">
        <f t="shared" si="18"/>
        <v>0</v>
      </c>
      <c r="BK18" s="309">
        <f t="shared" si="19"/>
        <v>0</v>
      </c>
      <c r="BL18" s="309">
        <f t="shared" si="20"/>
        <v>0</v>
      </c>
      <c r="BM18" s="309">
        <f t="shared" si="21"/>
        <v>0</v>
      </c>
      <c r="BN18" s="309">
        <f t="shared" si="22"/>
        <v>0</v>
      </c>
      <c r="BO18" s="309">
        <f t="shared" si="23"/>
        <v>0</v>
      </c>
      <c r="BP18" s="309">
        <f t="shared" si="24"/>
        <v>0</v>
      </c>
      <c r="BQ18" s="309">
        <f t="shared" si="25"/>
        <v>0</v>
      </c>
      <c r="BR18" s="309">
        <f t="shared" si="26"/>
        <v>0</v>
      </c>
      <c r="BS18" s="309">
        <f t="shared" si="27"/>
        <v>0</v>
      </c>
      <c r="BT18" s="309">
        <f t="shared" si="28"/>
        <v>0</v>
      </c>
      <c r="BU18" s="310">
        <f t="shared" si="29"/>
        <v>0</v>
      </c>
      <c r="BV18" s="264"/>
    </row>
    <row r="19" spans="1:74" s="96" customFormat="1" ht="15.95" customHeight="1" x14ac:dyDescent="0.2">
      <c r="A19" s="259"/>
      <c r="B19" s="209"/>
      <c r="C19" s="210"/>
      <c r="D19" s="211" t="s">
        <v>151</v>
      </c>
      <c r="E19" s="211"/>
      <c r="F19" s="156" t="s">
        <v>14</v>
      </c>
      <c r="G19" s="451"/>
      <c r="H19" s="283">
        <f>IF(ISBLANK(G19),SUM($M19:$AP19)/'Year independent'!$G$35,G19)</f>
        <v>0</v>
      </c>
      <c r="I19" s="284" t="str">
        <f>IF(AND($H$23=0,$H$24=0,$H$21=0,$H$22=0),H19,"value overruled")</f>
        <v>value overruled</v>
      </c>
      <c r="J19" s="168" t="s">
        <v>93</v>
      </c>
      <c r="K19" s="263"/>
      <c r="L19" s="263"/>
      <c r="M19" s="298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168"/>
      <c r="AQ19" s="263"/>
      <c r="AR19" s="308">
        <f t="shared" si="0"/>
        <v>0</v>
      </c>
      <c r="AS19" s="309">
        <f t="shared" si="1"/>
        <v>0</v>
      </c>
      <c r="AT19" s="309">
        <f t="shared" si="2"/>
        <v>0</v>
      </c>
      <c r="AU19" s="309">
        <f t="shared" si="3"/>
        <v>0</v>
      </c>
      <c r="AV19" s="309">
        <f t="shared" si="4"/>
        <v>0</v>
      </c>
      <c r="AW19" s="309">
        <f t="shared" si="5"/>
        <v>0</v>
      </c>
      <c r="AX19" s="309">
        <f t="shared" si="6"/>
        <v>0</v>
      </c>
      <c r="AY19" s="309">
        <f t="shared" si="7"/>
        <v>0</v>
      </c>
      <c r="AZ19" s="309">
        <f t="shared" si="8"/>
        <v>0</v>
      </c>
      <c r="BA19" s="309">
        <f t="shared" si="9"/>
        <v>0</v>
      </c>
      <c r="BB19" s="309">
        <f t="shared" si="10"/>
        <v>0</v>
      </c>
      <c r="BC19" s="309">
        <f t="shared" si="11"/>
        <v>0</v>
      </c>
      <c r="BD19" s="309">
        <f t="shared" si="12"/>
        <v>0</v>
      </c>
      <c r="BE19" s="309">
        <f t="shared" si="13"/>
        <v>0</v>
      </c>
      <c r="BF19" s="309">
        <f t="shared" si="14"/>
        <v>0</v>
      </c>
      <c r="BG19" s="309">
        <f t="shared" si="15"/>
        <v>0</v>
      </c>
      <c r="BH19" s="309">
        <f t="shared" si="16"/>
        <v>0</v>
      </c>
      <c r="BI19" s="309">
        <f t="shared" si="17"/>
        <v>0</v>
      </c>
      <c r="BJ19" s="309">
        <f t="shared" si="18"/>
        <v>0</v>
      </c>
      <c r="BK19" s="309">
        <f t="shared" si="19"/>
        <v>0</v>
      </c>
      <c r="BL19" s="309">
        <f t="shared" si="20"/>
        <v>0</v>
      </c>
      <c r="BM19" s="309">
        <f t="shared" si="21"/>
        <v>0</v>
      </c>
      <c r="BN19" s="309">
        <f t="shared" si="22"/>
        <v>0</v>
      </c>
      <c r="BO19" s="309">
        <f t="shared" si="23"/>
        <v>0</v>
      </c>
      <c r="BP19" s="309">
        <f t="shared" si="24"/>
        <v>0</v>
      </c>
      <c r="BQ19" s="309">
        <f t="shared" si="25"/>
        <v>0</v>
      </c>
      <c r="BR19" s="309">
        <f t="shared" si="26"/>
        <v>0</v>
      </c>
      <c r="BS19" s="309">
        <f t="shared" si="27"/>
        <v>0</v>
      </c>
      <c r="BT19" s="309">
        <f t="shared" si="28"/>
        <v>0</v>
      </c>
      <c r="BU19" s="310">
        <f t="shared" si="29"/>
        <v>0</v>
      </c>
      <c r="BV19" s="263"/>
    </row>
    <row r="20" spans="1:74" s="96" customFormat="1" ht="15.95" customHeight="1" x14ac:dyDescent="0.2">
      <c r="A20" s="259"/>
      <c r="B20" s="209"/>
      <c r="C20" s="213"/>
      <c r="D20" s="214" t="s">
        <v>152</v>
      </c>
      <c r="E20" s="214"/>
      <c r="F20" s="157" t="s">
        <v>139</v>
      </c>
      <c r="G20" s="452"/>
      <c r="H20" s="285">
        <f>IF(ISBLANK(G20),SUM($M20:$AP20)/'Year independent'!$G$35,G20)</f>
        <v>0</v>
      </c>
      <c r="I20" s="286" t="str">
        <f>IF(AND($H$23=0,$H$24=0,$H$21=0,$H$22=0),H20,"value overruled")</f>
        <v>value overruled</v>
      </c>
      <c r="J20" s="170" t="s">
        <v>128</v>
      </c>
      <c r="K20" s="263"/>
      <c r="L20" s="263"/>
      <c r="M20" s="298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  <c r="AH20" s="299"/>
      <c r="AI20" s="299"/>
      <c r="AJ20" s="299"/>
      <c r="AK20" s="299"/>
      <c r="AL20" s="299"/>
      <c r="AM20" s="299"/>
      <c r="AN20" s="299"/>
      <c r="AO20" s="299"/>
      <c r="AP20" s="168"/>
      <c r="AQ20" s="263"/>
      <c r="AR20" s="308">
        <f t="shared" si="0"/>
        <v>0</v>
      </c>
      <c r="AS20" s="309">
        <f t="shared" si="1"/>
        <v>0</v>
      </c>
      <c r="AT20" s="309">
        <f t="shared" si="2"/>
        <v>0</v>
      </c>
      <c r="AU20" s="309">
        <f t="shared" si="3"/>
        <v>0</v>
      </c>
      <c r="AV20" s="309">
        <f t="shared" si="4"/>
        <v>0</v>
      </c>
      <c r="AW20" s="309">
        <f t="shared" si="5"/>
        <v>0</v>
      </c>
      <c r="AX20" s="309">
        <f t="shared" si="6"/>
        <v>0</v>
      </c>
      <c r="AY20" s="309">
        <f t="shared" si="7"/>
        <v>0</v>
      </c>
      <c r="AZ20" s="309">
        <f t="shared" si="8"/>
        <v>0</v>
      </c>
      <c r="BA20" s="309">
        <f t="shared" si="9"/>
        <v>0</v>
      </c>
      <c r="BB20" s="309">
        <f t="shared" si="10"/>
        <v>0</v>
      </c>
      <c r="BC20" s="309">
        <f t="shared" si="11"/>
        <v>0</v>
      </c>
      <c r="BD20" s="309">
        <f t="shared" si="12"/>
        <v>0</v>
      </c>
      <c r="BE20" s="309">
        <f t="shared" si="13"/>
        <v>0</v>
      </c>
      <c r="BF20" s="309">
        <f t="shared" si="14"/>
        <v>0</v>
      </c>
      <c r="BG20" s="309">
        <f t="shared" si="15"/>
        <v>0</v>
      </c>
      <c r="BH20" s="309">
        <f t="shared" si="16"/>
        <v>0</v>
      </c>
      <c r="BI20" s="309">
        <f t="shared" si="17"/>
        <v>0</v>
      </c>
      <c r="BJ20" s="309">
        <f t="shared" si="18"/>
        <v>0</v>
      </c>
      <c r="BK20" s="309">
        <f t="shared" si="19"/>
        <v>0</v>
      </c>
      <c r="BL20" s="309">
        <f t="shared" si="20"/>
        <v>0</v>
      </c>
      <c r="BM20" s="309">
        <f t="shared" si="21"/>
        <v>0</v>
      </c>
      <c r="BN20" s="309">
        <f t="shared" si="22"/>
        <v>0</v>
      </c>
      <c r="BO20" s="309">
        <f t="shared" si="23"/>
        <v>0</v>
      </c>
      <c r="BP20" s="309">
        <f t="shared" si="24"/>
        <v>0</v>
      </c>
      <c r="BQ20" s="309">
        <f t="shared" si="25"/>
        <v>0</v>
      </c>
      <c r="BR20" s="309">
        <f t="shared" si="26"/>
        <v>0</v>
      </c>
      <c r="BS20" s="309">
        <f t="shared" si="27"/>
        <v>0</v>
      </c>
      <c r="BT20" s="309">
        <f t="shared" si="28"/>
        <v>0</v>
      </c>
      <c r="BU20" s="310">
        <f t="shared" si="29"/>
        <v>0</v>
      </c>
      <c r="BV20" s="263"/>
    </row>
    <row r="21" spans="1:74" s="95" customFormat="1" ht="15.95" customHeight="1" x14ac:dyDescent="0.2">
      <c r="A21" s="260"/>
      <c r="B21" s="222"/>
      <c r="C21" s="277" t="s">
        <v>156</v>
      </c>
      <c r="D21" s="278"/>
      <c r="E21" s="278"/>
      <c r="F21" s="156" t="str">
        <f>L5</f>
        <v>€/kW</v>
      </c>
      <c r="G21" s="456"/>
      <c r="H21" s="293">
        <f>IF(ISBLANK(G21),SUM($M21:$AP21)/'Year independent'!$G$35,G21)</f>
        <v>0</v>
      </c>
      <c r="I21" s="284" t="str">
        <f>IF(AND($H$23=0,$H$24=0),IF(AND($H$21=0,$H$22=0),SUMIF($F$19:$F$20,"="&amp;L5,$I$19:$I$20),H21),"value overruled")</f>
        <v>value overruled</v>
      </c>
      <c r="J21" s="528" t="s">
        <v>155</v>
      </c>
      <c r="K21" s="264"/>
      <c r="L21" s="264"/>
      <c r="M21" s="300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301"/>
      <c r="AQ21" s="264"/>
      <c r="AR21" s="308">
        <f t="shared" si="0"/>
        <v>0</v>
      </c>
      <c r="AS21" s="309">
        <f t="shared" si="1"/>
        <v>0</v>
      </c>
      <c r="AT21" s="309">
        <f t="shared" si="2"/>
        <v>0</v>
      </c>
      <c r="AU21" s="309">
        <f t="shared" si="3"/>
        <v>0</v>
      </c>
      <c r="AV21" s="309">
        <f t="shared" si="4"/>
        <v>0</v>
      </c>
      <c r="AW21" s="309">
        <f t="shared" si="5"/>
        <v>0</v>
      </c>
      <c r="AX21" s="309">
        <f t="shared" si="6"/>
        <v>0</v>
      </c>
      <c r="AY21" s="309">
        <f t="shared" si="7"/>
        <v>0</v>
      </c>
      <c r="AZ21" s="309">
        <f t="shared" si="8"/>
        <v>0</v>
      </c>
      <c r="BA21" s="309">
        <f t="shared" si="9"/>
        <v>0</v>
      </c>
      <c r="BB21" s="309">
        <f t="shared" si="10"/>
        <v>0</v>
      </c>
      <c r="BC21" s="309">
        <f t="shared" si="11"/>
        <v>0</v>
      </c>
      <c r="BD21" s="309">
        <f t="shared" si="12"/>
        <v>0</v>
      </c>
      <c r="BE21" s="309">
        <f t="shared" si="13"/>
        <v>0</v>
      </c>
      <c r="BF21" s="309">
        <f t="shared" si="14"/>
        <v>0</v>
      </c>
      <c r="BG21" s="309">
        <f t="shared" si="15"/>
        <v>0</v>
      </c>
      <c r="BH21" s="309">
        <f t="shared" si="16"/>
        <v>0</v>
      </c>
      <c r="BI21" s="309">
        <f t="shared" si="17"/>
        <v>0</v>
      </c>
      <c r="BJ21" s="309">
        <f t="shared" si="18"/>
        <v>0</v>
      </c>
      <c r="BK21" s="309">
        <f t="shared" si="19"/>
        <v>0</v>
      </c>
      <c r="BL21" s="309">
        <f t="shared" si="20"/>
        <v>0</v>
      </c>
      <c r="BM21" s="309">
        <f t="shared" si="21"/>
        <v>0</v>
      </c>
      <c r="BN21" s="309">
        <f t="shared" si="22"/>
        <v>0</v>
      </c>
      <c r="BO21" s="309">
        <f t="shared" si="23"/>
        <v>0</v>
      </c>
      <c r="BP21" s="309">
        <f t="shared" si="24"/>
        <v>0</v>
      </c>
      <c r="BQ21" s="309">
        <f t="shared" si="25"/>
        <v>0</v>
      </c>
      <c r="BR21" s="309">
        <f t="shared" si="26"/>
        <v>0</v>
      </c>
      <c r="BS21" s="309">
        <f t="shared" si="27"/>
        <v>0</v>
      </c>
      <c r="BT21" s="309">
        <f t="shared" si="28"/>
        <v>0</v>
      </c>
      <c r="BU21" s="310">
        <f t="shared" si="29"/>
        <v>0</v>
      </c>
      <c r="BV21" s="264"/>
    </row>
    <row r="22" spans="1:74" s="95" customFormat="1" ht="15.95" customHeight="1" x14ac:dyDescent="0.2">
      <c r="A22" s="260"/>
      <c r="B22" s="222"/>
      <c r="C22" s="216" t="s">
        <v>157</v>
      </c>
      <c r="D22" s="217"/>
      <c r="E22" s="217"/>
      <c r="F22" s="158" t="str">
        <f>L6</f>
        <v>€/kWh</v>
      </c>
      <c r="G22" s="454"/>
      <c r="H22" s="171">
        <f>IF(ISBLANK(G22),SUM($M22:$AP22)/'Year independent'!$G$35,G22)</f>
        <v>0</v>
      </c>
      <c r="I22" s="289" t="str">
        <f>IF(AND($H$23=0,$H$24=0),IF(AND($H$21=0,$H$22=0),SUMIF($F$19:$F$20,"="&amp;L6,$I$19:$I$20),H22),"value overruled")</f>
        <v>value overruled</v>
      </c>
      <c r="J22" s="529"/>
      <c r="K22" s="264"/>
      <c r="L22" s="264"/>
      <c r="M22" s="300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301"/>
      <c r="AQ22" s="264"/>
      <c r="AR22" s="308">
        <f t="shared" si="0"/>
        <v>0</v>
      </c>
      <c r="AS22" s="309">
        <f t="shared" si="1"/>
        <v>0</v>
      </c>
      <c r="AT22" s="309">
        <f t="shared" si="2"/>
        <v>0</v>
      </c>
      <c r="AU22" s="309">
        <f t="shared" si="3"/>
        <v>0</v>
      </c>
      <c r="AV22" s="309">
        <f t="shared" si="4"/>
        <v>0</v>
      </c>
      <c r="AW22" s="309">
        <f t="shared" si="5"/>
        <v>0</v>
      </c>
      <c r="AX22" s="309">
        <f t="shared" si="6"/>
        <v>0</v>
      </c>
      <c r="AY22" s="309">
        <f t="shared" si="7"/>
        <v>0</v>
      </c>
      <c r="AZ22" s="309">
        <f t="shared" si="8"/>
        <v>0</v>
      </c>
      <c r="BA22" s="309">
        <f t="shared" si="9"/>
        <v>0</v>
      </c>
      <c r="BB22" s="309">
        <f t="shared" si="10"/>
        <v>0</v>
      </c>
      <c r="BC22" s="309">
        <f t="shared" si="11"/>
        <v>0</v>
      </c>
      <c r="BD22" s="309">
        <f t="shared" si="12"/>
        <v>0</v>
      </c>
      <c r="BE22" s="309">
        <f t="shared" si="13"/>
        <v>0</v>
      </c>
      <c r="BF22" s="309">
        <f t="shared" si="14"/>
        <v>0</v>
      </c>
      <c r="BG22" s="309">
        <f t="shared" si="15"/>
        <v>0</v>
      </c>
      <c r="BH22" s="309">
        <f t="shared" si="16"/>
        <v>0</v>
      </c>
      <c r="BI22" s="309">
        <f t="shared" si="17"/>
        <v>0</v>
      </c>
      <c r="BJ22" s="309">
        <f t="shared" si="18"/>
        <v>0</v>
      </c>
      <c r="BK22" s="309">
        <f t="shared" si="19"/>
        <v>0</v>
      </c>
      <c r="BL22" s="309">
        <f t="shared" si="20"/>
        <v>0</v>
      </c>
      <c r="BM22" s="309">
        <f t="shared" si="21"/>
        <v>0</v>
      </c>
      <c r="BN22" s="309">
        <f t="shared" si="22"/>
        <v>0</v>
      </c>
      <c r="BO22" s="309">
        <f t="shared" si="23"/>
        <v>0</v>
      </c>
      <c r="BP22" s="309">
        <f t="shared" si="24"/>
        <v>0</v>
      </c>
      <c r="BQ22" s="309">
        <f t="shared" si="25"/>
        <v>0</v>
      </c>
      <c r="BR22" s="309">
        <f t="shared" si="26"/>
        <v>0</v>
      </c>
      <c r="BS22" s="309">
        <f t="shared" si="27"/>
        <v>0</v>
      </c>
      <c r="BT22" s="309">
        <f t="shared" si="28"/>
        <v>0</v>
      </c>
      <c r="BU22" s="310">
        <f t="shared" si="29"/>
        <v>0</v>
      </c>
      <c r="BV22" s="264"/>
    </row>
    <row r="23" spans="1:74" s="97" customFormat="1" ht="15.95" customHeight="1" x14ac:dyDescent="0.2">
      <c r="A23" s="261"/>
      <c r="B23" s="279" t="s">
        <v>158</v>
      </c>
      <c r="C23" s="280"/>
      <c r="D23" s="280"/>
      <c r="E23" s="280"/>
      <c r="F23" s="156" t="str">
        <f>L5</f>
        <v>€/kW</v>
      </c>
      <c r="G23" s="457">
        <v>41.1</v>
      </c>
      <c r="H23" s="337">
        <f>IF(ISBLANK(G23),SUM($M23:$AP23)/'Year independent'!$G$35,G23)</f>
        <v>41.1</v>
      </c>
      <c r="I23" s="338">
        <f>IF(AND(H23=0,H24=0),I9+I15+I21+SUMIF(F11:F12,"="&amp;L5,I11:I12)+SUMIF(F17:F18,"="&amp;L5,I17:I18),H23)</f>
        <v>41.1</v>
      </c>
      <c r="J23" s="523" t="s">
        <v>162</v>
      </c>
      <c r="K23" s="265"/>
      <c r="L23" s="265"/>
      <c r="M23" s="302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  <c r="AN23" s="269"/>
      <c r="AO23" s="269"/>
      <c r="AP23" s="303"/>
      <c r="AQ23" s="265"/>
      <c r="AR23" s="308">
        <f t="shared" si="0"/>
        <v>41.1</v>
      </c>
      <c r="AS23" s="309">
        <f t="shared" si="1"/>
        <v>41.1</v>
      </c>
      <c r="AT23" s="309">
        <f t="shared" si="2"/>
        <v>41.1</v>
      </c>
      <c r="AU23" s="309">
        <f t="shared" si="3"/>
        <v>41.1</v>
      </c>
      <c r="AV23" s="309">
        <f t="shared" si="4"/>
        <v>41.1</v>
      </c>
      <c r="AW23" s="309">
        <f t="shared" si="5"/>
        <v>41.1</v>
      </c>
      <c r="AX23" s="309">
        <f t="shared" si="6"/>
        <v>41.1</v>
      </c>
      <c r="AY23" s="309">
        <f t="shared" si="7"/>
        <v>41.1</v>
      </c>
      <c r="AZ23" s="309">
        <f t="shared" si="8"/>
        <v>41.1</v>
      </c>
      <c r="BA23" s="309">
        <f t="shared" si="9"/>
        <v>41.1</v>
      </c>
      <c r="BB23" s="309">
        <f t="shared" si="10"/>
        <v>41.1</v>
      </c>
      <c r="BC23" s="309">
        <f t="shared" si="11"/>
        <v>41.1</v>
      </c>
      <c r="BD23" s="309">
        <f t="shared" si="12"/>
        <v>41.1</v>
      </c>
      <c r="BE23" s="309">
        <f t="shared" si="13"/>
        <v>41.1</v>
      </c>
      <c r="BF23" s="309">
        <f t="shared" si="14"/>
        <v>41.1</v>
      </c>
      <c r="BG23" s="309">
        <f t="shared" si="15"/>
        <v>41.1</v>
      </c>
      <c r="BH23" s="309">
        <f t="shared" si="16"/>
        <v>41.1</v>
      </c>
      <c r="BI23" s="309">
        <f t="shared" si="17"/>
        <v>41.1</v>
      </c>
      <c r="BJ23" s="309">
        <f t="shared" si="18"/>
        <v>41.1</v>
      </c>
      <c r="BK23" s="309">
        <f t="shared" si="19"/>
        <v>41.1</v>
      </c>
      <c r="BL23" s="309">
        <f t="shared" si="20"/>
        <v>41.1</v>
      </c>
      <c r="BM23" s="309">
        <f t="shared" si="21"/>
        <v>41.1</v>
      </c>
      <c r="BN23" s="309">
        <f t="shared" si="22"/>
        <v>41.1</v>
      </c>
      <c r="BO23" s="309">
        <f t="shared" si="23"/>
        <v>41.1</v>
      </c>
      <c r="BP23" s="309">
        <f t="shared" si="24"/>
        <v>41.1</v>
      </c>
      <c r="BQ23" s="309">
        <f t="shared" si="25"/>
        <v>41.1</v>
      </c>
      <c r="BR23" s="309">
        <f t="shared" si="26"/>
        <v>41.1</v>
      </c>
      <c r="BS23" s="309">
        <f t="shared" si="27"/>
        <v>41.1</v>
      </c>
      <c r="BT23" s="309">
        <f t="shared" si="28"/>
        <v>41.1</v>
      </c>
      <c r="BU23" s="310">
        <f t="shared" si="29"/>
        <v>41.1</v>
      </c>
      <c r="BV23" s="265"/>
    </row>
    <row r="24" spans="1:74" s="97" customFormat="1" ht="15.95" customHeight="1" thickBot="1" x14ac:dyDescent="0.25">
      <c r="A24" s="261"/>
      <c r="B24" s="230" t="s">
        <v>159</v>
      </c>
      <c r="C24" s="231"/>
      <c r="D24" s="231"/>
      <c r="E24" s="231"/>
      <c r="F24" s="166" t="str">
        <f>L6</f>
        <v>€/kWh</v>
      </c>
      <c r="G24" s="458">
        <v>0</v>
      </c>
      <c r="H24" s="294">
        <f>IF(ISBLANK(G24),SUM($M24:$AP24)/'Year independent'!$G$35,G24)</f>
        <v>0</v>
      </c>
      <c r="I24" s="295">
        <f>IF(AND(H23=0,H24=0),I10+I16+I22+SUMIF(F11:F12,"="&amp;L6,I11:I12)+SUMIF(F17:F18,"="&amp;L6,I17:I18),H24)</f>
        <v>0</v>
      </c>
      <c r="J24" s="524"/>
      <c r="K24" s="265"/>
      <c r="L24" s="265"/>
      <c r="M24" s="30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4"/>
      <c r="AO24" s="294"/>
      <c r="AP24" s="177"/>
      <c r="AQ24" s="265"/>
      <c r="AR24" s="308">
        <f t="shared" si="0"/>
        <v>0</v>
      </c>
      <c r="AS24" s="309">
        <f t="shared" si="1"/>
        <v>0</v>
      </c>
      <c r="AT24" s="309">
        <f t="shared" si="2"/>
        <v>0</v>
      </c>
      <c r="AU24" s="309">
        <f t="shared" si="3"/>
        <v>0</v>
      </c>
      <c r="AV24" s="309">
        <f t="shared" si="4"/>
        <v>0</v>
      </c>
      <c r="AW24" s="309">
        <f t="shared" si="5"/>
        <v>0</v>
      </c>
      <c r="AX24" s="309">
        <f t="shared" si="6"/>
        <v>0</v>
      </c>
      <c r="AY24" s="309">
        <f t="shared" si="7"/>
        <v>0</v>
      </c>
      <c r="AZ24" s="309">
        <f t="shared" si="8"/>
        <v>0</v>
      </c>
      <c r="BA24" s="309">
        <f t="shared" si="9"/>
        <v>0</v>
      </c>
      <c r="BB24" s="309">
        <f t="shared" si="10"/>
        <v>0</v>
      </c>
      <c r="BC24" s="309">
        <f t="shared" si="11"/>
        <v>0</v>
      </c>
      <c r="BD24" s="309">
        <f t="shared" si="12"/>
        <v>0</v>
      </c>
      <c r="BE24" s="309">
        <f t="shared" si="13"/>
        <v>0</v>
      </c>
      <c r="BF24" s="309">
        <f t="shared" si="14"/>
        <v>0</v>
      </c>
      <c r="BG24" s="309">
        <f t="shared" si="15"/>
        <v>0</v>
      </c>
      <c r="BH24" s="309">
        <f t="shared" si="16"/>
        <v>0</v>
      </c>
      <c r="BI24" s="309">
        <f t="shared" si="17"/>
        <v>0</v>
      </c>
      <c r="BJ24" s="309">
        <f t="shared" si="18"/>
        <v>0</v>
      </c>
      <c r="BK24" s="309">
        <f t="shared" si="19"/>
        <v>0</v>
      </c>
      <c r="BL24" s="309">
        <f t="shared" si="20"/>
        <v>0</v>
      </c>
      <c r="BM24" s="309">
        <f t="shared" si="21"/>
        <v>0</v>
      </c>
      <c r="BN24" s="309">
        <f t="shared" si="22"/>
        <v>0</v>
      </c>
      <c r="BO24" s="309">
        <f t="shared" si="23"/>
        <v>0</v>
      </c>
      <c r="BP24" s="309">
        <f t="shared" si="24"/>
        <v>0</v>
      </c>
      <c r="BQ24" s="309">
        <f t="shared" si="25"/>
        <v>0</v>
      </c>
      <c r="BR24" s="309">
        <f t="shared" si="26"/>
        <v>0</v>
      </c>
      <c r="BS24" s="309">
        <f t="shared" si="27"/>
        <v>0</v>
      </c>
      <c r="BT24" s="309">
        <f t="shared" si="28"/>
        <v>0</v>
      </c>
      <c r="BU24" s="310">
        <f t="shared" si="29"/>
        <v>0</v>
      </c>
      <c r="BV24" s="265"/>
    </row>
    <row r="25" spans="1:74" s="97" customFormat="1" ht="3.75" customHeight="1" x14ac:dyDescent="0.2">
      <c r="A25" s="261"/>
      <c r="B25" s="317"/>
      <c r="C25" s="267"/>
      <c r="D25" s="267"/>
      <c r="E25" s="267"/>
      <c r="F25" s="156"/>
      <c r="G25" s="336"/>
      <c r="H25" s="269"/>
      <c r="I25" s="284"/>
      <c r="J25" s="336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5"/>
      <c r="AC25" s="265"/>
      <c r="AD25" s="265"/>
      <c r="AE25" s="265"/>
      <c r="AF25" s="265"/>
      <c r="AG25" s="265"/>
      <c r="AH25" s="265"/>
      <c r="AI25" s="265"/>
      <c r="AJ25" s="265"/>
      <c r="AK25" s="265"/>
      <c r="AL25" s="265"/>
      <c r="AM25" s="265"/>
      <c r="AN25" s="265"/>
      <c r="AO25" s="265"/>
      <c r="AP25" s="265"/>
      <c r="AQ25" s="265"/>
      <c r="AR25" s="311"/>
      <c r="AS25" s="312"/>
      <c r="AT25" s="312"/>
      <c r="AU25" s="312"/>
      <c r="AV25" s="312"/>
      <c r="AW25" s="312"/>
      <c r="AX25" s="312"/>
      <c r="AY25" s="312"/>
      <c r="AZ25" s="312"/>
      <c r="BA25" s="312"/>
      <c r="BB25" s="312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  <c r="BO25" s="312"/>
      <c r="BP25" s="312"/>
      <c r="BQ25" s="312"/>
      <c r="BR25" s="312"/>
      <c r="BS25" s="312"/>
      <c r="BT25" s="312"/>
      <c r="BU25" s="313"/>
      <c r="BV25" s="265"/>
    </row>
    <row r="26" spans="1:74" s="97" customFormat="1" ht="15.95" customHeight="1" x14ac:dyDescent="0.2">
      <c r="A26" s="261"/>
      <c r="B26" s="267"/>
      <c r="C26" s="267"/>
      <c r="D26" s="267"/>
      <c r="E26" s="267"/>
      <c r="F26" s="156"/>
      <c r="G26" s="269"/>
      <c r="H26" s="269"/>
      <c r="I26" s="284"/>
      <c r="J26" s="269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  <c r="AE26" s="265"/>
      <c r="AF26" s="265"/>
      <c r="AG26" s="265"/>
      <c r="AH26" s="265"/>
      <c r="AI26" s="265"/>
      <c r="AJ26" s="265"/>
      <c r="AK26" s="265"/>
      <c r="AL26" s="265"/>
      <c r="AM26" s="265"/>
      <c r="AN26" s="265"/>
      <c r="AO26" s="265"/>
      <c r="AP26" s="265"/>
      <c r="AQ26" s="265"/>
      <c r="AR26" s="298">
        <f t="shared" ref="AR26:BU26" si="30">SUMIF($F$5:$F$24,"="&amp;$L5,AR$5:AR$24)</f>
        <v>41.1</v>
      </c>
      <c r="AS26" s="299">
        <f t="shared" si="30"/>
        <v>41.1</v>
      </c>
      <c r="AT26" s="299">
        <f t="shared" si="30"/>
        <v>41.1</v>
      </c>
      <c r="AU26" s="299">
        <f t="shared" si="30"/>
        <v>41.1</v>
      </c>
      <c r="AV26" s="299">
        <f t="shared" si="30"/>
        <v>41.1</v>
      </c>
      <c r="AW26" s="299">
        <f t="shared" si="30"/>
        <v>41.1</v>
      </c>
      <c r="AX26" s="299">
        <f t="shared" si="30"/>
        <v>41.1</v>
      </c>
      <c r="AY26" s="299">
        <f t="shared" si="30"/>
        <v>41.1</v>
      </c>
      <c r="AZ26" s="299">
        <f t="shared" si="30"/>
        <v>41.1</v>
      </c>
      <c r="BA26" s="299">
        <f t="shared" si="30"/>
        <v>41.1</v>
      </c>
      <c r="BB26" s="299">
        <f t="shared" si="30"/>
        <v>41.1</v>
      </c>
      <c r="BC26" s="299">
        <f t="shared" si="30"/>
        <v>41.1</v>
      </c>
      <c r="BD26" s="299">
        <f t="shared" si="30"/>
        <v>41.1</v>
      </c>
      <c r="BE26" s="299">
        <f t="shared" si="30"/>
        <v>41.1</v>
      </c>
      <c r="BF26" s="299">
        <f t="shared" si="30"/>
        <v>41.1</v>
      </c>
      <c r="BG26" s="299">
        <f t="shared" si="30"/>
        <v>41.1</v>
      </c>
      <c r="BH26" s="299">
        <f t="shared" si="30"/>
        <v>41.1</v>
      </c>
      <c r="BI26" s="299">
        <f t="shared" si="30"/>
        <v>41.1</v>
      </c>
      <c r="BJ26" s="299">
        <f t="shared" si="30"/>
        <v>41.1</v>
      </c>
      <c r="BK26" s="299">
        <f t="shared" si="30"/>
        <v>41.1</v>
      </c>
      <c r="BL26" s="299">
        <f t="shared" si="30"/>
        <v>41.1</v>
      </c>
      <c r="BM26" s="299">
        <f t="shared" si="30"/>
        <v>41.1</v>
      </c>
      <c r="BN26" s="299">
        <f t="shared" si="30"/>
        <v>41.1</v>
      </c>
      <c r="BO26" s="299">
        <f t="shared" si="30"/>
        <v>41.1</v>
      </c>
      <c r="BP26" s="299">
        <f t="shared" si="30"/>
        <v>41.1</v>
      </c>
      <c r="BQ26" s="299">
        <f t="shared" si="30"/>
        <v>41.1</v>
      </c>
      <c r="BR26" s="299">
        <f t="shared" si="30"/>
        <v>41.1</v>
      </c>
      <c r="BS26" s="299">
        <f t="shared" si="30"/>
        <v>41.1</v>
      </c>
      <c r="BT26" s="299">
        <f t="shared" si="30"/>
        <v>41.1</v>
      </c>
      <c r="BU26" s="168">
        <f t="shared" si="30"/>
        <v>41.1</v>
      </c>
      <c r="BV26" s="265"/>
    </row>
    <row r="27" spans="1:74" s="97" customFormat="1" ht="15.95" customHeight="1" thickBot="1" x14ac:dyDescent="0.25">
      <c r="A27" s="261"/>
      <c r="B27" s="402" t="s">
        <v>243</v>
      </c>
      <c r="C27" s="267"/>
      <c r="D27" s="267"/>
      <c r="E27" s="267"/>
      <c r="F27" s="156"/>
      <c r="G27" s="269"/>
      <c r="H27" s="269"/>
      <c r="I27" s="284"/>
      <c r="J27" s="156"/>
      <c r="K27" s="400" t="s">
        <v>244</v>
      </c>
      <c r="L27" s="264"/>
      <c r="M27" s="401">
        <v>1</v>
      </c>
      <c r="N27" s="401">
        <v>2</v>
      </c>
      <c r="O27" s="401">
        <v>3</v>
      </c>
      <c r="P27" s="401">
        <v>4</v>
      </c>
      <c r="Q27" s="401">
        <v>5</v>
      </c>
      <c r="R27" s="401">
        <v>6</v>
      </c>
      <c r="S27" s="401">
        <v>7</v>
      </c>
      <c r="T27" s="401">
        <v>8</v>
      </c>
      <c r="U27" s="401">
        <v>9</v>
      </c>
      <c r="V27" s="401">
        <v>10</v>
      </c>
      <c r="W27" s="401">
        <v>11</v>
      </c>
      <c r="X27" s="401">
        <v>12</v>
      </c>
      <c r="Y27" s="401">
        <v>13</v>
      </c>
      <c r="Z27" s="401">
        <v>14</v>
      </c>
      <c r="AA27" s="401">
        <v>15</v>
      </c>
      <c r="AB27" s="401">
        <v>16</v>
      </c>
      <c r="AC27" s="401">
        <v>17</v>
      </c>
      <c r="AD27" s="401">
        <v>18</v>
      </c>
      <c r="AE27" s="401">
        <v>19</v>
      </c>
      <c r="AF27" s="401">
        <v>20</v>
      </c>
      <c r="AG27" s="401">
        <v>21</v>
      </c>
      <c r="AH27" s="401">
        <v>22</v>
      </c>
      <c r="AI27" s="401">
        <v>23</v>
      </c>
      <c r="AJ27" s="401">
        <v>24</v>
      </c>
      <c r="AK27" s="401">
        <v>25</v>
      </c>
      <c r="AL27" s="401">
        <v>26</v>
      </c>
      <c r="AM27" s="401">
        <v>27</v>
      </c>
      <c r="AN27" s="401">
        <v>28</v>
      </c>
      <c r="AO27" s="401">
        <v>29</v>
      </c>
      <c r="AP27" s="401">
        <v>30</v>
      </c>
      <c r="AQ27" s="265"/>
      <c r="AR27" s="314">
        <f t="shared" ref="AR27:BU27" si="31">SUMIF($F$5:$F$24,"="&amp;$L6,AR$5:AR$24)</f>
        <v>0</v>
      </c>
      <c r="AS27" s="315">
        <f t="shared" si="31"/>
        <v>0</v>
      </c>
      <c r="AT27" s="315">
        <f t="shared" si="31"/>
        <v>0</v>
      </c>
      <c r="AU27" s="315">
        <f t="shared" si="31"/>
        <v>0</v>
      </c>
      <c r="AV27" s="315">
        <f t="shared" si="31"/>
        <v>0</v>
      </c>
      <c r="AW27" s="315">
        <f t="shared" si="31"/>
        <v>0</v>
      </c>
      <c r="AX27" s="315">
        <f t="shared" si="31"/>
        <v>0</v>
      </c>
      <c r="AY27" s="315">
        <f t="shared" si="31"/>
        <v>0</v>
      </c>
      <c r="AZ27" s="315">
        <f t="shared" si="31"/>
        <v>0</v>
      </c>
      <c r="BA27" s="315">
        <f t="shared" si="31"/>
        <v>0</v>
      </c>
      <c r="BB27" s="315">
        <f t="shared" si="31"/>
        <v>0</v>
      </c>
      <c r="BC27" s="315">
        <f t="shared" si="31"/>
        <v>0</v>
      </c>
      <c r="BD27" s="315">
        <f t="shared" si="31"/>
        <v>0</v>
      </c>
      <c r="BE27" s="315">
        <f t="shared" si="31"/>
        <v>0</v>
      </c>
      <c r="BF27" s="315">
        <f t="shared" si="31"/>
        <v>0</v>
      </c>
      <c r="BG27" s="315">
        <f t="shared" si="31"/>
        <v>0</v>
      </c>
      <c r="BH27" s="315">
        <f t="shared" si="31"/>
        <v>0</v>
      </c>
      <c r="BI27" s="315">
        <f t="shared" si="31"/>
        <v>0</v>
      </c>
      <c r="BJ27" s="315">
        <f t="shared" si="31"/>
        <v>0</v>
      </c>
      <c r="BK27" s="315">
        <f t="shared" si="31"/>
        <v>0</v>
      </c>
      <c r="BL27" s="315">
        <f t="shared" si="31"/>
        <v>0</v>
      </c>
      <c r="BM27" s="315">
        <f t="shared" si="31"/>
        <v>0</v>
      </c>
      <c r="BN27" s="315">
        <f t="shared" si="31"/>
        <v>0</v>
      </c>
      <c r="BO27" s="315">
        <f t="shared" si="31"/>
        <v>0</v>
      </c>
      <c r="BP27" s="315">
        <f t="shared" si="31"/>
        <v>0</v>
      </c>
      <c r="BQ27" s="315">
        <f t="shared" si="31"/>
        <v>0</v>
      </c>
      <c r="BR27" s="315">
        <f t="shared" si="31"/>
        <v>0</v>
      </c>
      <c r="BS27" s="315">
        <f t="shared" si="31"/>
        <v>0</v>
      </c>
      <c r="BT27" s="315">
        <f t="shared" si="31"/>
        <v>0</v>
      </c>
      <c r="BU27" s="316">
        <f t="shared" si="31"/>
        <v>0</v>
      </c>
      <c r="BV27" s="265"/>
    </row>
    <row r="28" spans="1:74" ht="3.75" customHeight="1" thickBot="1" x14ac:dyDescent="0.25">
      <c r="A28" s="260"/>
      <c r="B28" s="267"/>
      <c r="C28" s="267"/>
      <c r="D28" s="267"/>
      <c r="E28" s="267"/>
      <c r="F28" s="156"/>
      <c r="G28" s="269"/>
      <c r="H28" s="269"/>
      <c r="I28" s="284"/>
      <c r="J28" s="269"/>
      <c r="K28" s="265"/>
      <c r="L28" s="265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  <c r="AP28" s="265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</row>
    <row r="29" spans="1:74" ht="15.95" customHeight="1" x14ac:dyDescent="0.2">
      <c r="A29" s="134"/>
      <c r="B29" s="404" t="s">
        <v>246</v>
      </c>
      <c r="C29" s="330"/>
      <c r="D29" s="330"/>
      <c r="E29" s="330"/>
      <c r="F29" s="153" t="str">
        <f>L6</f>
        <v>€/kWh</v>
      </c>
      <c r="G29" s="394">
        <v>3.6999999999999998E-2</v>
      </c>
      <c r="H29" s="332">
        <f>IF(ISBLANK(G29),SUM($M29:$AP29)/'Year independent'!$G$35,G29)</f>
        <v>3.6999999999999998E-2</v>
      </c>
      <c r="I29" s="282">
        <f>H29</f>
        <v>3.6999999999999998E-2</v>
      </c>
      <c r="J29" s="333"/>
      <c r="K29" s="267"/>
      <c r="L29" s="267"/>
      <c r="M29" s="459">
        <v>3.5799999999999998E-2</v>
      </c>
      <c r="N29" s="460">
        <v>3.5799999999999998E-2</v>
      </c>
      <c r="O29" s="460">
        <v>3.5799999999999998E-2</v>
      </c>
      <c r="P29" s="460">
        <v>3.5499999999999997E-2</v>
      </c>
      <c r="Q29" s="460">
        <v>3.5499999999999997E-2</v>
      </c>
      <c r="R29" s="460">
        <v>3.56E-2</v>
      </c>
      <c r="S29" s="460">
        <v>3.5900000000000001E-2</v>
      </c>
      <c r="T29" s="460">
        <v>3.5900000000000001E-2</v>
      </c>
      <c r="U29" s="460">
        <v>3.5900000000000001E-2</v>
      </c>
      <c r="V29" s="460">
        <v>3.5999999999999997E-2</v>
      </c>
      <c r="W29" s="460">
        <v>3.61E-2</v>
      </c>
      <c r="X29" s="460">
        <v>3.61E-2</v>
      </c>
      <c r="Y29" s="460">
        <v>3.5999999999999997E-2</v>
      </c>
      <c r="Z29" s="460">
        <v>3.5700000000000003E-2</v>
      </c>
      <c r="AA29" s="460">
        <v>3.56E-2</v>
      </c>
      <c r="AB29" s="460">
        <v>3.5200000000000002E-2</v>
      </c>
      <c r="AC29" s="460">
        <v>3.5000000000000003E-2</v>
      </c>
      <c r="AD29" s="460">
        <v>3.44E-2</v>
      </c>
      <c r="AE29" s="461">
        <v>3.44E-2</v>
      </c>
      <c r="AF29" s="461">
        <v>3.4299999999999997E-2</v>
      </c>
      <c r="AG29" s="461">
        <v>3.4200000000000001E-2</v>
      </c>
      <c r="AH29" s="461">
        <v>3.4099999999999998E-2</v>
      </c>
      <c r="AI29" s="461">
        <v>3.4099999999999998E-2</v>
      </c>
      <c r="AJ29" s="461">
        <v>3.4000000000000002E-2</v>
      </c>
      <c r="AK29" s="461">
        <v>3.39E-2</v>
      </c>
      <c r="AL29" s="461">
        <v>3.39E-2</v>
      </c>
      <c r="AM29" s="461">
        <v>3.3500000000000002E-2</v>
      </c>
      <c r="AN29" s="461">
        <v>3.3500000000000002E-2</v>
      </c>
      <c r="AO29" s="461">
        <v>3.3500000000000002E-2</v>
      </c>
      <c r="AP29" s="462">
        <v>3.3500000000000002E-2</v>
      </c>
      <c r="AQ29" s="134"/>
      <c r="AR29" s="305">
        <f t="shared" ref="AR29:BA31" si="32">IF($I29="value overruled",0,IF(ISBLANK($G29),M29,$G29))</f>
        <v>3.6999999999999998E-2</v>
      </c>
      <c r="AS29" s="306">
        <f t="shared" si="32"/>
        <v>3.6999999999999998E-2</v>
      </c>
      <c r="AT29" s="306">
        <f t="shared" si="32"/>
        <v>3.6999999999999998E-2</v>
      </c>
      <c r="AU29" s="306">
        <f t="shared" si="32"/>
        <v>3.6999999999999998E-2</v>
      </c>
      <c r="AV29" s="306">
        <f t="shared" si="32"/>
        <v>3.6999999999999998E-2</v>
      </c>
      <c r="AW29" s="306">
        <f t="shared" si="32"/>
        <v>3.6999999999999998E-2</v>
      </c>
      <c r="AX29" s="306">
        <f t="shared" si="32"/>
        <v>3.6999999999999998E-2</v>
      </c>
      <c r="AY29" s="306">
        <f t="shared" si="32"/>
        <v>3.6999999999999998E-2</v>
      </c>
      <c r="AZ29" s="306">
        <f t="shared" si="32"/>
        <v>3.6999999999999998E-2</v>
      </c>
      <c r="BA29" s="306">
        <f t="shared" si="32"/>
        <v>3.6999999999999998E-2</v>
      </c>
      <c r="BB29" s="306">
        <f t="shared" ref="BB29:BK31" si="33">IF($I29="value overruled",0,IF(ISBLANK($G29),W29,$G29))</f>
        <v>3.6999999999999998E-2</v>
      </c>
      <c r="BC29" s="306">
        <f t="shared" si="33"/>
        <v>3.6999999999999998E-2</v>
      </c>
      <c r="BD29" s="306">
        <f t="shared" si="33"/>
        <v>3.6999999999999998E-2</v>
      </c>
      <c r="BE29" s="306">
        <f t="shared" si="33"/>
        <v>3.6999999999999998E-2</v>
      </c>
      <c r="BF29" s="306">
        <f t="shared" si="33"/>
        <v>3.6999999999999998E-2</v>
      </c>
      <c r="BG29" s="306">
        <f t="shared" si="33"/>
        <v>3.6999999999999998E-2</v>
      </c>
      <c r="BH29" s="306">
        <f t="shared" si="33"/>
        <v>3.6999999999999998E-2</v>
      </c>
      <c r="BI29" s="306">
        <f t="shared" si="33"/>
        <v>3.6999999999999998E-2</v>
      </c>
      <c r="BJ29" s="306">
        <f t="shared" si="33"/>
        <v>3.6999999999999998E-2</v>
      </c>
      <c r="BK29" s="306">
        <f t="shared" si="33"/>
        <v>3.6999999999999998E-2</v>
      </c>
      <c r="BL29" s="306">
        <f t="shared" ref="BL29:BU31" si="34">IF($I29="value overruled",0,IF(ISBLANK($G29),AG29,$G29))</f>
        <v>3.6999999999999998E-2</v>
      </c>
      <c r="BM29" s="306">
        <f t="shared" si="34"/>
        <v>3.6999999999999998E-2</v>
      </c>
      <c r="BN29" s="306">
        <f t="shared" si="34"/>
        <v>3.6999999999999998E-2</v>
      </c>
      <c r="BO29" s="306">
        <f t="shared" si="34"/>
        <v>3.6999999999999998E-2</v>
      </c>
      <c r="BP29" s="306">
        <f t="shared" si="34"/>
        <v>3.6999999999999998E-2</v>
      </c>
      <c r="BQ29" s="306">
        <f t="shared" si="34"/>
        <v>3.6999999999999998E-2</v>
      </c>
      <c r="BR29" s="306">
        <f t="shared" si="34"/>
        <v>3.6999999999999998E-2</v>
      </c>
      <c r="BS29" s="306">
        <f t="shared" si="34"/>
        <v>3.6999999999999998E-2</v>
      </c>
      <c r="BT29" s="306">
        <f t="shared" si="34"/>
        <v>3.6999999999999998E-2</v>
      </c>
      <c r="BU29" s="307">
        <f t="shared" si="34"/>
        <v>3.6999999999999998E-2</v>
      </c>
      <c r="BV29" s="134"/>
    </row>
    <row r="30" spans="1:74" ht="15.95" customHeight="1" x14ac:dyDescent="0.2">
      <c r="A30" s="134"/>
      <c r="B30" s="279" t="s">
        <v>172</v>
      </c>
      <c r="C30" s="280"/>
      <c r="D30" s="280"/>
      <c r="E30" s="280"/>
      <c r="F30" s="156" t="str">
        <f>L6</f>
        <v>€/kWh</v>
      </c>
      <c r="G30" s="449">
        <v>0</v>
      </c>
      <c r="H30" s="334">
        <f>IF(ISBLANK(G30),SUM($M30:$AP30)/'Year independent'!$G$35,G30)</f>
        <v>0</v>
      </c>
      <c r="I30" s="284">
        <f>H30</f>
        <v>0</v>
      </c>
      <c r="J30" s="303"/>
      <c r="K30" s="267"/>
      <c r="L30" s="267"/>
      <c r="M30" s="318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319"/>
      <c r="AQ30" s="134"/>
      <c r="AR30" s="308">
        <f t="shared" si="32"/>
        <v>0</v>
      </c>
      <c r="AS30" s="309">
        <f t="shared" si="32"/>
        <v>0</v>
      </c>
      <c r="AT30" s="309">
        <f t="shared" si="32"/>
        <v>0</v>
      </c>
      <c r="AU30" s="309">
        <f t="shared" si="32"/>
        <v>0</v>
      </c>
      <c r="AV30" s="309">
        <f t="shared" si="32"/>
        <v>0</v>
      </c>
      <c r="AW30" s="309">
        <f t="shared" si="32"/>
        <v>0</v>
      </c>
      <c r="AX30" s="309">
        <f t="shared" si="32"/>
        <v>0</v>
      </c>
      <c r="AY30" s="309">
        <f t="shared" si="32"/>
        <v>0</v>
      </c>
      <c r="AZ30" s="309">
        <f t="shared" si="32"/>
        <v>0</v>
      </c>
      <c r="BA30" s="309">
        <f t="shared" si="32"/>
        <v>0</v>
      </c>
      <c r="BB30" s="309">
        <f t="shared" si="33"/>
        <v>0</v>
      </c>
      <c r="BC30" s="309">
        <f t="shared" si="33"/>
        <v>0</v>
      </c>
      <c r="BD30" s="309">
        <f t="shared" si="33"/>
        <v>0</v>
      </c>
      <c r="BE30" s="309">
        <f t="shared" si="33"/>
        <v>0</v>
      </c>
      <c r="BF30" s="309">
        <f t="shared" si="33"/>
        <v>0</v>
      </c>
      <c r="BG30" s="309">
        <f t="shared" si="33"/>
        <v>0</v>
      </c>
      <c r="BH30" s="309">
        <f t="shared" si="33"/>
        <v>0</v>
      </c>
      <c r="BI30" s="309">
        <f t="shared" si="33"/>
        <v>0</v>
      </c>
      <c r="BJ30" s="309">
        <f t="shared" si="33"/>
        <v>0</v>
      </c>
      <c r="BK30" s="309">
        <f t="shared" si="33"/>
        <v>0</v>
      </c>
      <c r="BL30" s="309">
        <f t="shared" si="34"/>
        <v>0</v>
      </c>
      <c r="BM30" s="309">
        <f t="shared" si="34"/>
        <v>0</v>
      </c>
      <c r="BN30" s="309">
        <f t="shared" si="34"/>
        <v>0</v>
      </c>
      <c r="BO30" s="309">
        <f t="shared" si="34"/>
        <v>0</v>
      </c>
      <c r="BP30" s="309">
        <f t="shared" si="34"/>
        <v>0</v>
      </c>
      <c r="BQ30" s="309">
        <f t="shared" si="34"/>
        <v>0</v>
      </c>
      <c r="BR30" s="309">
        <f t="shared" si="34"/>
        <v>0</v>
      </c>
      <c r="BS30" s="309">
        <f t="shared" si="34"/>
        <v>0</v>
      </c>
      <c r="BT30" s="309">
        <f t="shared" si="34"/>
        <v>0</v>
      </c>
      <c r="BU30" s="310">
        <f t="shared" si="34"/>
        <v>0</v>
      </c>
      <c r="BV30" s="134"/>
    </row>
    <row r="31" spans="1:74" ht="15.95" customHeight="1" thickBot="1" x14ac:dyDescent="0.25">
      <c r="A31" s="134"/>
      <c r="B31" s="403" t="s">
        <v>245</v>
      </c>
      <c r="C31" s="231"/>
      <c r="D31" s="231"/>
      <c r="E31" s="231"/>
      <c r="F31" s="166" t="str">
        <f>L6</f>
        <v>€/kWh</v>
      </c>
      <c r="G31" s="448">
        <v>0</v>
      </c>
      <c r="H31" s="294">
        <f>IF(ISBLANK(G31),SUM($M31:$AP31)/'Year independent'!$G$35,G31)</f>
        <v>0</v>
      </c>
      <c r="I31" s="295">
        <f>H31</f>
        <v>0</v>
      </c>
      <c r="J31" s="177"/>
      <c r="K31" s="267"/>
      <c r="L31" s="267"/>
      <c r="M31" s="164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320"/>
      <c r="AQ31" s="134"/>
      <c r="AR31" s="321">
        <f t="shared" si="32"/>
        <v>0</v>
      </c>
      <c r="AS31" s="322">
        <f t="shared" si="32"/>
        <v>0</v>
      </c>
      <c r="AT31" s="322">
        <f t="shared" si="32"/>
        <v>0</v>
      </c>
      <c r="AU31" s="322">
        <f t="shared" si="32"/>
        <v>0</v>
      </c>
      <c r="AV31" s="322">
        <f t="shared" si="32"/>
        <v>0</v>
      </c>
      <c r="AW31" s="322">
        <f t="shared" si="32"/>
        <v>0</v>
      </c>
      <c r="AX31" s="322">
        <f t="shared" si="32"/>
        <v>0</v>
      </c>
      <c r="AY31" s="322">
        <f t="shared" si="32"/>
        <v>0</v>
      </c>
      <c r="AZ31" s="322">
        <f t="shared" si="32"/>
        <v>0</v>
      </c>
      <c r="BA31" s="322">
        <f t="shared" si="32"/>
        <v>0</v>
      </c>
      <c r="BB31" s="322">
        <f t="shared" si="33"/>
        <v>0</v>
      </c>
      <c r="BC31" s="322">
        <f t="shared" si="33"/>
        <v>0</v>
      </c>
      <c r="BD31" s="322">
        <f t="shared" si="33"/>
        <v>0</v>
      </c>
      <c r="BE31" s="322">
        <f t="shared" si="33"/>
        <v>0</v>
      </c>
      <c r="BF31" s="322">
        <f t="shared" si="33"/>
        <v>0</v>
      </c>
      <c r="BG31" s="322">
        <f t="shared" si="33"/>
        <v>0</v>
      </c>
      <c r="BH31" s="322">
        <f t="shared" si="33"/>
        <v>0</v>
      </c>
      <c r="BI31" s="322">
        <f t="shared" si="33"/>
        <v>0</v>
      </c>
      <c r="BJ31" s="322">
        <f t="shared" si="33"/>
        <v>0</v>
      </c>
      <c r="BK31" s="322">
        <f t="shared" si="33"/>
        <v>0</v>
      </c>
      <c r="BL31" s="322">
        <f t="shared" si="34"/>
        <v>0</v>
      </c>
      <c r="BM31" s="322">
        <f t="shared" si="34"/>
        <v>0</v>
      </c>
      <c r="BN31" s="322">
        <f t="shared" si="34"/>
        <v>0</v>
      </c>
      <c r="BO31" s="322">
        <f t="shared" si="34"/>
        <v>0</v>
      </c>
      <c r="BP31" s="322">
        <f t="shared" si="34"/>
        <v>0</v>
      </c>
      <c r="BQ31" s="322">
        <f t="shared" si="34"/>
        <v>0</v>
      </c>
      <c r="BR31" s="322">
        <f t="shared" si="34"/>
        <v>0</v>
      </c>
      <c r="BS31" s="322">
        <f t="shared" si="34"/>
        <v>0</v>
      </c>
      <c r="BT31" s="322">
        <f t="shared" si="34"/>
        <v>0</v>
      </c>
      <c r="BU31" s="323">
        <f t="shared" si="34"/>
        <v>0</v>
      </c>
      <c r="BV31" s="134"/>
    </row>
    <row r="32" spans="1:74" ht="3.75" customHeight="1" thickBot="1" x14ac:dyDescent="0.25">
      <c r="A32" s="134"/>
      <c r="B32" s="182"/>
      <c r="C32" s="182"/>
      <c r="D32" s="182"/>
      <c r="E32" s="182"/>
      <c r="F32" s="186"/>
      <c r="G32" s="186"/>
      <c r="H32" s="186"/>
      <c r="I32" s="258"/>
      <c r="J32" s="258"/>
      <c r="K32" s="147"/>
      <c r="L32" s="147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4"/>
      <c r="BT32" s="134"/>
      <c r="BU32" s="134"/>
      <c r="BV32" s="134"/>
    </row>
    <row r="33" spans="1:74" ht="15.95" customHeight="1" thickBot="1" x14ac:dyDescent="0.25">
      <c r="A33" s="134"/>
      <c r="B33" s="331" t="s">
        <v>173</v>
      </c>
      <c r="C33" s="244"/>
      <c r="D33" s="244"/>
      <c r="E33" s="244"/>
      <c r="F33" s="196"/>
      <c r="G33" s="447" t="s">
        <v>176</v>
      </c>
      <c r="H33" s="196"/>
      <c r="I33" s="196"/>
      <c r="J33" s="335" t="s">
        <v>174</v>
      </c>
      <c r="K33" s="194"/>
      <c r="L33" s="194"/>
      <c r="M33" s="324">
        <v>1</v>
      </c>
      <c r="N33" s="325"/>
      <c r="O33" s="325"/>
      <c r="P33" s="325"/>
      <c r="Q33" s="325"/>
      <c r="R33" s="325"/>
      <c r="S33" s="325"/>
      <c r="T33" s="325"/>
      <c r="U33" s="325"/>
      <c r="V33" s="325"/>
      <c r="W33" s="325"/>
      <c r="X33" s="325"/>
      <c r="Y33" s="325"/>
      <c r="Z33" s="325"/>
      <c r="AA33" s="325"/>
      <c r="AB33" s="325"/>
      <c r="AC33" s="325"/>
      <c r="AD33" s="325"/>
      <c r="AE33" s="325"/>
      <c r="AF33" s="325"/>
      <c r="AG33" s="325"/>
      <c r="AH33" s="325"/>
      <c r="AI33" s="325"/>
      <c r="AJ33" s="325"/>
      <c r="AK33" s="325"/>
      <c r="AL33" s="325"/>
      <c r="AM33" s="325"/>
      <c r="AN33" s="325"/>
      <c r="AO33" s="325"/>
      <c r="AP33" s="326"/>
      <c r="AQ33" s="134"/>
      <c r="AR33" s="327">
        <f>IF($G$33="no",IF(AR3&gt;'Year independent'!$G$39,0,1/'Year independent'!$G$39),M33)</f>
        <v>6.6666666666666666E-2</v>
      </c>
      <c r="AS33" s="328">
        <f>IF($G$33="no",IF(AS3&gt;'Year independent'!$G$39,0,1/'Year independent'!$G$39),N33)</f>
        <v>6.6666666666666666E-2</v>
      </c>
      <c r="AT33" s="328">
        <f>IF($G$33="no",IF(AT3&gt;'Year independent'!$G$39,0,1/'Year independent'!$G$39),O33)</f>
        <v>6.6666666666666666E-2</v>
      </c>
      <c r="AU33" s="328">
        <f>IF($G$33="no",IF(AU3&gt;'Year independent'!$G$39,0,1/'Year independent'!$G$39),P33)</f>
        <v>6.6666666666666666E-2</v>
      </c>
      <c r="AV33" s="328">
        <f>IF($G$33="no",IF(AV3&gt;'Year independent'!$G$39,0,1/'Year independent'!$G$39),Q33)</f>
        <v>6.6666666666666666E-2</v>
      </c>
      <c r="AW33" s="328">
        <f>IF($G$33="no",IF(AW3&gt;'Year independent'!$G$39,0,1/'Year independent'!$G$39),R33)</f>
        <v>6.6666666666666666E-2</v>
      </c>
      <c r="AX33" s="328">
        <f>IF($G$33="no",IF(AX3&gt;'Year independent'!$G$39,0,1/'Year independent'!$G$39),S33)</f>
        <v>6.6666666666666666E-2</v>
      </c>
      <c r="AY33" s="328">
        <f>IF($G$33="no",IF(AY3&gt;'Year independent'!$G$39,0,1/'Year independent'!$G$39),T33)</f>
        <v>6.6666666666666666E-2</v>
      </c>
      <c r="AZ33" s="328">
        <f>IF($G$33="no",IF(AZ3&gt;'Year independent'!$G$39,0,1/'Year independent'!$G$39),U33)</f>
        <v>6.6666666666666666E-2</v>
      </c>
      <c r="BA33" s="328">
        <f>IF($G$33="no",IF(BA3&gt;'Year independent'!$G$39,0,1/'Year independent'!$G$39),V33)</f>
        <v>6.6666666666666666E-2</v>
      </c>
      <c r="BB33" s="328">
        <f>IF($G$33="no",IF(BB3&gt;'Year independent'!$G$39,0,1/'Year independent'!$G$39),W33)</f>
        <v>6.6666666666666666E-2</v>
      </c>
      <c r="BC33" s="328">
        <f>IF($G$33="no",IF(BC3&gt;'Year independent'!$G$39,0,1/'Year independent'!$G$39),X33)</f>
        <v>6.6666666666666666E-2</v>
      </c>
      <c r="BD33" s="328">
        <f>IF($G$33="no",IF(BD3&gt;'Year independent'!$G$39,0,1/'Year independent'!$G$39),Y33)</f>
        <v>6.6666666666666666E-2</v>
      </c>
      <c r="BE33" s="328">
        <f>IF($G$33="no",IF(BE3&gt;'Year independent'!$G$39,0,1/'Year independent'!$G$39),Z33)</f>
        <v>6.6666666666666666E-2</v>
      </c>
      <c r="BF33" s="328">
        <f>IF($G$33="no",IF(BF3&gt;'Year independent'!$G$39,0,1/'Year independent'!$G$39),AA33)</f>
        <v>6.6666666666666666E-2</v>
      </c>
      <c r="BG33" s="328">
        <f>IF($G$33="no",IF(BG3&gt;'Year independent'!$G$39,0,1/'Year independent'!$G$39),AB33)</f>
        <v>0</v>
      </c>
      <c r="BH33" s="328">
        <f>IF($G$33="no",IF(BH3&gt;'Year independent'!$G$39,0,1/'Year independent'!$G$39),AC33)</f>
        <v>0</v>
      </c>
      <c r="BI33" s="328">
        <f>IF($G$33="no",IF(BI3&gt;'Year independent'!$G$39,0,1/'Year independent'!$G$39),AD33)</f>
        <v>0</v>
      </c>
      <c r="BJ33" s="328">
        <f>IF($G$33="no",IF(BJ3&gt;'Year independent'!$G$39,0,1/'Year independent'!$G$39),AE33)</f>
        <v>0</v>
      </c>
      <c r="BK33" s="328">
        <f>IF($G$33="no",IF(BK3&gt;'Year independent'!$G$39,0,1/'Year independent'!$G$39),AF33)</f>
        <v>0</v>
      </c>
      <c r="BL33" s="328">
        <f>IF($G$33="no",IF(BL3&gt;'Year independent'!$G$39,0,1/'Year independent'!$G$39),AG33)</f>
        <v>0</v>
      </c>
      <c r="BM33" s="328">
        <f>IF($G$33="no",IF(BM3&gt;'Year independent'!$G$39,0,1/'Year independent'!$G$39),AH33)</f>
        <v>0</v>
      </c>
      <c r="BN33" s="328">
        <f>IF($G$33="no",IF(BN3&gt;'Year independent'!$G$39,0,1/'Year independent'!$G$39),AI33)</f>
        <v>0</v>
      </c>
      <c r="BO33" s="328">
        <f>IF($G$33="no",IF(BO3&gt;'Year independent'!$G$39,0,1/'Year independent'!$G$39),AJ33)</f>
        <v>0</v>
      </c>
      <c r="BP33" s="328">
        <f>IF($G$33="no",IF(BP3&gt;'Year independent'!$G$39,0,1/'Year independent'!$G$39),AK33)</f>
        <v>0</v>
      </c>
      <c r="BQ33" s="328">
        <f>IF($G$33="no",IF(BQ3&gt;'Year independent'!$G$39,0,1/'Year independent'!$G$39),AL33)</f>
        <v>0</v>
      </c>
      <c r="BR33" s="328">
        <f>IF($G$33="no",IF(BR3&gt;'Year independent'!$G$39,0,1/'Year independent'!$G$39),AM33)</f>
        <v>0</v>
      </c>
      <c r="BS33" s="328">
        <f>IF($G$33="no",IF(BS3&gt;'Year independent'!$G$39,0,1/'Year independent'!$G$39),AN33)</f>
        <v>0</v>
      </c>
      <c r="BT33" s="328">
        <f>IF($G$33="no",IF(BT3&gt;'Year independent'!$G$39,0,1/'Year independent'!$G$39),AO33)</f>
        <v>0</v>
      </c>
      <c r="BU33" s="329">
        <f>IF($G$33="no",IF(BU3&gt;'Year independent'!$G$39,0,1/'Year independent'!$G$39),AP33)</f>
        <v>0</v>
      </c>
      <c r="BV33" s="134"/>
    </row>
    <row r="34" spans="1:74" ht="3.75" customHeight="1" x14ac:dyDescent="0.2">
      <c r="A34" s="134"/>
      <c r="B34" s="134"/>
      <c r="C34" s="134"/>
      <c r="D34" s="134"/>
      <c r="E34" s="134"/>
      <c r="F34" s="258"/>
      <c r="G34" s="258"/>
      <c r="H34" s="258"/>
      <c r="I34" s="258"/>
      <c r="J34" s="258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4"/>
      <c r="BU34" s="134"/>
      <c r="BV34" s="134"/>
    </row>
  </sheetData>
  <sheetProtection algorithmName="SHA-512" hashValue="7cAQmYO/cIJrNafBh1b3v16f7jFscO17IZHsvPPr+dAeB8lqlOfsaBM22yehOvQBddqr0m+MaVBtKRQmu9rJTw==" saltValue="KpwdK3Cj1G/BbeXEz49pbw==" spinCount="100000" sheet="1" objects="1" scenarios="1"/>
  <dataConsolidate/>
  <mergeCells count="5">
    <mergeCell ref="J23:J24"/>
    <mergeCell ref="G1:G3"/>
    <mergeCell ref="J9:J10"/>
    <mergeCell ref="J15:J16"/>
    <mergeCell ref="J21:J22"/>
  </mergeCells>
  <phoneticPr fontId="0" type="noConversion"/>
  <dataValidations count="2">
    <dataValidation type="list" allowBlank="1" showInputMessage="1" showErrorMessage="1" sqref="F11:F14 F5:F8 F17:F20" xr:uid="{00000000-0002-0000-0300-000000000000}">
      <formula1>$L$5:$L$6</formula1>
    </dataValidation>
    <dataValidation type="list" allowBlank="1" showInputMessage="1" showErrorMessage="1" sqref="G33" xr:uid="{00000000-0002-0000-0300-000001000000}">
      <formula1>"yes,no"</formula1>
    </dataValidation>
  </dataValidations>
  <pageMargins left="0.75" right="0.75" top="1" bottom="1" header="0.5" footer="0.5"/>
  <pageSetup paperSize="9" orientation="landscape" r:id="rId1"/>
  <headerFooter alignWithMargins="0">
    <oddFooter>&amp;L&amp;D&amp;RVersie  2003.1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tabColor indexed="48"/>
    <pageSetUpPr fitToPage="1"/>
  </sheetPr>
  <dimension ref="A1:AK41"/>
  <sheetViews>
    <sheetView showGridLines="0" workbookViewId="0">
      <selection activeCell="G36" sqref="G36"/>
    </sheetView>
  </sheetViews>
  <sheetFormatPr defaultRowHeight="15.95" customHeight="1" x14ac:dyDescent="0.2"/>
  <cols>
    <col min="1" max="1" width="0.85546875" customWidth="1"/>
    <col min="2" max="2" width="11" customWidth="1"/>
    <col min="3" max="3" width="7.85546875" bestFit="1" customWidth="1"/>
    <col min="4" max="4" width="47.28515625" bestFit="1" customWidth="1"/>
    <col min="5" max="5" width="12.85546875" style="28" bestFit="1" customWidth="1"/>
    <col min="6" max="6" width="12.42578125" style="28" customWidth="1"/>
    <col min="8" max="8" width="11.140625" bestFit="1" customWidth="1"/>
    <col min="37" max="37" width="0.7109375" customWidth="1"/>
  </cols>
  <sheetData>
    <row r="1" spans="1:37" ht="31.5" customHeight="1" x14ac:dyDescent="0.2">
      <c r="A1" s="147"/>
      <c r="B1" s="382"/>
      <c r="C1" s="382"/>
      <c r="D1" s="382"/>
      <c r="E1" s="383"/>
      <c r="F1" s="538" t="s">
        <v>168</v>
      </c>
      <c r="G1" s="384" t="s">
        <v>169</v>
      </c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2"/>
      <c r="AC1" s="382"/>
      <c r="AD1" s="382"/>
      <c r="AE1" s="382"/>
      <c r="AF1" s="382"/>
      <c r="AG1" s="382"/>
      <c r="AH1" s="382"/>
      <c r="AI1" s="382"/>
      <c r="AJ1" s="382"/>
      <c r="AK1" s="147"/>
    </row>
    <row r="2" spans="1:37" ht="15.95" customHeight="1" thickBot="1" x14ac:dyDescent="0.25">
      <c r="A2" s="376"/>
      <c r="B2" s="202"/>
      <c r="C2" s="385" t="s">
        <v>19</v>
      </c>
      <c r="D2" s="203" t="s">
        <v>20</v>
      </c>
      <c r="E2" s="204" t="s">
        <v>21</v>
      </c>
      <c r="F2" s="527"/>
      <c r="G2" s="276">
        <v>1</v>
      </c>
      <c r="H2" s="276">
        <v>2</v>
      </c>
      <c r="I2" s="276">
        <v>3</v>
      </c>
      <c r="J2" s="276">
        <v>4</v>
      </c>
      <c r="K2" s="276">
        <v>5</v>
      </c>
      <c r="L2" s="276">
        <v>6</v>
      </c>
      <c r="M2" s="276">
        <v>7</v>
      </c>
      <c r="N2" s="276">
        <v>8</v>
      </c>
      <c r="O2" s="276">
        <v>9</v>
      </c>
      <c r="P2" s="276">
        <v>10</v>
      </c>
      <c r="Q2" s="276">
        <v>11</v>
      </c>
      <c r="R2" s="276">
        <v>12</v>
      </c>
      <c r="S2" s="276">
        <v>13</v>
      </c>
      <c r="T2" s="276">
        <v>14</v>
      </c>
      <c r="U2" s="276">
        <v>15</v>
      </c>
      <c r="V2" s="276">
        <v>16</v>
      </c>
      <c r="W2" s="276">
        <v>17</v>
      </c>
      <c r="X2" s="276">
        <v>18</v>
      </c>
      <c r="Y2" s="276">
        <v>19</v>
      </c>
      <c r="Z2" s="276">
        <v>20</v>
      </c>
      <c r="AA2" s="276">
        <v>21</v>
      </c>
      <c r="AB2" s="276">
        <v>22</v>
      </c>
      <c r="AC2" s="276">
        <v>23</v>
      </c>
      <c r="AD2" s="276">
        <v>24</v>
      </c>
      <c r="AE2" s="276">
        <v>25</v>
      </c>
      <c r="AF2" s="276">
        <v>26</v>
      </c>
      <c r="AG2" s="276">
        <v>27</v>
      </c>
      <c r="AH2" s="276">
        <v>28</v>
      </c>
      <c r="AI2" s="276">
        <v>29</v>
      </c>
      <c r="AJ2" s="276">
        <v>30</v>
      </c>
      <c r="AK2" s="376"/>
    </row>
    <row r="3" spans="1:37" ht="3.75" customHeight="1" thickTop="1" thickBot="1" x14ac:dyDescent="0.25">
      <c r="A3" s="147"/>
      <c r="B3" s="152"/>
      <c r="C3" s="377"/>
      <c r="D3" s="378"/>
      <c r="E3" s="379"/>
      <c r="F3" s="380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  <c r="AE3" s="381"/>
      <c r="AF3" s="381"/>
      <c r="AG3" s="381"/>
      <c r="AH3" s="381"/>
      <c r="AI3" s="381"/>
      <c r="AJ3" s="381"/>
      <c r="AK3" s="147"/>
    </row>
    <row r="4" spans="1:37" ht="15.95" customHeight="1" x14ac:dyDescent="0.3">
      <c r="A4" s="147"/>
      <c r="B4" s="537" t="s">
        <v>38</v>
      </c>
      <c r="C4" s="442" t="s">
        <v>55</v>
      </c>
      <c r="D4" s="424" t="s">
        <v>6</v>
      </c>
      <c r="E4" s="425" t="s">
        <v>16</v>
      </c>
      <c r="F4" s="345">
        <f>Project!D3*Project!D4*1000</f>
        <v>704000</v>
      </c>
      <c r="G4" s="154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365"/>
      <c r="AK4" s="134"/>
    </row>
    <row r="5" spans="1:37" ht="15.95" customHeight="1" x14ac:dyDescent="0.2">
      <c r="A5" s="147"/>
      <c r="B5" s="533"/>
      <c r="C5" s="442" t="s">
        <v>5</v>
      </c>
      <c r="D5" s="424" t="s">
        <v>7</v>
      </c>
      <c r="E5" s="425" t="s">
        <v>9</v>
      </c>
      <c r="F5" s="346">
        <f>'Year independent'!H27</f>
        <v>4355</v>
      </c>
      <c r="G5" s="154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365"/>
      <c r="AK5" s="134"/>
    </row>
    <row r="6" spans="1:37" ht="15.95" customHeight="1" x14ac:dyDescent="0.3">
      <c r="A6" s="147"/>
      <c r="B6" s="533"/>
      <c r="C6" s="442" t="s">
        <v>271</v>
      </c>
      <c r="D6" s="424" t="s">
        <v>8</v>
      </c>
      <c r="E6" s="425" t="s">
        <v>10</v>
      </c>
      <c r="F6" s="347">
        <f>'Year independent'!H35</f>
        <v>25</v>
      </c>
      <c r="G6" s="154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365"/>
      <c r="AK6" s="134"/>
    </row>
    <row r="7" spans="1:37" ht="15.95" customHeight="1" x14ac:dyDescent="0.2">
      <c r="A7" s="147"/>
      <c r="B7" s="533"/>
      <c r="C7" s="442"/>
      <c r="D7" s="424" t="s">
        <v>227</v>
      </c>
      <c r="E7" s="425" t="s">
        <v>10</v>
      </c>
      <c r="F7" s="344">
        <f>'Year independent'!H36</f>
        <v>25</v>
      </c>
      <c r="G7" s="154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365"/>
      <c r="AK7" s="134"/>
    </row>
    <row r="8" spans="1:37" ht="15.95" customHeight="1" x14ac:dyDescent="0.2">
      <c r="A8" s="147"/>
      <c r="B8" s="533"/>
      <c r="C8" s="442"/>
      <c r="D8" s="424" t="s">
        <v>179</v>
      </c>
      <c r="E8" s="426"/>
      <c r="F8" s="184">
        <f>'Year independent'!H28</f>
        <v>0.3</v>
      </c>
      <c r="G8" s="154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365"/>
      <c r="AK8" s="134"/>
    </row>
    <row r="9" spans="1:37" ht="15.95" customHeight="1" x14ac:dyDescent="0.2">
      <c r="A9" s="147"/>
      <c r="B9" s="533"/>
      <c r="C9" s="442"/>
      <c r="D9" s="424" t="s">
        <v>180</v>
      </c>
      <c r="E9" s="426"/>
      <c r="F9" s="184">
        <f>'Year independent'!H29</f>
        <v>0.7</v>
      </c>
      <c r="G9" s="154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365"/>
      <c r="AK9" s="134"/>
    </row>
    <row r="10" spans="1:37" ht="15.95" customHeight="1" x14ac:dyDescent="0.2">
      <c r="A10" s="147"/>
      <c r="B10" s="533"/>
      <c r="C10" s="442"/>
      <c r="D10" s="424" t="s">
        <v>181</v>
      </c>
      <c r="E10" s="426"/>
      <c r="F10" s="184">
        <f>'Year independent'!H30</f>
        <v>0</v>
      </c>
      <c r="G10" s="154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365"/>
      <c r="AK10" s="134"/>
    </row>
    <row r="11" spans="1:37" ht="15.95" customHeight="1" x14ac:dyDescent="0.2">
      <c r="A11" s="147"/>
      <c r="B11" s="533"/>
      <c r="C11" s="442"/>
      <c r="D11" s="424" t="s">
        <v>182</v>
      </c>
      <c r="E11" s="426"/>
      <c r="F11" s="184">
        <f>'Year independent'!H31</f>
        <v>1</v>
      </c>
      <c r="G11" s="154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365"/>
      <c r="AK11" s="134"/>
    </row>
    <row r="12" spans="1:37" ht="15.95" customHeight="1" x14ac:dyDescent="0.2">
      <c r="A12" s="147"/>
      <c r="B12" s="533"/>
      <c r="C12" s="442"/>
      <c r="D12" s="424" t="s">
        <v>183</v>
      </c>
      <c r="E12" s="426" t="s">
        <v>10</v>
      </c>
      <c r="F12" s="186">
        <f>'Year independent'!H32</f>
        <v>1</v>
      </c>
      <c r="G12" s="154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365"/>
      <c r="AK12" s="134"/>
    </row>
    <row r="13" spans="1:37" ht="15.95" customHeight="1" x14ac:dyDescent="0.2">
      <c r="A13" s="147"/>
      <c r="B13" s="533"/>
      <c r="C13" s="442"/>
      <c r="D13" s="424" t="s">
        <v>184</v>
      </c>
      <c r="E13" s="426"/>
      <c r="F13" s="184">
        <f>'Year independent'!H33</f>
        <v>0</v>
      </c>
      <c r="G13" s="154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365"/>
      <c r="AK13" s="134"/>
    </row>
    <row r="14" spans="1:37" ht="15.95" customHeight="1" x14ac:dyDescent="0.2">
      <c r="A14" s="147"/>
      <c r="B14" s="533"/>
      <c r="C14" s="442"/>
      <c r="D14" s="424" t="s">
        <v>185</v>
      </c>
      <c r="E14" s="426" t="s">
        <v>10</v>
      </c>
      <c r="F14" s="186">
        <f>'Year independent'!H34</f>
        <v>1</v>
      </c>
      <c r="G14" s="154" t="str">
        <f>IF(OR(F14=0,F13=0),"Make sure this number is the same as Lead time part I if you don't use part II","")</f>
        <v>Make sure this number is the same as Lead time part I if you don't use part II</v>
      </c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365"/>
      <c r="AK14" s="134"/>
    </row>
    <row r="15" spans="1:37" ht="15.95" customHeight="1" x14ac:dyDescent="0.3">
      <c r="A15" s="147"/>
      <c r="B15" s="531" t="s">
        <v>37</v>
      </c>
      <c r="C15" s="443" t="s">
        <v>272</v>
      </c>
      <c r="D15" s="427" t="s">
        <v>11</v>
      </c>
      <c r="E15" s="428" t="str">
        <f>CONCATENATE(Currency,"/kW")</f>
        <v>€/kW</v>
      </c>
      <c r="F15" s="348">
        <f>'Year independent'!H21</f>
        <v>1741</v>
      </c>
      <c r="G15" s="154"/>
      <c r="H15" s="366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365"/>
      <c r="AK15" s="134"/>
    </row>
    <row r="16" spans="1:37" ht="15.95" customHeight="1" x14ac:dyDescent="0.2">
      <c r="A16" s="147"/>
      <c r="B16" s="532"/>
      <c r="C16" s="442"/>
      <c r="D16" s="429" t="s">
        <v>134</v>
      </c>
      <c r="E16" s="425" t="str">
        <f>CONCATENATE(Currency,"/kW")</f>
        <v>€/kW</v>
      </c>
      <c r="F16" s="346">
        <f>'Year independent'!H25</f>
        <v>44</v>
      </c>
      <c r="G16" s="154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365"/>
      <c r="AK16" s="134"/>
    </row>
    <row r="17" spans="1:37" ht="15.95" customHeight="1" x14ac:dyDescent="0.3">
      <c r="A17" s="147"/>
      <c r="B17" s="533"/>
      <c r="C17" s="442" t="s">
        <v>273</v>
      </c>
      <c r="D17" s="424" t="s">
        <v>12</v>
      </c>
      <c r="E17" s="425" t="str">
        <f>CONCATENATE(Currency,"/kW")</f>
        <v>€/kW</v>
      </c>
      <c r="F17" s="349">
        <f>'Year dependent'!I23</f>
        <v>41.1</v>
      </c>
      <c r="G17" s="367">
        <v>1</v>
      </c>
      <c r="H17" s="368">
        <v>1</v>
      </c>
      <c r="I17" s="368">
        <v>1</v>
      </c>
      <c r="J17" s="368">
        <v>1</v>
      </c>
      <c r="K17" s="368">
        <v>1</v>
      </c>
      <c r="L17" s="368">
        <v>1</v>
      </c>
      <c r="M17" s="368">
        <v>1</v>
      </c>
      <c r="N17" s="368">
        <v>1</v>
      </c>
      <c r="O17" s="368">
        <v>1</v>
      </c>
      <c r="P17" s="368">
        <v>1</v>
      </c>
      <c r="Q17" s="368">
        <v>1</v>
      </c>
      <c r="R17" s="368">
        <v>1</v>
      </c>
      <c r="S17" s="368">
        <v>1</v>
      </c>
      <c r="T17" s="368">
        <v>1</v>
      </c>
      <c r="U17" s="368">
        <v>1</v>
      </c>
      <c r="V17" s="368">
        <v>1</v>
      </c>
      <c r="W17" s="368">
        <v>1</v>
      </c>
      <c r="X17" s="368">
        <v>1</v>
      </c>
      <c r="Y17" s="368">
        <v>1</v>
      </c>
      <c r="Z17" s="368">
        <v>1</v>
      </c>
      <c r="AA17" s="368">
        <v>1</v>
      </c>
      <c r="AB17" s="368">
        <v>1</v>
      </c>
      <c r="AC17" s="368">
        <v>1</v>
      </c>
      <c r="AD17" s="368">
        <v>1</v>
      </c>
      <c r="AE17" s="368">
        <v>1</v>
      </c>
      <c r="AF17" s="368">
        <v>1</v>
      </c>
      <c r="AG17" s="368">
        <v>1</v>
      </c>
      <c r="AH17" s="368">
        <v>1</v>
      </c>
      <c r="AI17" s="368">
        <v>1</v>
      </c>
      <c r="AJ17" s="369">
        <v>1</v>
      </c>
      <c r="AK17" s="134"/>
    </row>
    <row r="18" spans="1:37" ht="15.95" customHeight="1" x14ac:dyDescent="0.2">
      <c r="A18" s="147"/>
      <c r="B18" s="533"/>
      <c r="C18" s="539" t="s">
        <v>274</v>
      </c>
      <c r="D18" s="430" t="s">
        <v>13</v>
      </c>
      <c r="E18" s="431" t="str">
        <f>CONCATENATE(Currency,"/kWh")</f>
        <v>€/kWh</v>
      </c>
      <c r="F18" s="350">
        <f>'Year dependent'!I24</f>
        <v>0</v>
      </c>
      <c r="G18" s="367">
        <v>1</v>
      </c>
      <c r="H18" s="368">
        <v>1</v>
      </c>
      <c r="I18" s="368">
        <v>1</v>
      </c>
      <c r="J18" s="368">
        <v>1</v>
      </c>
      <c r="K18" s="368">
        <v>1</v>
      </c>
      <c r="L18" s="368">
        <v>1</v>
      </c>
      <c r="M18" s="368">
        <v>1</v>
      </c>
      <c r="N18" s="368">
        <v>1</v>
      </c>
      <c r="O18" s="368">
        <v>1</v>
      </c>
      <c r="P18" s="368">
        <v>1</v>
      </c>
      <c r="Q18" s="368">
        <v>1</v>
      </c>
      <c r="R18" s="368">
        <v>1</v>
      </c>
      <c r="S18" s="368">
        <v>1</v>
      </c>
      <c r="T18" s="368">
        <v>1</v>
      </c>
      <c r="U18" s="368">
        <v>1</v>
      </c>
      <c r="V18" s="368">
        <v>1</v>
      </c>
      <c r="W18" s="368">
        <v>1</v>
      </c>
      <c r="X18" s="368">
        <v>1</v>
      </c>
      <c r="Y18" s="368">
        <v>1</v>
      </c>
      <c r="Z18" s="368">
        <v>1</v>
      </c>
      <c r="AA18" s="368">
        <v>1</v>
      </c>
      <c r="AB18" s="368">
        <v>1</v>
      </c>
      <c r="AC18" s="368">
        <v>1</v>
      </c>
      <c r="AD18" s="368">
        <v>1</v>
      </c>
      <c r="AE18" s="368">
        <v>1</v>
      </c>
      <c r="AF18" s="368">
        <v>1</v>
      </c>
      <c r="AG18" s="368">
        <v>1</v>
      </c>
      <c r="AH18" s="368">
        <v>1</v>
      </c>
      <c r="AI18" s="368">
        <v>1</v>
      </c>
      <c r="AJ18" s="369">
        <v>1</v>
      </c>
      <c r="AK18" s="134"/>
    </row>
    <row r="19" spans="1:37" ht="15.95" hidden="1" customHeight="1" x14ac:dyDescent="0.2">
      <c r="A19" s="147"/>
      <c r="B19" s="534"/>
      <c r="C19" s="536"/>
      <c r="D19" s="432" t="s">
        <v>17</v>
      </c>
      <c r="E19" s="431" t="s">
        <v>14</v>
      </c>
      <c r="F19" s="351"/>
      <c r="G19" s="367"/>
      <c r="H19" s="368"/>
      <c r="I19" s="368"/>
      <c r="J19" s="368"/>
      <c r="K19" s="368"/>
      <c r="L19" s="368"/>
      <c r="M19" s="368"/>
      <c r="N19" s="368"/>
      <c r="O19" s="368"/>
      <c r="P19" s="368"/>
      <c r="Q19" s="368"/>
      <c r="R19" s="368"/>
      <c r="S19" s="368"/>
      <c r="T19" s="368"/>
      <c r="U19" s="368"/>
      <c r="V19" s="368"/>
      <c r="W19" s="368"/>
      <c r="X19" s="368"/>
      <c r="Y19" s="368"/>
      <c r="Z19" s="368"/>
      <c r="AA19" s="368"/>
      <c r="AB19" s="368"/>
      <c r="AC19" s="368"/>
      <c r="AD19" s="368"/>
      <c r="AE19" s="368"/>
      <c r="AF19" s="368"/>
      <c r="AG19" s="368"/>
      <c r="AH19" s="368"/>
      <c r="AI19" s="368"/>
      <c r="AJ19" s="369"/>
      <c r="AK19" s="134"/>
    </row>
    <row r="20" spans="1:37" ht="15.95" customHeight="1" x14ac:dyDescent="0.2">
      <c r="A20" s="147"/>
      <c r="B20" s="531" t="s">
        <v>39</v>
      </c>
      <c r="C20" s="535" t="s">
        <v>275</v>
      </c>
      <c r="D20" s="424" t="s">
        <v>222</v>
      </c>
      <c r="E20" s="425" t="str">
        <f>CONCATENATE(Currency,"/kWh")</f>
        <v>€/kWh</v>
      </c>
      <c r="F20" s="352">
        <f>'Year dependent'!I29+'Year dependent'!I30</f>
        <v>3.6999999999999998E-2</v>
      </c>
      <c r="G20" s="367">
        <f>'Year dependent'!O29/'Year dependent'!$G$29</f>
        <v>0.96756756756756757</v>
      </c>
      <c r="H20" s="368">
        <f>'Year dependent'!P29/'Year dependent'!$G$29</f>
        <v>0.95945945945945943</v>
      </c>
      <c r="I20" s="368">
        <f>'Year dependent'!Q29/'Year dependent'!$G$29</f>
        <v>0.95945945945945943</v>
      </c>
      <c r="J20" s="368">
        <f>'Year dependent'!R29/'Year dependent'!$G$29</f>
        <v>0.96216216216216222</v>
      </c>
      <c r="K20" s="368">
        <f>'Year dependent'!S29/'Year dependent'!$G$29</f>
        <v>0.97027027027027035</v>
      </c>
      <c r="L20" s="368">
        <f>'Year dependent'!T29/'Year dependent'!$G$29</f>
        <v>0.97027027027027035</v>
      </c>
      <c r="M20" s="368">
        <f>'Year dependent'!U29/'Year dependent'!$G$29</f>
        <v>0.97027027027027035</v>
      </c>
      <c r="N20" s="368">
        <f>'Year dependent'!V29/'Year dependent'!$G$29</f>
        <v>0.97297297297297292</v>
      </c>
      <c r="O20" s="368">
        <f>'Year dependent'!W29/'Year dependent'!$G$29</f>
        <v>0.9756756756756757</v>
      </c>
      <c r="P20" s="368">
        <f>'Year dependent'!X29/'Year dependent'!$G$29</f>
        <v>0.9756756756756757</v>
      </c>
      <c r="Q20" s="368">
        <f>'Year dependent'!Y29/'Year dependent'!$G$29</f>
        <v>0.97297297297297292</v>
      </c>
      <c r="R20" s="368">
        <f>'Year dependent'!Z29/'Year dependent'!$G$29</f>
        <v>0.964864864864865</v>
      </c>
      <c r="S20" s="368">
        <f>'Year dependent'!AA29/'Year dependent'!$G$29</f>
        <v>0.96216216216216222</v>
      </c>
      <c r="T20" s="368">
        <f>'Year dependent'!AB29/'Year dependent'!$G$29</f>
        <v>0.9513513513513514</v>
      </c>
      <c r="U20" s="368">
        <f>'Year dependent'!AC29/'Year dependent'!$G$29</f>
        <v>0.94594594594594605</v>
      </c>
      <c r="V20" s="368">
        <f>'Year dependent'!AD29/'Year dependent'!$G$29</f>
        <v>0.92972972972972978</v>
      </c>
      <c r="W20" s="368">
        <f>'Year dependent'!AE29/'Year dependent'!$G$29</f>
        <v>0.92972972972972978</v>
      </c>
      <c r="X20" s="368">
        <f>'Year dependent'!AF29/'Year dependent'!$G$29</f>
        <v>0.927027027027027</v>
      </c>
      <c r="Y20" s="368">
        <f>'Year dependent'!AG29/'Year dependent'!$G$29</f>
        <v>0.92432432432432443</v>
      </c>
      <c r="Z20" s="368">
        <f>'Year dependent'!AH29/'Year dependent'!$G$29</f>
        <v>0.92162162162162165</v>
      </c>
      <c r="AA20" s="368">
        <f>'Year dependent'!AI29/'Year dependent'!$G$29</f>
        <v>0.92162162162162165</v>
      </c>
      <c r="AB20" s="368">
        <f>'Year dependent'!AJ29/'Year dependent'!$G$29</f>
        <v>0.91891891891891908</v>
      </c>
      <c r="AC20" s="368">
        <f>'Year dependent'!AK29/'Year dependent'!$G$29</f>
        <v>0.91621621621621629</v>
      </c>
      <c r="AD20" s="368">
        <f>'Year dependent'!AL29/'Year dependent'!$G$29</f>
        <v>0.91621621621621629</v>
      </c>
      <c r="AE20" s="368">
        <f>'Year dependent'!AM29/'Year dependent'!$G$29</f>
        <v>0.90540540540540548</v>
      </c>
      <c r="AF20" s="368">
        <f>'Year dependent'!AN29/'Year dependent'!$G$29</f>
        <v>0.90540540540540548</v>
      </c>
      <c r="AG20" s="368">
        <f>'Year dependent'!AO29/'Year dependent'!$G$29</f>
        <v>0.90540540540540548</v>
      </c>
      <c r="AH20" s="368">
        <f>'Year dependent'!AP29/'Year dependent'!$G$29</f>
        <v>0.90540540540540548</v>
      </c>
      <c r="AI20" s="368"/>
      <c r="AJ20" s="368"/>
      <c r="AK20" s="134"/>
    </row>
    <row r="21" spans="1:37" ht="15.95" customHeight="1" x14ac:dyDescent="0.2">
      <c r="A21" s="147"/>
      <c r="B21" s="534"/>
      <c r="C21" s="536"/>
      <c r="D21" s="432" t="s">
        <v>81</v>
      </c>
      <c r="E21" s="431" t="str">
        <f>CONCATENATE(Currency,"/kWh")</f>
        <v>€/kWh</v>
      </c>
      <c r="F21" s="350">
        <f>'Year dependent'!I31</f>
        <v>0</v>
      </c>
      <c r="G21" s="367">
        <f>IF($F21=0,0,'Year dependent'!AR31/'Year dependent'!$I31)</f>
        <v>0</v>
      </c>
      <c r="H21" s="368">
        <f>IF($F21=0,0,'Year dependent'!AS31/'Year dependent'!$I31)</f>
        <v>0</v>
      </c>
      <c r="I21" s="368">
        <f>IF($F21=0,0,'Year dependent'!AT31/'Year dependent'!$I31)</f>
        <v>0</v>
      </c>
      <c r="J21" s="368">
        <f>IF($F21=0,0,'Year dependent'!AU31/'Year dependent'!$I31)</f>
        <v>0</v>
      </c>
      <c r="K21" s="368">
        <f>IF($F21=0,0,'Year dependent'!AV31/'Year dependent'!$I31)</f>
        <v>0</v>
      </c>
      <c r="L21" s="368">
        <f>IF($F21=0,0,'Year dependent'!AW31/'Year dependent'!$I31)</f>
        <v>0</v>
      </c>
      <c r="M21" s="368">
        <f>IF($F21=0,0,'Year dependent'!AX31/'Year dependent'!$I31)</f>
        <v>0</v>
      </c>
      <c r="N21" s="368">
        <f>IF($F21=0,0,'Year dependent'!AY31/'Year dependent'!$I31)</f>
        <v>0</v>
      </c>
      <c r="O21" s="368">
        <f>IF($F21=0,0,'Year dependent'!AZ31/'Year dependent'!$I31)</f>
        <v>0</v>
      </c>
      <c r="P21" s="368">
        <f>IF($F21=0,0,'Year dependent'!BA31/'Year dependent'!$I31)</f>
        <v>0</v>
      </c>
      <c r="Q21" s="368">
        <f>IF($F21=0,0,'Year dependent'!BB31/'Year dependent'!$I31)</f>
        <v>0</v>
      </c>
      <c r="R21" s="368">
        <f>IF($F21=0,0,'Year dependent'!BC31/'Year dependent'!$I31)</f>
        <v>0</v>
      </c>
      <c r="S21" s="368">
        <f>IF($F21=0,0,'Year dependent'!BD31/'Year dependent'!$I31)</f>
        <v>0</v>
      </c>
      <c r="T21" s="368">
        <f>IF($F21=0,0,'Year dependent'!BE31/'Year dependent'!$I31)</f>
        <v>0</v>
      </c>
      <c r="U21" s="368">
        <f>IF($F21=0,0,'Year dependent'!BF31/'Year dependent'!$I31)</f>
        <v>0</v>
      </c>
      <c r="V21" s="368">
        <f>IF($F21=0,0,'Year dependent'!BG31/'Year dependent'!$I31)</f>
        <v>0</v>
      </c>
      <c r="W21" s="368">
        <f>IF($F21=0,0,'Year dependent'!BH31/'Year dependent'!$I31)</f>
        <v>0</v>
      </c>
      <c r="X21" s="368">
        <f>IF($F21=0,0,'Year dependent'!BI31/'Year dependent'!$I31)</f>
        <v>0</v>
      </c>
      <c r="Y21" s="368">
        <f>IF($F21=0,0,'Year dependent'!BJ31/'Year dependent'!$I31)</f>
        <v>0</v>
      </c>
      <c r="Z21" s="368">
        <f>IF($F21=0,0,'Year dependent'!BK31/'Year dependent'!$I31)</f>
        <v>0</v>
      </c>
      <c r="AA21" s="368">
        <f>IF($F21=0,0,'Year dependent'!BL31/'Year dependent'!$I31)</f>
        <v>0</v>
      </c>
      <c r="AB21" s="368">
        <f>IF($F21=0,0,'Year dependent'!BM31/'Year dependent'!$I31)</f>
        <v>0</v>
      </c>
      <c r="AC21" s="368">
        <f>IF($F21=0,0,'Year dependent'!BN31/'Year dependent'!$I31)</f>
        <v>0</v>
      </c>
      <c r="AD21" s="368">
        <f>IF($F21=0,0,'Year dependent'!BO31/'Year dependent'!$I31)</f>
        <v>0</v>
      </c>
      <c r="AE21" s="368">
        <f>IF($F21=0,0,'Year dependent'!BP31/'Year dependent'!$I31)</f>
        <v>0</v>
      </c>
      <c r="AF21" s="368">
        <f>IF($F21=0,0,'Year dependent'!BQ31/'Year dependent'!$I31)</f>
        <v>0</v>
      </c>
      <c r="AG21" s="368">
        <f>IF($F21=0,0,'Year dependent'!BR31/'Year dependent'!$I31)</f>
        <v>0</v>
      </c>
      <c r="AH21" s="368">
        <f>IF($F21=0,0,'Year dependent'!BS31/'Year dependent'!$I31)</f>
        <v>0</v>
      </c>
      <c r="AI21" s="368">
        <f>IF($F21=0,0,'Year dependent'!BT31/'Year dependent'!$I31)</f>
        <v>0</v>
      </c>
      <c r="AJ21" s="369">
        <f>IF($F21=0,0,'Year dependent'!BU31/'Year dependent'!$I31)</f>
        <v>0</v>
      </c>
      <c r="AK21" s="134"/>
    </row>
    <row r="22" spans="1:37" ht="15.95" customHeight="1" x14ac:dyDescent="0.2">
      <c r="A22" s="147"/>
      <c r="B22" s="531" t="s">
        <v>40</v>
      </c>
      <c r="C22" s="443"/>
      <c r="D22" s="427" t="s">
        <v>22</v>
      </c>
      <c r="E22" s="428"/>
      <c r="F22" s="386" t="s">
        <v>176</v>
      </c>
      <c r="G22" s="154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365"/>
      <c r="AK22" s="134"/>
    </row>
    <row r="23" spans="1:37" ht="15.95" customHeight="1" x14ac:dyDescent="0.2">
      <c r="A23" s="147"/>
      <c r="B23" s="533"/>
      <c r="C23" s="444" t="s">
        <v>58</v>
      </c>
      <c r="D23" s="424" t="s">
        <v>23</v>
      </c>
      <c r="E23" s="425"/>
      <c r="F23" s="387"/>
      <c r="G23" s="154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365"/>
      <c r="AK23" s="134"/>
    </row>
    <row r="24" spans="1:37" ht="15.95" customHeight="1" x14ac:dyDescent="0.2">
      <c r="A24" s="147"/>
      <c r="B24" s="533"/>
      <c r="C24" s="442"/>
      <c r="D24" s="424" t="s">
        <v>24</v>
      </c>
      <c r="E24" s="425" t="s">
        <v>18</v>
      </c>
      <c r="F24" s="388"/>
      <c r="G24" s="154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365"/>
      <c r="AK24" s="134"/>
    </row>
    <row r="25" spans="1:37" ht="15.95" customHeight="1" x14ac:dyDescent="0.3">
      <c r="A25" s="147"/>
      <c r="B25" s="533"/>
      <c r="C25" s="442"/>
      <c r="D25" s="424" t="s">
        <v>25</v>
      </c>
      <c r="E25" s="425" t="s">
        <v>15</v>
      </c>
      <c r="F25" s="346"/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365"/>
      <c r="AK25" s="134"/>
    </row>
    <row r="26" spans="1:37" ht="15.95" customHeight="1" x14ac:dyDescent="0.2">
      <c r="A26" s="147"/>
      <c r="B26" s="533"/>
      <c r="C26" s="442"/>
      <c r="D26" s="424" t="s">
        <v>26</v>
      </c>
      <c r="E26" s="425"/>
      <c r="F26" s="387"/>
      <c r="G26" s="154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365"/>
      <c r="AK26" s="134"/>
    </row>
    <row r="27" spans="1:37" ht="15.95" customHeight="1" x14ac:dyDescent="0.2">
      <c r="A27" s="147"/>
      <c r="B27" s="534"/>
      <c r="C27" s="445"/>
      <c r="D27" s="432" t="s">
        <v>27</v>
      </c>
      <c r="E27" s="431"/>
      <c r="F27" s="353"/>
      <c r="G27" s="154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365"/>
      <c r="AK27" s="134"/>
    </row>
    <row r="28" spans="1:37" ht="15.95" customHeight="1" x14ac:dyDescent="0.2">
      <c r="A28" s="147"/>
      <c r="B28" s="531" t="s">
        <v>41</v>
      </c>
      <c r="C28" s="443" t="s">
        <v>59</v>
      </c>
      <c r="D28" s="433" t="s">
        <v>178</v>
      </c>
      <c r="E28" s="428"/>
      <c r="F28" s="354">
        <f>'Year independent'!H41</f>
        <v>0.02</v>
      </c>
      <c r="G28" s="154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365"/>
      <c r="AK28" s="134"/>
    </row>
    <row r="29" spans="1:37" ht="15.95" customHeight="1" x14ac:dyDescent="0.2">
      <c r="A29" s="147"/>
      <c r="B29" s="532"/>
      <c r="C29" s="442"/>
      <c r="D29" s="434" t="s">
        <v>186</v>
      </c>
      <c r="E29" s="425"/>
      <c r="F29" s="355">
        <v>0.02</v>
      </c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365"/>
      <c r="AK29" s="134"/>
    </row>
    <row r="30" spans="1:37" ht="15.95" customHeight="1" x14ac:dyDescent="0.3">
      <c r="A30" s="147"/>
      <c r="B30" s="533"/>
      <c r="C30" s="442" t="s">
        <v>276</v>
      </c>
      <c r="D30" s="424" t="s">
        <v>29</v>
      </c>
      <c r="E30" s="425"/>
      <c r="F30" s="356">
        <f>'Year independent'!H43</f>
        <v>2.5000000000000001E-2</v>
      </c>
      <c r="G30" s="154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365"/>
      <c r="AK30" s="134"/>
    </row>
    <row r="31" spans="1:37" ht="15.95" customHeight="1" x14ac:dyDescent="0.3">
      <c r="A31" s="147"/>
      <c r="B31" s="533"/>
      <c r="C31" s="442" t="s">
        <v>277</v>
      </c>
      <c r="D31" s="424" t="s">
        <v>30</v>
      </c>
      <c r="E31" s="435"/>
      <c r="F31" s="356">
        <f>'Year independent'!H44</f>
        <v>0.12</v>
      </c>
      <c r="G31" s="154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365"/>
      <c r="AK31" s="134"/>
    </row>
    <row r="32" spans="1:37" ht="15.95" customHeight="1" x14ac:dyDescent="0.2">
      <c r="A32" s="147"/>
      <c r="B32" s="533"/>
      <c r="C32" s="442" t="s">
        <v>58</v>
      </c>
      <c r="D32" s="424" t="s">
        <v>33</v>
      </c>
      <c r="E32" s="435"/>
      <c r="F32" s="357">
        <f>'Year independent'!H45</f>
        <v>0.3</v>
      </c>
      <c r="G32" s="154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365"/>
      <c r="AK32" s="134"/>
    </row>
    <row r="33" spans="1:37" ht="15.95" customHeight="1" x14ac:dyDescent="0.2">
      <c r="A33" s="147"/>
      <c r="B33" s="533"/>
      <c r="C33" s="442" t="s">
        <v>57</v>
      </c>
      <c r="D33" s="436" t="s">
        <v>32</v>
      </c>
      <c r="E33" s="425"/>
      <c r="F33" s="358">
        <f>1-F32</f>
        <v>0.7</v>
      </c>
      <c r="G33" s="154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365"/>
      <c r="AK33" s="134"/>
    </row>
    <row r="34" spans="1:37" ht="15.95" customHeight="1" x14ac:dyDescent="0.2">
      <c r="A34" s="147"/>
      <c r="B34" s="534"/>
      <c r="C34" s="446" t="s">
        <v>56</v>
      </c>
      <c r="D34" s="437" t="s">
        <v>31</v>
      </c>
      <c r="E34" s="431"/>
      <c r="F34" s="359">
        <f>'Year independent'!H47</f>
        <v>0.25</v>
      </c>
      <c r="G34" s="154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365"/>
      <c r="AK34" s="134"/>
    </row>
    <row r="35" spans="1:37" ht="15.95" customHeight="1" x14ac:dyDescent="0.3">
      <c r="A35" s="147"/>
      <c r="B35" s="531" t="s">
        <v>36</v>
      </c>
      <c r="C35" s="443" t="s">
        <v>278</v>
      </c>
      <c r="D35" s="438" t="s">
        <v>28</v>
      </c>
      <c r="E35" s="428" t="s">
        <v>10</v>
      </c>
      <c r="F35" s="348">
        <f>'Year independent'!H38</f>
        <v>15</v>
      </c>
      <c r="G35" s="154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365"/>
      <c r="AK35" s="134"/>
    </row>
    <row r="36" spans="1:37" ht="15.95" customHeight="1" x14ac:dyDescent="0.3">
      <c r="A36" s="147"/>
      <c r="B36" s="533"/>
      <c r="C36" s="442" t="s">
        <v>279</v>
      </c>
      <c r="D36" s="436" t="s">
        <v>34</v>
      </c>
      <c r="E36" s="425" t="s">
        <v>10</v>
      </c>
      <c r="F36" s="346">
        <f>'Year independent'!H39</f>
        <v>15</v>
      </c>
      <c r="G36" s="370">
        <f>'Year dependent'!AR33</f>
        <v>6.6666666666666666E-2</v>
      </c>
      <c r="H36" s="371">
        <f>'Year dependent'!AS33</f>
        <v>6.6666666666666666E-2</v>
      </c>
      <c r="I36" s="371">
        <f>'Year dependent'!AT33</f>
        <v>6.6666666666666666E-2</v>
      </c>
      <c r="J36" s="371">
        <f>'Year dependent'!AU33</f>
        <v>6.6666666666666666E-2</v>
      </c>
      <c r="K36" s="371">
        <f>'Year dependent'!AV33</f>
        <v>6.6666666666666666E-2</v>
      </c>
      <c r="L36" s="371">
        <f>'Year dependent'!AW33</f>
        <v>6.6666666666666666E-2</v>
      </c>
      <c r="M36" s="371">
        <f>'Year dependent'!AX33</f>
        <v>6.6666666666666666E-2</v>
      </c>
      <c r="N36" s="371">
        <f>'Year dependent'!AY33</f>
        <v>6.6666666666666666E-2</v>
      </c>
      <c r="O36" s="371">
        <f>'Year dependent'!AZ33</f>
        <v>6.6666666666666666E-2</v>
      </c>
      <c r="P36" s="371">
        <f>'Year dependent'!BA33</f>
        <v>6.6666666666666666E-2</v>
      </c>
      <c r="Q36" s="371">
        <f>'Year dependent'!BB33</f>
        <v>6.6666666666666666E-2</v>
      </c>
      <c r="R36" s="371">
        <f>'Year dependent'!BC33</f>
        <v>6.6666666666666666E-2</v>
      </c>
      <c r="S36" s="371">
        <f>'Year dependent'!BD33</f>
        <v>6.6666666666666666E-2</v>
      </c>
      <c r="T36" s="371">
        <f>'Year dependent'!BE33</f>
        <v>6.6666666666666666E-2</v>
      </c>
      <c r="U36" s="371">
        <f>'Year dependent'!BF33</f>
        <v>6.6666666666666666E-2</v>
      </c>
      <c r="V36" s="371">
        <f>'Year dependent'!BG33</f>
        <v>0</v>
      </c>
      <c r="W36" s="371">
        <f>'Year dependent'!BH33</f>
        <v>0</v>
      </c>
      <c r="X36" s="371">
        <f>'Year dependent'!BI33</f>
        <v>0</v>
      </c>
      <c r="Y36" s="371">
        <f>'Year dependent'!BJ33</f>
        <v>0</v>
      </c>
      <c r="Z36" s="371">
        <f>'Year dependent'!BK33</f>
        <v>0</v>
      </c>
      <c r="AA36" s="371">
        <f>'Year dependent'!BL33</f>
        <v>0</v>
      </c>
      <c r="AB36" s="371">
        <f>'Year dependent'!BM33</f>
        <v>0</v>
      </c>
      <c r="AC36" s="371">
        <f>'Year dependent'!BN33</f>
        <v>0</v>
      </c>
      <c r="AD36" s="371">
        <f>'Year dependent'!BO33</f>
        <v>0</v>
      </c>
      <c r="AE36" s="371">
        <f>'Year dependent'!BP33</f>
        <v>0</v>
      </c>
      <c r="AF36" s="371">
        <f>'Year dependent'!BQ33</f>
        <v>0</v>
      </c>
      <c r="AG36" s="371">
        <f>'Year dependent'!BR33</f>
        <v>0</v>
      </c>
      <c r="AH36" s="371">
        <f>'Year dependent'!BS33</f>
        <v>0</v>
      </c>
      <c r="AI36" s="371">
        <f>'Year dependent'!BT33</f>
        <v>0</v>
      </c>
      <c r="AJ36" s="372">
        <f>'Year dependent'!BU33</f>
        <v>0</v>
      </c>
      <c r="AK36" s="134"/>
    </row>
    <row r="37" spans="1:37" ht="15.95" customHeight="1" x14ac:dyDescent="0.3">
      <c r="A37" s="147"/>
      <c r="B37" s="534"/>
      <c r="C37" s="445" t="s">
        <v>280</v>
      </c>
      <c r="D37" s="432" t="s">
        <v>35</v>
      </c>
      <c r="E37" s="431" t="s">
        <v>10</v>
      </c>
      <c r="F37" s="360">
        <f>'Year independent'!H37</f>
        <v>15</v>
      </c>
      <c r="G37" s="154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365"/>
      <c r="AK37" s="134"/>
    </row>
    <row r="38" spans="1:37" ht="15.95" customHeight="1" thickBot="1" x14ac:dyDescent="0.25">
      <c r="A38" s="147"/>
      <c r="B38" s="419"/>
      <c r="C38" s="439"/>
      <c r="D38" s="440" t="s">
        <v>223</v>
      </c>
      <c r="E38" s="441" t="s">
        <v>9</v>
      </c>
      <c r="F38" s="361">
        <f>'Year independent'!G49</f>
        <v>8760</v>
      </c>
      <c r="G38" s="373"/>
      <c r="H38" s="374"/>
      <c r="I38" s="374"/>
      <c r="J38" s="374"/>
      <c r="K38" s="374"/>
      <c r="L38" s="374"/>
      <c r="M38" s="374"/>
      <c r="N38" s="374"/>
      <c r="O38" s="374"/>
      <c r="P38" s="374"/>
      <c r="Q38" s="374"/>
      <c r="R38" s="374"/>
      <c r="S38" s="374"/>
      <c r="T38" s="374"/>
      <c r="U38" s="374"/>
      <c r="V38" s="374"/>
      <c r="W38" s="374"/>
      <c r="X38" s="374"/>
      <c r="Y38" s="374"/>
      <c r="Z38" s="374"/>
      <c r="AA38" s="374"/>
      <c r="AB38" s="374"/>
      <c r="AC38" s="374"/>
      <c r="AD38" s="374"/>
      <c r="AE38" s="374"/>
      <c r="AF38" s="374"/>
      <c r="AG38" s="374"/>
      <c r="AH38" s="374"/>
      <c r="AI38" s="374"/>
      <c r="AJ38" s="375"/>
      <c r="AK38" s="134"/>
    </row>
    <row r="39" spans="1:37" ht="3.75" customHeight="1" thickBot="1" x14ac:dyDescent="0.25">
      <c r="A39" s="147"/>
      <c r="B39" s="362"/>
      <c r="C39" s="363"/>
      <c r="D39" s="182"/>
      <c r="E39" s="186"/>
      <c r="F39" s="364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34"/>
    </row>
    <row r="40" spans="1:37" ht="15.95" customHeight="1" thickBot="1" x14ac:dyDescent="0.3">
      <c r="A40" s="147"/>
      <c r="B40" s="405" t="s">
        <v>85</v>
      </c>
      <c r="C40" s="421" t="s">
        <v>42</v>
      </c>
      <c r="D40" s="422" t="s">
        <v>84</v>
      </c>
      <c r="E40" s="423" t="s">
        <v>177</v>
      </c>
      <c r="F40" s="410">
        <f>1000*(Cashflow!E41-Cashflow!E39)/Cashflow!E40</f>
        <v>45.572642029597375</v>
      </c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</row>
    <row r="41" spans="1:37" ht="3" customHeight="1" x14ac:dyDescent="0.2">
      <c r="A41" s="147"/>
      <c r="B41" s="147"/>
      <c r="C41" s="147"/>
      <c r="D41" s="134"/>
      <c r="E41" s="258"/>
      <c r="F41" s="258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</row>
  </sheetData>
  <sheetProtection algorithmName="SHA-512" hashValue="jSa/rKZkABBu4topEOPjVNVGXIJCsDBXPpG9ZR4mQAkiBTCjBNgXN230KhSY5SLDURKwoX1vI3YT6jBb/7LJBw==" saltValue="9jzJww6DKdL8u3/zTjI06g==" spinCount="100000" sheet="1" objects="1" scenarios="1"/>
  <dataConsolidate/>
  <mergeCells count="9">
    <mergeCell ref="B28:B34"/>
    <mergeCell ref="B35:B37"/>
    <mergeCell ref="C20:C21"/>
    <mergeCell ref="B4:B14"/>
    <mergeCell ref="F1:F2"/>
    <mergeCell ref="B15:B19"/>
    <mergeCell ref="C18:C19"/>
    <mergeCell ref="B20:B21"/>
    <mergeCell ref="B22:B27"/>
  </mergeCells>
  <phoneticPr fontId="0" type="noConversion"/>
  <pageMargins left="0.75" right="0.75" top="1" bottom="1" header="0.5" footer="0.5"/>
  <pageSetup paperSize="9" scale="99" orientation="landscape" r:id="rId1"/>
  <headerFooter alignWithMargins="0">
    <oddFooter>&amp;L&amp;D&amp;RVersie  2003.1</oddFoot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0">
    <tabColor indexed="48"/>
    <pageSetUpPr autoPageBreaks="0"/>
  </sheetPr>
  <dimension ref="A1:AK75"/>
  <sheetViews>
    <sheetView showGridLines="0" topLeftCell="A3" zoomScale="85" zoomScaleNormal="85" workbookViewId="0">
      <selection activeCell="F20" sqref="F20"/>
    </sheetView>
  </sheetViews>
  <sheetFormatPr defaultColWidth="9.140625" defaultRowHeight="15.95" customHeight="1" x14ac:dyDescent="0.2"/>
  <cols>
    <col min="1" max="1" width="3.42578125" style="2" customWidth="1"/>
    <col min="2" max="2" width="12.28515625" style="67" customWidth="1"/>
    <col min="3" max="3" width="44.28515625" style="1" bestFit="1" customWidth="1"/>
    <col min="4" max="4" width="16.7109375" style="1" customWidth="1"/>
    <col min="5" max="5" width="16.42578125" style="30" customWidth="1"/>
    <col min="6" max="6" width="14.28515625" style="1" customWidth="1"/>
    <col min="7" max="7" width="17.7109375" style="1" customWidth="1"/>
    <col min="8" max="8" width="14.5703125" style="1" bestFit="1" customWidth="1"/>
    <col min="9" max="9" width="14.140625" style="1" customWidth="1"/>
    <col min="10" max="20" width="14.5703125" style="1" bestFit="1" customWidth="1"/>
    <col min="21" max="21" width="14.5703125" style="1" customWidth="1"/>
    <col min="22" max="25" width="14.85546875" style="1" bestFit="1" customWidth="1"/>
    <col min="26" max="36" width="12.7109375" style="1" customWidth="1"/>
    <col min="37" max="37" width="12.85546875" style="3" customWidth="1"/>
    <col min="38" max="57" width="12.85546875" style="2" customWidth="1"/>
    <col min="58" max="16384" width="9.140625" style="2"/>
  </cols>
  <sheetData>
    <row r="1" spans="1:37" s="19" customFormat="1" ht="18.75" hidden="1" x14ac:dyDescent="0.3">
      <c r="B1" s="65"/>
      <c r="C1" s="20"/>
      <c r="D1" s="20"/>
      <c r="E1" s="26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</row>
    <row r="2" spans="1:37" s="22" customFormat="1" ht="23.25" hidden="1" x14ac:dyDescent="0.35">
      <c r="B2" s="66"/>
      <c r="C2" s="23"/>
      <c r="D2" s="23"/>
      <c r="E2" s="27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4"/>
    </row>
    <row r="3" spans="1:37" ht="15.95" customHeight="1" thickBot="1" x14ac:dyDescent="0.25">
      <c r="C3" s="3"/>
      <c r="D3" s="3"/>
      <c r="E3" s="46"/>
      <c r="F3" s="3"/>
      <c r="G3" s="18"/>
      <c r="H3" s="18"/>
      <c r="I3" s="5"/>
      <c r="J3" s="5"/>
      <c r="K3" s="5"/>
      <c r="L3" s="5"/>
      <c r="M3" s="5"/>
      <c r="N3" s="5"/>
      <c r="O3" s="5"/>
      <c r="P3" s="5"/>
      <c r="Q3" s="5"/>
      <c r="R3" s="5"/>
    </row>
    <row r="4" spans="1:37" ht="15.95" customHeight="1" x14ac:dyDescent="0.2">
      <c r="A4" s="31"/>
      <c r="B4" s="68" t="s">
        <v>19</v>
      </c>
      <c r="C4" s="32" t="s">
        <v>43</v>
      </c>
      <c r="D4" s="33" t="s">
        <v>60</v>
      </c>
      <c r="E4" s="34">
        <v>0</v>
      </c>
      <c r="F4" s="34">
        <v>1</v>
      </c>
      <c r="G4" s="34">
        <v>2</v>
      </c>
      <c r="H4" s="34">
        <v>3</v>
      </c>
      <c r="I4" s="34">
        <v>4</v>
      </c>
      <c r="J4" s="34">
        <v>5</v>
      </c>
      <c r="K4" s="34">
        <v>6</v>
      </c>
      <c r="L4" s="34">
        <v>7</v>
      </c>
      <c r="M4" s="34">
        <v>8</v>
      </c>
      <c r="N4" s="34">
        <v>9</v>
      </c>
      <c r="O4" s="34">
        <v>10</v>
      </c>
      <c r="P4" s="34">
        <v>11</v>
      </c>
      <c r="Q4" s="34">
        <v>12</v>
      </c>
      <c r="R4" s="34">
        <v>13</v>
      </c>
      <c r="S4" s="34">
        <v>14</v>
      </c>
      <c r="T4" s="34">
        <v>15</v>
      </c>
      <c r="U4" s="34">
        <v>16</v>
      </c>
      <c r="V4" s="34">
        <v>17</v>
      </c>
      <c r="W4" s="34">
        <v>18</v>
      </c>
      <c r="X4" s="34">
        <v>19</v>
      </c>
      <c r="Y4" s="34">
        <v>20</v>
      </c>
      <c r="Z4" s="34">
        <v>21</v>
      </c>
      <c r="AA4" s="34">
        <v>22</v>
      </c>
      <c r="AB4" s="34">
        <v>23</v>
      </c>
      <c r="AC4" s="34">
        <v>24</v>
      </c>
      <c r="AD4" s="34">
        <v>25</v>
      </c>
      <c r="AE4" s="34">
        <v>26</v>
      </c>
      <c r="AF4" s="34">
        <v>27</v>
      </c>
      <c r="AG4" s="34">
        <v>28</v>
      </c>
      <c r="AH4" s="34">
        <v>29</v>
      </c>
      <c r="AI4" s="34">
        <v>30</v>
      </c>
      <c r="AJ4" s="35">
        <v>31</v>
      </c>
      <c r="AK4" s="2"/>
    </row>
    <row r="5" spans="1:37" ht="15.95" customHeight="1" thickBot="1" x14ac:dyDescent="0.35">
      <c r="A5" s="53"/>
      <c r="B5" s="83" t="s">
        <v>62</v>
      </c>
      <c r="C5" s="54" t="s">
        <v>44</v>
      </c>
      <c r="D5" s="60" t="s">
        <v>18</v>
      </c>
      <c r="E5" s="55">
        <f>-D43</f>
        <v>-367699200</v>
      </c>
      <c r="F5" s="55">
        <f>-D44</f>
        <v>-875124096</v>
      </c>
      <c r="G5" s="55">
        <f>-D45</f>
        <v>0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7"/>
      <c r="AK5" s="2"/>
    </row>
    <row r="6" spans="1:37" ht="15.95" customHeight="1" thickTop="1" x14ac:dyDescent="0.2">
      <c r="A6" s="105"/>
      <c r="B6" s="61"/>
      <c r="C6" s="14" t="s">
        <v>188</v>
      </c>
      <c r="D6" s="107" t="s">
        <v>0</v>
      </c>
      <c r="E6" s="106"/>
      <c r="F6" s="108">
        <f>IF(OR(F4&gt;Input_Output!$F$6+Input_Output!$F$12-1,F4&lt;Input_Output!$F$12,F4&gt;LicencePeriod),0,Input_Output!$F$11*Input_Output!$F$4*Input_Output!$F$5)</f>
        <v>3065920000</v>
      </c>
      <c r="G6" s="108">
        <f>IF(OR(G4&gt;Input_Output!$F$6+Input_Output!$F$12-1,G4&lt;Input_Output!$F$12,G4&gt;LicencePeriod),0,Input_Output!$F$11*Input_Output!$F$4*Input_Output!$F$5)</f>
        <v>3065920000</v>
      </c>
      <c r="H6" s="108">
        <f>IF(OR(H4&gt;Input_Output!$F$6+Input_Output!$F$12-1,H4&lt;Input_Output!$F$12,H4&gt;LicencePeriod),0,Input_Output!$F$11*Input_Output!$F$4*Input_Output!$F$5)</f>
        <v>3065920000</v>
      </c>
      <c r="I6" s="108">
        <f>IF(OR(I4&gt;Input_Output!$F$6+Input_Output!$F$12-1,I4&lt;Input_Output!$F$12,I4&gt;LicencePeriod),0,Input_Output!$F$11*Input_Output!$F$4*Input_Output!$F$5)</f>
        <v>3065920000</v>
      </c>
      <c r="J6" s="108">
        <f>IF(OR(J4&gt;Input_Output!$F$6+Input_Output!$F$12-1,J4&lt;Input_Output!$F$12,J4&gt;LicencePeriod),0,Input_Output!$F$11*Input_Output!$F$4*Input_Output!$F$5)</f>
        <v>3065920000</v>
      </c>
      <c r="K6" s="108">
        <f>IF(OR(K4&gt;Input_Output!$F$6+Input_Output!$F$12-1,K4&lt;Input_Output!$F$12,K4&gt;LicencePeriod),0,Input_Output!$F$11*Input_Output!$F$4*Input_Output!$F$5)</f>
        <v>3065920000</v>
      </c>
      <c r="L6" s="108">
        <f>IF(OR(L4&gt;Input_Output!$F$6+Input_Output!$F$12-1,L4&lt;Input_Output!$F$12,L4&gt;LicencePeriod),0,Input_Output!$F$11*Input_Output!$F$4*Input_Output!$F$5)</f>
        <v>3065920000</v>
      </c>
      <c r="M6" s="108">
        <f>IF(OR(M4&gt;Input_Output!$F$6+Input_Output!$F$12-1,M4&lt;Input_Output!$F$12,M4&gt;LicencePeriod),0,Input_Output!$F$11*Input_Output!$F$4*Input_Output!$F$5)</f>
        <v>3065920000</v>
      </c>
      <c r="N6" s="108">
        <f>IF(OR(N4&gt;Input_Output!$F$6+Input_Output!$F$12-1,N4&lt;Input_Output!$F$12,N4&gt;LicencePeriod),0,Input_Output!$F$11*Input_Output!$F$4*Input_Output!$F$5)</f>
        <v>3065920000</v>
      </c>
      <c r="O6" s="108">
        <f>IF(OR(O4&gt;Input_Output!$F$6+Input_Output!$F$12-1,O4&lt;Input_Output!$F$12,O4&gt;LicencePeriod),0,Input_Output!$F$11*Input_Output!$F$4*Input_Output!$F$5)</f>
        <v>3065920000</v>
      </c>
      <c r="P6" s="108">
        <f>IF(OR(P4&gt;Input_Output!$F$6+Input_Output!$F$12-1,P4&lt;Input_Output!$F$12,P4&gt;LicencePeriod),0,Input_Output!$F$11*Input_Output!$F$4*Input_Output!$F$5)</f>
        <v>3065920000</v>
      </c>
      <c r="Q6" s="108">
        <f>IF(OR(Q4&gt;Input_Output!$F$6+Input_Output!$F$12-1,Q4&lt;Input_Output!$F$12,Q4&gt;LicencePeriod),0,Input_Output!$F$11*Input_Output!$F$4*Input_Output!$F$5)</f>
        <v>3065920000</v>
      </c>
      <c r="R6" s="108">
        <f>IF(OR(R4&gt;Input_Output!$F$6+Input_Output!$F$12-1,R4&lt;Input_Output!$F$12,R4&gt;LicencePeriod),0,Input_Output!$F$11*Input_Output!$F$4*Input_Output!$F$5)</f>
        <v>3065920000</v>
      </c>
      <c r="S6" s="108">
        <f>IF(OR(S4&gt;Input_Output!$F$6+Input_Output!$F$12-1,S4&lt;Input_Output!$F$12,S4&gt;LicencePeriod),0,Input_Output!$F$11*Input_Output!$F$4*Input_Output!$F$5)</f>
        <v>3065920000</v>
      </c>
      <c r="T6" s="108">
        <f>IF(OR(T4&gt;Input_Output!$F$6+Input_Output!$F$12-1,T4&lt;Input_Output!$F$12,T4&gt;LicencePeriod),0,Input_Output!$F$11*Input_Output!$F$4*Input_Output!$F$5)</f>
        <v>3065920000</v>
      </c>
      <c r="U6" s="108">
        <f>IF(OR(U4&gt;Input_Output!$F$6+Input_Output!$F$12-1,U4&lt;Input_Output!$F$12,U4&gt;LicencePeriod),0,Input_Output!$F$11*Input_Output!$F$4*Input_Output!$F$5)</f>
        <v>3065920000</v>
      </c>
      <c r="V6" s="108">
        <f>IF(OR(V4&gt;Input_Output!$F$6+Input_Output!$F$12-1,V4&lt;Input_Output!$F$12,V4&gt;LicencePeriod),0,Input_Output!$F$11*Input_Output!$F$4*Input_Output!$F$5)</f>
        <v>3065920000</v>
      </c>
      <c r="W6" s="108">
        <f>IF(OR(W4&gt;Input_Output!$F$6+Input_Output!$F$12-1,W4&lt;Input_Output!$F$12,W4&gt;LicencePeriod),0,Input_Output!$F$11*Input_Output!$F$4*Input_Output!$F$5)</f>
        <v>3065920000</v>
      </c>
      <c r="X6" s="108">
        <f>IF(OR(X4&gt;Input_Output!$F$6+Input_Output!$F$12-1,X4&lt;Input_Output!$F$12,X4&gt;LicencePeriod),0,Input_Output!$F$11*Input_Output!$F$4*Input_Output!$F$5)</f>
        <v>3065920000</v>
      </c>
      <c r="Y6" s="108">
        <f>IF(OR(Y4&gt;Input_Output!$F$6+Input_Output!$F$12-1,Y4&lt;Input_Output!$F$12,Y4&gt;LicencePeriod),0,Input_Output!$F$11*Input_Output!$F$4*Input_Output!$F$5)</f>
        <v>3065920000</v>
      </c>
      <c r="Z6" s="108">
        <f>IF(OR(Z4&gt;Input_Output!$F$6+Input_Output!$F$12-1,Z4&lt;Input_Output!$F$12,Z4&gt;LicencePeriod),0,Input_Output!$F$11*Input_Output!$F$4*Input_Output!$F$5)</f>
        <v>3065920000</v>
      </c>
      <c r="AA6" s="108">
        <f>IF(OR(AA4&gt;Input_Output!$F$6+Input_Output!$F$12-1,AA4&lt;Input_Output!$F$12,AA4&gt;LicencePeriod),0,Input_Output!$F$11*Input_Output!$F$4*Input_Output!$F$5)</f>
        <v>3065920000</v>
      </c>
      <c r="AB6" s="108">
        <f>IF(OR(AB4&gt;Input_Output!$F$6+Input_Output!$F$12-1,AB4&lt;Input_Output!$F$12,AB4&gt;LicencePeriod),0,Input_Output!$F$11*Input_Output!$F$4*Input_Output!$F$5)</f>
        <v>3065920000</v>
      </c>
      <c r="AC6" s="108">
        <f>IF(OR(AC4&gt;Input_Output!$F$6+Input_Output!$F$12-1,AC4&lt;Input_Output!$F$12,AC4&gt;LicencePeriod),0,Input_Output!$F$11*Input_Output!$F$4*Input_Output!$F$5)</f>
        <v>3065920000</v>
      </c>
      <c r="AD6" s="108">
        <f>IF(OR(AD4&gt;Input_Output!$F$6+Input_Output!$F$12-1,AD4&lt;Input_Output!$F$12,AD4&gt;LicencePeriod),0,Input_Output!$F$11*Input_Output!$F$4*Input_Output!$F$5)</f>
        <v>3065920000</v>
      </c>
      <c r="AE6" s="108">
        <f>IF(OR(AE4&gt;Input_Output!$F$6+Input_Output!$F$12-1,AE4&lt;Input_Output!$F$12,AE4&gt;LicencePeriod),0,Input_Output!$F$11*Input_Output!$F$4*Input_Output!$F$5)</f>
        <v>0</v>
      </c>
      <c r="AF6" s="108">
        <f>IF(OR(AF4&gt;Input_Output!$F$6+Input_Output!$F$12-1,AF4&lt;Input_Output!$F$12,AF4&gt;LicencePeriod),0,Input_Output!$F$11*Input_Output!$F$4*Input_Output!$F$5)</f>
        <v>0</v>
      </c>
      <c r="AG6" s="108">
        <f>IF(OR(AG4&gt;Input_Output!$F$6+Input_Output!$F$12-1,AG4&lt;Input_Output!$F$12,AG4&gt;LicencePeriod),0,Input_Output!$F$11*Input_Output!$F$4*Input_Output!$F$5)</f>
        <v>0</v>
      </c>
      <c r="AH6" s="108">
        <f>IF(OR(AH4&gt;Input_Output!$F$6+Input_Output!$F$12-1,AH4&lt;Input_Output!$F$12,AH4&gt;LicencePeriod),0,Input_Output!$F$11*Input_Output!$F$4*Input_Output!$F$5)</f>
        <v>0</v>
      </c>
      <c r="AI6" s="108">
        <f>IF(OR(AI4&gt;Input_Output!$F$6+Input_Output!$F$12-1,AI4&lt;Input_Output!$F$12,AI4&gt;LicencePeriod),0,Input_Output!$F$11*Input_Output!$F$4*Input_Output!$F$5)</f>
        <v>0</v>
      </c>
      <c r="AJ6" s="108">
        <f>IF(OR(AJ4&gt;Input_Output!$F$6+Input_Output!$F$12-1,AJ4&lt;Input_Output!$F$12,AJ4&gt;LicencePeriod),0,Input_Output!$F$11*Input_Output!$F$4*Input_Output!$F$5)</f>
        <v>0</v>
      </c>
      <c r="AK6" s="2"/>
    </row>
    <row r="7" spans="1:37" ht="15.95" customHeight="1" x14ac:dyDescent="0.2">
      <c r="A7" s="390"/>
      <c r="B7" s="51"/>
      <c r="C7" s="9" t="s">
        <v>189</v>
      </c>
      <c r="D7" s="47" t="s">
        <v>0</v>
      </c>
      <c r="E7" s="106"/>
      <c r="F7" s="10">
        <f>IF(OR(F4&gt;Input_Output!$F$6+Input_Output!$F$14-1,F4&lt;Input_Output!$F$14,F4&gt;LicencePeriod),0,Input_Output!$F$13*Input_Output!$F$4*Input_Output!$F$5)</f>
        <v>0</v>
      </c>
      <c r="G7" s="10">
        <f>IF(OR(G4&gt;Input_Output!$F$6+Input_Output!$F$14-1,G4&lt;Input_Output!$F$14,G4&gt;LicencePeriod),0,Input_Output!$F$13*Input_Output!$F$4*Input_Output!$F$5)</f>
        <v>0</v>
      </c>
      <c r="H7" s="10">
        <f>IF(OR(H4&gt;Input_Output!$F$6+Input_Output!$F$14-1,H4&lt;Input_Output!$F$14,H4&gt;LicencePeriod),0,Input_Output!$F$13*Input_Output!$F$4*Input_Output!$F$5)</f>
        <v>0</v>
      </c>
      <c r="I7" s="10">
        <f>IF(OR(I4&gt;Input_Output!$F$6+Input_Output!$F$14-1,I4&lt;Input_Output!$F$14,I4&gt;LicencePeriod),0,Input_Output!$F$13*Input_Output!$F$4*Input_Output!$F$5)</f>
        <v>0</v>
      </c>
      <c r="J7" s="10">
        <f>IF(OR(J4&gt;Input_Output!$F$6+Input_Output!$F$14-1,J4&lt;Input_Output!$F$14,J4&gt;LicencePeriod),0,Input_Output!$F$13*Input_Output!$F$4*Input_Output!$F$5)</f>
        <v>0</v>
      </c>
      <c r="K7" s="10">
        <f>IF(OR(K4&gt;Input_Output!$F$6+Input_Output!$F$14-1,K4&lt;Input_Output!$F$14,K4&gt;LicencePeriod),0,Input_Output!$F$13*Input_Output!$F$4*Input_Output!$F$5)</f>
        <v>0</v>
      </c>
      <c r="L7" s="10">
        <f>IF(OR(L4&gt;Input_Output!$F$6+Input_Output!$F$14-1,L4&lt;Input_Output!$F$14,L4&gt;LicencePeriod),0,Input_Output!$F$13*Input_Output!$F$4*Input_Output!$F$5)</f>
        <v>0</v>
      </c>
      <c r="M7" s="10">
        <f>IF(OR(M4&gt;Input_Output!$F$6+Input_Output!$F$14-1,M4&lt;Input_Output!$F$14,M4&gt;LicencePeriod),0,Input_Output!$F$13*Input_Output!$F$4*Input_Output!$F$5)</f>
        <v>0</v>
      </c>
      <c r="N7" s="10">
        <f>IF(OR(N4&gt;Input_Output!$F$6+Input_Output!$F$14-1,N4&lt;Input_Output!$F$14,N4&gt;LicencePeriod),0,Input_Output!$F$13*Input_Output!$F$4*Input_Output!$F$5)</f>
        <v>0</v>
      </c>
      <c r="O7" s="10">
        <f>IF(OR(O4&gt;Input_Output!$F$6+Input_Output!$F$14-1,O4&lt;Input_Output!$F$14,O4&gt;LicencePeriod),0,Input_Output!$F$13*Input_Output!$F$4*Input_Output!$F$5)</f>
        <v>0</v>
      </c>
      <c r="P7" s="10">
        <f>IF(OR(P4&gt;Input_Output!$F$6+Input_Output!$F$14-1,P4&lt;Input_Output!$F$14,P4&gt;LicencePeriod),0,Input_Output!$F$13*Input_Output!$F$4*Input_Output!$F$5)</f>
        <v>0</v>
      </c>
      <c r="Q7" s="10">
        <f>IF(OR(Q4&gt;Input_Output!$F$6+Input_Output!$F$14-1,Q4&lt;Input_Output!$F$14,Q4&gt;LicencePeriod),0,Input_Output!$F$13*Input_Output!$F$4*Input_Output!$F$5)</f>
        <v>0</v>
      </c>
      <c r="R7" s="10">
        <f>IF(OR(R4&gt;Input_Output!$F$6+Input_Output!$F$14-1,R4&lt;Input_Output!$F$14,R4&gt;LicencePeriod),0,Input_Output!$F$13*Input_Output!$F$4*Input_Output!$F$5)</f>
        <v>0</v>
      </c>
      <c r="S7" s="10">
        <f>IF(OR(S4&gt;Input_Output!$F$6+Input_Output!$F$14-1,S4&lt;Input_Output!$F$14,S4&gt;LicencePeriod),0,Input_Output!$F$13*Input_Output!$F$4*Input_Output!$F$5)</f>
        <v>0</v>
      </c>
      <c r="T7" s="10">
        <f>IF(OR(T4&gt;Input_Output!$F$6+Input_Output!$F$14-1,T4&lt;Input_Output!$F$14,T4&gt;LicencePeriod),0,Input_Output!$F$13*Input_Output!$F$4*Input_Output!$F$5)</f>
        <v>0</v>
      </c>
      <c r="U7" s="10">
        <f>IF(OR(U4&gt;Input_Output!$F$6+Input_Output!$F$14-1,U4&lt;Input_Output!$F$14,U4&gt;LicencePeriod),0,Input_Output!$F$13*Input_Output!$F$4*Input_Output!$F$5)</f>
        <v>0</v>
      </c>
      <c r="V7" s="10">
        <f>IF(OR(V4&gt;Input_Output!$F$6+Input_Output!$F$14-1,V4&lt;Input_Output!$F$14,V4&gt;LicencePeriod),0,Input_Output!$F$13*Input_Output!$F$4*Input_Output!$F$5)</f>
        <v>0</v>
      </c>
      <c r="W7" s="10">
        <f>IF(OR(W4&gt;Input_Output!$F$6+Input_Output!$F$14-1,W4&lt;Input_Output!$F$14,W4&gt;LicencePeriod),0,Input_Output!$F$13*Input_Output!$F$4*Input_Output!$F$5)</f>
        <v>0</v>
      </c>
      <c r="X7" s="10">
        <f>IF(OR(X4&gt;Input_Output!$F$6+Input_Output!$F$14-1,X4&lt;Input_Output!$F$14,X4&gt;LicencePeriod),0,Input_Output!$F$13*Input_Output!$F$4*Input_Output!$F$5)</f>
        <v>0</v>
      </c>
      <c r="Y7" s="10">
        <f>IF(OR(Y4&gt;Input_Output!$F$6+Input_Output!$F$14-1,Y4&lt;Input_Output!$F$14,Y4&gt;LicencePeriod),0,Input_Output!$F$13*Input_Output!$F$4*Input_Output!$F$5)</f>
        <v>0</v>
      </c>
      <c r="Z7" s="10">
        <f>IF(OR(Z4&gt;Input_Output!$F$6+Input_Output!$F$14-1,Z4&lt;Input_Output!$F$14,Z4&gt;LicencePeriod),0,Input_Output!$F$13*Input_Output!$F$4*Input_Output!$F$5)</f>
        <v>0</v>
      </c>
      <c r="AA7" s="10">
        <f>IF(OR(AA4&gt;Input_Output!$F$6+Input_Output!$F$14-1,AA4&lt;Input_Output!$F$14,AA4&gt;LicencePeriod),0,Input_Output!$F$13*Input_Output!$F$4*Input_Output!$F$5)</f>
        <v>0</v>
      </c>
      <c r="AB7" s="10">
        <f>IF(OR(AB4&gt;Input_Output!$F$6+Input_Output!$F$14-1,AB4&lt;Input_Output!$F$14,AB4&gt;LicencePeriod),0,Input_Output!$F$13*Input_Output!$F$4*Input_Output!$F$5)</f>
        <v>0</v>
      </c>
      <c r="AC7" s="10">
        <f>IF(OR(AC4&gt;Input_Output!$F$6+Input_Output!$F$14-1,AC4&lt;Input_Output!$F$14,AC4&gt;LicencePeriod),0,Input_Output!$F$13*Input_Output!$F$4*Input_Output!$F$5)</f>
        <v>0</v>
      </c>
      <c r="AD7" s="10">
        <f>IF(OR(AD4&gt;Input_Output!$F$6+Input_Output!$F$14-1,AD4&lt;Input_Output!$F$14,AD4&gt;LicencePeriod),0,Input_Output!$F$13*Input_Output!$F$4*Input_Output!$F$5)</f>
        <v>0</v>
      </c>
      <c r="AE7" s="10">
        <f>IF(OR(AE4&gt;Input_Output!$F$6+Input_Output!$F$14-1,AE4&lt;Input_Output!$F$14,AE4&gt;LicencePeriod),0,Input_Output!$F$13*Input_Output!$F$4*Input_Output!$F$5)</f>
        <v>0</v>
      </c>
      <c r="AF7" s="10">
        <f>IF(OR(AF4&gt;Input_Output!$F$6+Input_Output!$F$14-1,AF4&lt;Input_Output!$F$14,AF4&gt;LicencePeriod),0,Input_Output!$F$13*Input_Output!$F$4*Input_Output!$F$5)</f>
        <v>0</v>
      </c>
      <c r="AG7" s="10">
        <f>IF(OR(AG4&gt;Input_Output!$F$6+Input_Output!$F$14-1,AG4&lt;Input_Output!$F$14,AG4&gt;LicencePeriod),0,Input_Output!$F$13*Input_Output!$F$4*Input_Output!$F$5)</f>
        <v>0</v>
      </c>
      <c r="AH7" s="10">
        <f>IF(OR(AH4&gt;Input_Output!$F$6+Input_Output!$F$14-1,AH4&lt;Input_Output!$F$14,AH4&gt;LicencePeriod),0,Input_Output!$F$13*Input_Output!$F$4*Input_Output!$F$5)</f>
        <v>0</v>
      </c>
      <c r="AI7" s="10">
        <f>IF(OR(AI4&gt;Input_Output!$F$6+Input_Output!$F$14-1,AI4&lt;Input_Output!$F$14,AI4&gt;LicencePeriod),0,Input_Output!$F$13*Input_Output!$F$4*Input_Output!$F$5)</f>
        <v>0</v>
      </c>
      <c r="AJ7" s="10">
        <f>IF(OR(AJ4&gt;Input_Output!$F$6+Input_Output!$F$14-1,AJ4&lt;Input_Output!$F$14,AJ4&gt;LicencePeriod),0,Input_Output!$F$13*Input_Output!$F$4*Input_Output!$F$5)</f>
        <v>0</v>
      </c>
      <c r="AK7" s="2"/>
    </row>
    <row r="8" spans="1:37" ht="15.95" customHeight="1" x14ac:dyDescent="0.2">
      <c r="A8" s="114"/>
      <c r="B8" s="51" t="s">
        <v>63</v>
      </c>
      <c r="C8" s="9" t="s">
        <v>187</v>
      </c>
      <c r="D8" s="47" t="s">
        <v>0</v>
      </c>
      <c r="E8" s="9"/>
      <c r="F8" s="10">
        <f>SUM(F6:F7)</f>
        <v>3065920000</v>
      </c>
      <c r="G8" s="10">
        <f t="shared" ref="G8:AJ8" si="0">SUM(G6:G7)</f>
        <v>3065920000</v>
      </c>
      <c r="H8" s="10">
        <f t="shared" si="0"/>
        <v>3065920000</v>
      </c>
      <c r="I8" s="10">
        <f t="shared" si="0"/>
        <v>3065920000</v>
      </c>
      <c r="J8" s="10">
        <f t="shared" si="0"/>
        <v>3065920000</v>
      </c>
      <c r="K8" s="10">
        <f t="shared" si="0"/>
        <v>3065920000</v>
      </c>
      <c r="L8" s="10">
        <f t="shared" si="0"/>
        <v>3065920000</v>
      </c>
      <c r="M8" s="10">
        <f t="shared" si="0"/>
        <v>3065920000</v>
      </c>
      <c r="N8" s="10">
        <f t="shared" si="0"/>
        <v>3065920000</v>
      </c>
      <c r="O8" s="10">
        <f t="shared" si="0"/>
        <v>3065920000</v>
      </c>
      <c r="P8" s="10">
        <f t="shared" si="0"/>
        <v>3065920000</v>
      </c>
      <c r="Q8" s="10">
        <f t="shared" si="0"/>
        <v>3065920000</v>
      </c>
      <c r="R8" s="10">
        <f t="shared" si="0"/>
        <v>3065920000</v>
      </c>
      <c r="S8" s="10">
        <f t="shared" si="0"/>
        <v>3065920000</v>
      </c>
      <c r="T8" s="10">
        <f t="shared" si="0"/>
        <v>3065920000</v>
      </c>
      <c r="U8" s="10">
        <f t="shared" si="0"/>
        <v>3065920000</v>
      </c>
      <c r="V8" s="10">
        <f t="shared" si="0"/>
        <v>3065920000</v>
      </c>
      <c r="W8" s="10">
        <f t="shared" si="0"/>
        <v>3065920000</v>
      </c>
      <c r="X8" s="10">
        <f t="shared" si="0"/>
        <v>3065920000</v>
      </c>
      <c r="Y8" s="10">
        <f t="shared" si="0"/>
        <v>3065920000</v>
      </c>
      <c r="Z8" s="10">
        <f t="shared" si="0"/>
        <v>3065920000</v>
      </c>
      <c r="AA8" s="10">
        <f t="shared" si="0"/>
        <v>3065920000</v>
      </c>
      <c r="AB8" s="10">
        <f t="shared" si="0"/>
        <v>3065920000</v>
      </c>
      <c r="AC8" s="10">
        <f t="shared" si="0"/>
        <v>3065920000</v>
      </c>
      <c r="AD8" s="10">
        <f t="shared" si="0"/>
        <v>3065920000</v>
      </c>
      <c r="AE8" s="10">
        <f t="shared" si="0"/>
        <v>0</v>
      </c>
      <c r="AF8" s="10">
        <f t="shared" si="0"/>
        <v>0</v>
      </c>
      <c r="AG8" s="10">
        <f t="shared" si="0"/>
        <v>0</v>
      </c>
      <c r="AH8" s="10">
        <f t="shared" si="0"/>
        <v>0</v>
      </c>
      <c r="AI8" s="10">
        <f t="shared" si="0"/>
        <v>0</v>
      </c>
      <c r="AJ8" s="10">
        <f t="shared" si="0"/>
        <v>0</v>
      </c>
      <c r="AK8" s="2"/>
    </row>
    <row r="9" spans="1:37" ht="15.95" customHeight="1" x14ac:dyDescent="0.3">
      <c r="A9" s="391"/>
      <c r="B9" s="51" t="s">
        <v>228</v>
      </c>
      <c r="C9" s="9" t="s">
        <v>225</v>
      </c>
      <c r="D9" s="47" t="s">
        <v>0</v>
      </c>
      <c r="E9" s="9"/>
      <c r="F9" s="10">
        <f>IF(F4&gt;Input_Output!$F$37+Input_Output!$F$12-1,0,IF(FullLoadHours&gt;MaxFullLoadHrs,(MaxFullLoadHrs/FullLoadHours)*F6,F6))</f>
        <v>3065920000</v>
      </c>
      <c r="G9" s="10">
        <f>IF(G4&gt;Input_Output!$F$37+Input_Output!$F$12-1,0,IF(FullLoadHours&gt;MaxFullLoadHrs,(MaxFullLoadHrs/FullLoadHours)*G6,G6))</f>
        <v>3065920000</v>
      </c>
      <c r="H9" s="10">
        <f>IF(H4&gt;Input_Output!$F$37+Input_Output!$F$12-1,0,IF(FullLoadHours&gt;MaxFullLoadHrs,(MaxFullLoadHrs/FullLoadHours)*H6,H6))</f>
        <v>3065920000</v>
      </c>
      <c r="I9" s="10">
        <f>IF(I4&gt;Input_Output!$F$37+Input_Output!$F$12-1,0,IF(FullLoadHours&gt;MaxFullLoadHrs,(MaxFullLoadHrs/FullLoadHours)*I6,I6))</f>
        <v>3065920000</v>
      </c>
      <c r="J9" s="10">
        <f>IF(J4&gt;Input_Output!$F$37+Input_Output!$F$12-1,0,IF(FullLoadHours&gt;MaxFullLoadHrs,(MaxFullLoadHrs/FullLoadHours)*J6,J6))</f>
        <v>3065920000</v>
      </c>
      <c r="K9" s="10">
        <f>IF(K4&gt;Input_Output!$F$37+Input_Output!$F$12-1,0,IF(FullLoadHours&gt;MaxFullLoadHrs,(MaxFullLoadHrs/FullLoadHours)*K6,K6))</f>
        <v>3065920000</v>
      </c>
      <c r="L9" s="10">
        <f>IF(L4&gt;Input_Output!$F$37+Input_Output!$F$12-1,0,IF(FullLoadHours&gt;MaxFullLoadHrs,(MaxFullLoadHrs/FullLoadHours)*L6,L6))</f>
        <v>3065920000</v>
      </c>
      <c r="M9" s="10">
        <f>IF(M4&gt;Input_Output!$F$37+Input_Output!$F$12-1,0,IF(FullLoadHours&gt;MaxFullLoadHrs,(MaxFullLoadHrs/FullLoadHours)*M6,M6))</f>
        <v>3065920000</v>
      </c>
      <c r="N9" s="10">
        <f>IF(N4&gt;Input_Output!$F$37+Input_Output!$F$12-1,0,IF(FullLoadHours&gt;MaxFullLoadHrs,(MaxFullLoadHrs/FullLoadHours)*N6,N6))</f>
        <v>3065920000</v>
      </c>
      <c r="O9" s="10">
        <f>IF(O4&gt;Input_Output!$F$37+Input_Output!$F$12-1,0,IF(FullLoadHours&gt;MaxFullLoadHrs,(MaxFullLoadHrs/FullLoadHours)*O6,O6))</f>
        <v>3065920000</v>
      </c>
      <c r="P9" s="10">
        <f>IF(P4&gt;Input_Output!$F$37+Input_Output!$F$12-1,0,IF(FullLoadHours&gt;MaxFullLoadHrs,(MaxFullLoadHrs/FullLoadHours)*P6,P6))</f>
        <v>3065920000</v>
      </c>
      <c r="Q9" s="10">
        <f>IF(Q4&gt;Input_Output!$F$37+Input_Output!$F$12-1,0,IF(FullLoadHours&gt;MaxFullLoadHrs,(MaxFullLoadHrs/FullLoadHours)*Q6,Q6))</f>
        <v>3065920000</v>
      </c>
      <c r="R9" s="10">
        <f>IF(R4&gt;Input_Output!$F$37+Input_Output!$F$12-1,0,IF(FullLoadHours&gt;MaxFullLoadHrs,(MaxFullLoadHrs/FullLoadHours)*R6,R6))</f>
        <v>3065920000</v>
      </c>
      <c r="S9" s="10">
        <f>IF(S4&gt;Input_Output!$F$37+Input_Output!$F$12-1,0,IF(FullLoadHours&gt;MaxFullLoadHrs,(MaxFullLoadHrs/FullLoadHours)*S6,S6))</f>
        <v>3065920000</v>
      </c>
      <c r="T9" s="10">
        <f>IF(T4&gt;Input_Output!$F$37+Input_Output!$F$12-1,0,IF(FullLoadHours&gt;MaxFullLoadHrs,(MaxFullLoadHrs/FullLoadHours)*T6,T6))</f>
        <v>3065920000</v>
      </c>
      <c r="U9" s="10">
        <f>IF(U4&gt;Input_Output!$F$37+Input_Output!$F$12-1,0,IF(FullLoadHours&gt;MaxFullLoadHrs,(MaxFullLoadHrs/FullLoadHours)*U6,U6))</f>
        <v>0</v>
      </c>
      <c r="V9" s="10">
        <f>IF(V4&gt;Input_Output!$F$37+Input_Output!$F$12-1,0,IF(FullLoadHours&gt;MaxFullLoadHrs,(MaxFullLoadHrs/FullLoadHours)*V6,V6))</f>
        <v>0</v>
      </c>
      <c r="W9" s="10">
        <f>IF(W4&gt;Input_Output!$F$37+Input_Output!$F$12-1,0,IF(FullLoadHours&gt;MaxFullLoadHrs,(MaxFullLoadHrs/FullLoadHours)*W6,W6))</f>
        <v>0</v>
      </c>
      <c r="X9" s="10">
        <f>IF(X4&gt;Input_Output!$F$37+Input_Output!$F$12-1,0,IF(FullLoadHours&gt;MaxFullLoadHrs,(MaxFullLoadHrs/FullLoadHours)*X6,X6))</f>
        <v>0</v>
      </c>
      <c r="Y9" s="10">
        <f>IF(Y4&gt;Input_Output!$F$37+Input_Output!$F$12-1,0,IF(FullLoadHours&gt;MaxFullLoadHrs,(MaxFullLoadHrs/FullLoadHours)*Y6,Y6))</f>
        <v>0</v>
      </c>
      <c r="Z9" s="10">
        <f>IF(Z4&gt;Input_Output!$F$37+Input_Output!$F$12-1,0,IF(FullLoadHours&gt;MaxFullLoadHrs,(MaxFullLoadHrs/FullLoadHours)*Z6,Z6))</f>
        <v>0</v>
      </c>
      <c r="AA9" s="10">
        <f>IF(AA4&gt;Input_Output!$F$37+Input_Output!$F$12-1,0,IF(FullLoadHours&gt;MaxFullLoadHrs,(MaxFullLoadHrs/FullLoadHours)*AA6,AA6))</f>
        <v>0</v>
      </c>
      <c r="AB9" s="10">
        <f>IF(AB4&gt;Input_Output!$F$37+Input_Output!$F$12-1,0,IF(FullLoadHours&gt;MaxFullLoadHrs,(MaxFullLoadHrs/FullLoadHours)*AB6,AB6))</f>
        <v>0</v>
      </c>
      <c r="AC9" s="10">
        <f>IF(AC4&gt;Input_Output!$F$37+Input_Output!$F$12-1,0,IF(FullLoadHours&gt;MaxFullLoadHrs,(MaxFullLoadHrs/FullLoadHours)*AC6,AC6))</f>
        <v>0</v>
      </c>
      <c r="AD9" s="10">
        <f>IF(AD4&gt;Input_Output!$F$37+Input_Output!$F$12-1,0,IF(FullLoadHours&gt;MaxFullLoadHrs,(MaxFullLoadHrs/FullLoadHours)*AD6,AD6))</f>
        <v>0</v>
      </c>
      <c r="AE9" s="10">
        <f>IF(AE4&gt;Input_Output!$F$37+Input_Output!$F$12-1,0,IF(FullLoadHours&gt;MaxFullLoadHrs,(MaxFullLoadHrs/FullLoadHours)*AE6,AE6))</f>
        <v>0</v>
      </c>
      <c r="AF9" s="10">
        <f>IF(AF4&gt;Input_Output!$F$37+Input_Output!$F$12-1,0,IF(FullLoadHours&gt;MaxFullLoadHrs,(MaxFullLoadHrs/FullLoadHours)*AF6,AF6))</f>
        <v>0</v>
      </c>
      <c r="AG9" s="10">
        <f>IF(AG4&gt;Input_Output!$F$37+Input_Output!$F$12-1,0,IF(FullLoadHours&gt;MaxFullLoadHrs,(MaxFullLoadHrs/FullLoadHours)*AG6,AG6))</f>
        <v>0</v>
      </c>
      <c r="AH9" s="10">
        <f>IF(AH4&gt;Input_Output!$F$37+Input_Output!$F$12-1,0,IF(FullLoadHours&gt;MaxFullLoadHrs,(MaxFullLoadHrs/FullLoadHours)*AH6,AH6))</f>
        <v>0</v>
      </c>
      <c r="AI9" s="10">
        <f>IF(AI4&gt;Input_Output!$F$37+Input_Output!$F$12-1,0,IF(FullLoadHours&gt;MaxFullLoadHrs,(MaxFullLoadHrs/FullLoadHours)*AI6,AI6))</f>
        <v>0</v>
      </c>
      <c r="AJ9" s="10">
        <f>IF(AJ4&gt;Input_Output!$F$37+Input_Output!$F$12-1,0,IF(FullLoadHours&gt;MaxFullLoadHrs,(MaxFullLoadHrs/FullLoadHours)*AJ6,AJ6))</f>
        <v>0</v>
      </c>
      <c r="AK9" s="2"/>
    </row>
    <row r="10" spans="1:37" ht="15.95" customHeight="1" x14ac:dyDescent="0.3">
      <c r="A10" s="391"/>
      <c r="B10" s="51" t="s">
        <v>229</v>
      </c>
      <c r="C10" s="9" t="s">
        <v>226</v>
      </c>
      <c r="D10" s="47"/>
      <c r="E10" s="9"/>
      <c r="F10" s="10">
        <f>IF(F4&gt;Input_Output!$F$37+Input_Output!$F$14-1,0,IF(FullLoadHours&gt;MaxFullLoadHrs,(MaxFullLoadHrs/FullLoadHours)*F7,F7))</f>
        <v>0</v>
      </c>
      <c r="G10" s="10">
        <f>IF(G4&gt;Input_Output!$F$37+Input_Output!$F$14-1,0,IF(FullLoadHours&gt;MaxFullLoadHrs,(MaxFullLoadHrs/FullLoadHours)*G7,G7))</f>
        <v>0</v>
      </c>
      <c r="H10" s="10">
        <f>IF(H4&gt;Input_Output!$F$37+Input_Output!$F$14-1,0,IF(FullLoadHours&gt;MaxFullLoadHrs,(MaxFullLoadHrs/FullLoadHours)*H7,H7))</f>
        <v>0</v>
      </c>
      <c r="I10" s="10">
        <f>IF(I4&gt;Input_Output!$F$37+Input_Output!$F$14-1,0,IF(FullLoadHours&gt;MaxFullLoadHrs,(MaxFullLoadHrs/FullLoadHours)*I7,I7))</f>
        <v>0</v>
      </c>
      <c r="J10" s="10">
        <f>IF(J4&gt;Input_Output!$F$37+Input_Output!$F$14-1,0,IF(FullLoadHours&gt;MaxFullLoadHrs,(MaxFullLoadHrs/FullLoadHours)*J7,J7))</f>
        <v>0</v>
      </c>
      <c r="K10" s="10">
        <f>IF(K4&gt;Input_Output!$F$37+Input_Output!$F$14-1,0,IF(FullLoadHours&gt;MaxFullLoadHrs,(MaxFullLoadHrs/FullLoadHours)*K7,K7))</f>
        <v>0</v>
      </c>
      <c r="L10" s="10">
        <f>IF(L4&gt;Input_Output!$F$37+Input_Output!$F$14-1,0,IF(FullLoadHours&gt;MaxFullLoadHrs,(MaxFullLoadHrs/FullLoadHours)*L7,L7))</f>
        <v>0</v>
      </c>
      <c r="M10" s="10">
        <f>IF(M4&gt;Input_Output!$F$37+Input_Output!$F$14-1,0,IF(FullLoadHours&gt;MaxFullLoadHrs,(MaxFullLoadHrs/FullLoadHours)*M7,M7))</f>
        <v>0</v>
      </c>
      <c r="N10" s="10">
        <f>IF(N4&gt;Input_Output!$F$37+Input_Output!$F$14-1,0,IF(FullLoadHours&gt;MaxFullLoadHrs,(MaxFullLoadHrs/FullLoadHours)*N7,N7))</f>
        <v>0</v>
      </c>
      <c r="O10" s="10">
        <f>IF(O4&gt;Input_Output!$F$37+Input_Output!$F$14-1,0,IF(FullLoadHours&gt;MaxFullLoadHrs,(MaxFullLoadHrs/FullLoadHours)*O7,O7))</f>
        <v>0</v>
      </c>
      <c r="P10" s="10">
        <f>IF(P4&gt;Input_Output!$F$37+Input_Output!$F$14-1,0,IF(FullLoadHours&gt;MaxFullLoadHrs,(MaxFullLoadHrs/FullLoadHours)*P7,P7))</f>
        <v>0</v>
      </c>
      <c r="Q10" s="10">
        <f>IF(Q4&gt;Input_Output!$F$37+Input_Output!$F$14-1,0,IF(FullLoadHours&gt;MaxFullLoadHrs,(MaxFullLoadHrs/FullLoadHours)*Q7,Q7))</f>
        <v>0</v>
      </c>
      <c r="R10" s="10">
        <f>IF(R4&gt;Input_Output!$F$37+Input_Output!$F$14-1,0,IF(FullLoadHours&gt;MaxFullLoadHrs,(MaxFullLoadHrs/FullLoadHours)*R7,R7))</f>
        <v>0</v>
      </c>
      <c r="S10" s="10">
        <f>IF(S4&gt;Input_Output!$F$37+Input_Output!$F$14-1,0,IF(FullLoadHours&gt;MaxFullLoadHrs,(MaxFullLoadHrs/FullLoadHours)*S7,S7))</f>
        <v>0</v>
      </c>
      <c r="T10" s="10">
        <f>IF(T4&gt;Input_Output!$F$37+Input_Output!$F$14-1,0,IF(FullLoadHours&gt;MaxFullLoadHrs,(MaxFullLoadHrs/FullLoadHours)*T7,T7))</f>
        <v>0</v>
      </c>
      <c r="U10" s="10">
        <f>IF(U4&gt;Input_Output!$F$37+Input_Output!$F$14-1,0,IF(FullLoadHours&gt;MaxFullLoadHrs,(MaxFullLoadHrs/FullLoadHours)*U7,U7))</f>
        <v>0</v>
      </c>
      <c r="V10" s="10">
        <f>IF(V4&gt;Input_Output!$F$37+Input_Output!$F$14-1,0,IF(FullLoadHours&gt;MaxFullLoadHrs,(MaxFullLoadHrs/FullLoadHours)*V7,V7))</f>
        <v>0</v>
      </c>
      <c r="W10" s="10">
        <f>IF(W4&gt;Input_Output!$F$37+Input_Output!$F$14-1,0,IF(FullLoadHours&gt;MaxFullLoadHrs,(MaxFullLoadHrs/FullLoadHours)*W7,W7))</f>
        <v>0</v>
      </c>
      <c r="X10" s="10">
        <f>IF(X4&gt;Input_Output!$F$37+Input_Output!$F$14-1,0,IF(FullLoadHours&gt;MaxFullLoadHrs,(MaxFullLoadHrs/FullLoadHours)*X7,X7))</f>
        <v>0</v>
      </c>
      <c r="Y10" s="10">
        <f>IF(Y4&gt;Input_Output!$F$37+Input_Output!$F$14-1,0,IF(FullLoadHours&gt;MaxFullLoadHrs,(MaxFullLoadHrs/FullLoadHours)*Y7,Y7))</f>
        <v>0</v>
      </c>
      <c r="Z10" s="10">
        <f>IF(Z4&gt;Input_Output!$F$37+Input_Output!$F$14-1,0,IF(FullLoadHours&gt;MaxFullLoadHrs,(MaxFullLoadHrs/FullLoadHours)*Z7,Z7))</f>
        <v>0</v>
      </c>
      <c r="AA10" s="10">
        <f>IF(AA4&gt;Input_Output!$F$37+Input_Output!$F$14-1,0,IF(FullLoadHours&gt;MaxFullLoadHrs,(MaxFullLoadHrs/FullLoadHours)*AA7,AA7))</f>
        <v>0</v>
      </c>
      <c r="AB10" s="10">
        <f>IF(AB4&gt;Input_Output!$F$37+Input_Output!$F$14-1,0,IF(FullLoadHours&gt;MaxFullLoadHrs,(MaxFullLoadHrs/FullLoadHours)*AB7,AB7))</f>
        <v>0</v>
      </c>
      <c r="AC10" s="10">
        <f>IF(AC4&gt;Input_Output!$F$37+Input_Output!$F$14-1,0,IF(FullLoadHours&gt;MaxFullLoadHrs,(MaxFullLoadHrs/FullLoadHours)*AC7,AC7))</f>
        <v>0</v>
      </c>
      <c r="AD10" s="10">
        <f>IF(AD4&gt;Input_Output!$F$37+Input_Output!$F$14-1,0,IF(FullLoadHours&gt;MaxFullLoadHrs,(MaxFullLoadHrs/FullLoadHours)*AD7,AD7))</f>
        <v>0</v>
      </c>
      <c r="AE10" s="10">
        <f>IF(AE4&gt;Input_Output!$F$37+Input_Output!$F$14-1,0,IF(FullLoadHours&gt;MaxFullLoadHrs,(MaxFullLoadHrs/FullLoadHours)*AE7,AE7))</f>
        <v>0</v>
      </c>
      <c r="AF10" s="10">
        <f>IF(AF4&gt;Input_Output!$F$37+Input_Output!$F$14-1,0,IF(FullLoadHours&gt;MaxFullLoadHrs,(MaxFullLoadHrs/FullLoadHours)*AF7,AF7))</f>
        <v>0</v>
      </c>
      <c r="AG10" s="10">
        <f>IF(AG4&gt;Input_Output!$F$37+Input_Output!$F$14-1,0,IF(FullLoadHours&gt;MaxFullLoadHrs,(MaxFullLoadHrs/FullLoadHours)*AG7,AG7))</f>
        <v>0</v>
      </c>
      <c r="AH10" s="10">
        <f>IF(AH4&gt;Input_Output!$F$37+Input_Output!$F$14-1,0,IF(FullLoadHours&gt;MaxFullLoadHrs,(MaxFullLoadHrs/FullLoadHours)*AH7,AH7))</f>
        <v>0</v>
      </c>
      <c r="AI10" s="10">
        <f>IF(AI4&gt;Input_Output!$F$37+Input_Output!$F$14-1,0,IF(FullLoadHours&gt;MaxFullLoadHrs,(MaxFullLoadHrs/FullLoadHours)*AI7,AI7))</f>
        <v>0</v>
      </c>
      <c r="AJ10" s="10">
        <f>IF(AJ4&gt;Input_Output!$F$37+Input_Output!$F$14-1,0,IF(FullLoadHours&gt;MaxFullLoadHrs,(MaxFullLoadHrs/FullLoadHours)*AJ7,AJ7))</f>
        <v>0</v>
      </c>
      <c r="AK10" s="2"/>
    </row>
    <row r="11" spans="1:37" ht="15.95" customHeight="1" x14ac:dyDescent="0.3">
      <c r="A11" s="391"/>
      <c r="B11" s="51" t="s">
        <v>231</v>
      </c>
      <c r="C11" s="9" t="s">
        <v>224</v>
      </c>
      <c r="D11" s="47" t="s">
        <v>0</v>
      </c>
      <c r="E11" s="9"/>
      <c r="F11" s="81">
        <f>(F6-F9)+(F7-F10)</f>
        <v>0</v>
      </c>
      <c r="G11" s="81">
        <f t="shared" ref="G11:AJ11" si="1">(G6-G9)+(G7-G10)</f>
        <v>0</v>
      </c>
      <c r="H11" s="81">
        <f t="shared" si="1"/>
        <v>0</v>
      </c>
      <c r="I11" s="81">
        <f t="shared" si="1"/>
        <v>0</v>
      </c>
      <c r="J11" s="81">
        <f t="shared" si="1"/>
        <v>0</v>
      </c>
      <c r="K11" s="81">
        <f t="shared" si="1"/>
        <v>0</v>
      </c>
      <c r="L11" s="81">
        <f t="shared" si="1"/>
        <v>0</v>
      </c>
      <c r="M11" s="81">
        <f t="shared" si="1"/>
        <v>0</v>
      </c>
      <c r="N11" s="81">
        <f t="shared" si="1"/>
        <v>0</v>
      </c>
      <c r="O11" s="81">
        <f t="shared" si="1"/>
        <v>0</v>
      </c>
      <c r="P11" s="81">
        <f t="shared" si="1"/>
        <v>0</v>
      </c>
      <c r="Q11" s="81">
        <f t="shared" si="1"/>
        <v>0</v>
      </c>
      <c r="R11" s="81">
        <f t="shared" si="1"/>
        <v>0</v>
      </c>
      <c r="S11" s="81">
        <f t="shared" si="1"/>
        <v>0</v>
      </c>
      <c r="T11" s="81">
        <f t="shared" si="1"/>
        <v>0</v>
      </c>
      <c r="U11" s="81">
        <f t="shared" si="1"/>
        <v>3065920000</v>
      </c>
      <c r="V11" s="81">
        <f t="shared" si="1"/>
        <v>3065920000</v>
      </c>
      <c r="W11" s="81">
        <f t="shared" si="1"/>
        <v>3065920000</v>
      </c>
      <c r="X11" s="81">
        <f t="shared" si="1"/>
        <v>3065920000</v>
      </c>
      <c r="Y11" s="81">
        <f t="shared" si="1"/>
        <v>3065920000</v>
      </c>
      <c r="Z11" s="81">
        <f t="shared" si="1"/>
        <v>3065920000</v>
      </c>
      <c r="AA11" s="81">
        <f t="shared" si="1"/>
        <v>3065920000</v>
      </c>
      <c r="AB11" s="81">
        <f t="shared" si="1"/>
        <v>3065920000</v>
      </c>
      <c r="AC11" s="81">
        <f t="shared" si="1"/>
        <v>3065920000</v>
      </c>
      <c r="AD11" s="81">
        <f t="shared" si="1"/>
        <v>3065920000</v>
      </c>
      <c r="AE11" s="81">
        <f t="shared" si="1"/>
        <v>0</v>
      </c>
      <c r="AF11" s="81">
        <f t="shared" si="1"/>
        <v>0</v>
      </c>
      <c r="AG11" s="81">
        <f t="shared" si="1"/>
        <v>0</v>
      </c>
      <c r="AH11" s="81">
        <f t="shared" si="1"/>
        <v>0</v>
      </c>
      <c r="AI11" s="81">
        <f t="shared" si="1"/>
        <v>0</v>
      </c>
      <c r="AJ11" s="81">
        <f t="shared" si="1"/>
        <v>0</v>
      </c>
      <c r="AK11" s="2"/>
    </row>
    <row r="12" spans="1:37" s="399" customFormat="1" ht="15.95" customHeight="1" x14ac:dyDescent="0.3">
      <c r="A12" s="395"/>
      <c r="B12" s="396" t="s">
        <v>232</v>
      </c>
      <c r="C12" s="397" t="s">
        <v>45</v>
      </c>
      <c r="D12" s="398" t="s">
        <v>18</v>
      </c>
      <c r="E12" s="397"/>
      <c r="F12" s="10">
        <f>('Year dependent'!O29)*F11</f>
        <v>0</v>
      </c>
      <c r="G12" s="10">
        <f>('Year dependent'!P29)*G11</f>
        <v>0</v>
      </c>
      <c r="H12" s="10">
        <f>('Year dependent'!Q29)*H11</f>
        <v>0</v>
      </c>
      <c r="I12" s="10">
        <f>('Year dependent'!R29)*I11</f>
        <v>0</v>
      </c>
      <c r="J12" s="10">
        <f>('Year dependent'!S29)*J11</f>
        <v>0</v>
      </c>
      <c r="K12" s="10">
        <f>('Year dependent'!T29)*K11</f>
        <v>0</v>
      </c>
      <c r="L12" s="10">
        <f>('Year dependent'!U29)*L11</f>
        <v>0</v>
      </c>
      <c r="M12" s="10">
        <f>('Year dependent'!V29)*M11</f>
        <v>0</v>
      </c>
      <c r="N12" s="10">
        <f>('Year dependent'!W29)*N11</f>
        <v>0</v>
      </c>
      <c r="O12" s="10">
        <f>('Year dependent'!X29)*O11</f>
        <v>0</v>
      </c>
      <c r="P12" s="10">
        <f>('Year dependent'!Y29)*P11</f>
        <v>0</v>
      </c>
      <c r="Q12" s="10">
        <f>('Year dependent'!Z29)*Q11</f>
        <v>0</v>
      </c>
      <c r="R12" s="10">
        <f>('Year dependent'!AA29)*R11</f>
        <v>0</v>
      </c>
      <c r="S12" s="10">
        <f>('Year dependent'!AB29)*S11</f>
        <v>0</v>
      </c>
      <c r="T12" s="10">
        <f>('Year dependent'!AC29)*T11</f>
        <v>0</v>
      </c>
      <c r="U12" s="10">
        <f>('Year dependent'!AD29)*U11</f>
        <v>105467648</v>
      </c>
      <c r="V12" s="10">
        <f>('Year dependent'!AE29)*V11</f>
        <v>105467648</v>
      </c>
      <c r="W12" s="10">
        <f>('Year dependent'!AF29)*W11</f>
        <v>105161055.99999999</v>
      </c>
      <c r="X12" s="10">
        <f>('Year dependent'!AG29)*X11</f>
        <v>104854464</v>
      </c>
      <c r="Y12" s="10">
        <f>('Year dependent'!AH29)*Y11</f>
        <v>104547872</v>
      </c>
      <c r="Z12" s="10">
        <f>('Year dependent'!AI29)*Z11</f>
        <v>104547872</v>
      </c>
      <c r="AA12" s="10">
        <f>('Year dependent'!AJ29)*AA11</f>
        <v>104241280.00000001</v>
      </c>
      <c r="AB12" s="10">
        <f>('Year dependent'!AK29)*AB11</f>
        <v>103934688</v>
      </c>
      <c r="AC12" s="10">
        <f>('Year dependent'!AL29)*AC11</f>
        <v>103934688</v>
      </c>
      <c r="AD12" s="10">
        <f>('Year dependent'!AM29)*AD11</f>
        <v>102708320</v>
      </c>
      <c r="AE12" s="10">
        <f>(Input_Output!$F$20*Input_Output!AF$20-Input_Output!$F$21*Input_Output!AF$21)*AE11</f>
        <v>0</v>
      </c>
      <c r="AF12" s="10">
        <f>(Input_Output!$F$20*Input_Output!AG$20-Input_Output!$F$21*Input_Output!AG$21)*AF11</f>
        <v>0</v>
      </c>
      <c r="AG12" s="10">
        <f>(Input_Output!$F$20*Input_Output!AH$20-Input_Output!$F$21*Input_Output!AH$21)*AG11</f>
        <v>0</v>
      </c>
      <c r="AH12" s="10">
        <f>(Input_Output!$F$20*Input_Output!AI$20-Input_Output!$F$21*Input_Output!AI$21)*AH11</f>
        <v>0</v>
      </c>
      <c r="AI12" s="10">
        <f>(Input_Output!$F$20*Input_Output!AJ$20-Input_Output!$F$21*Input_Output!AJ$21)*AI11</f>
        <v>0</v>
      </c>
      <c r="AJ12" s="10">
        <f>(Input_Output!$F$20*Input_Output!AK$20-Input_Output!$F$21*Input_Output!AK$21)*AJ11</f>
        <v>0</v>
      </c>
    </row>
    <row r="13" spans="1:37" ht="15.95" customHeight="1" x14ac:dyDescent="0.2">
      <c r="A13" s="392" t="s">
        <v>64</v>
      </c>
      <c r="B13" s="393"/>
      <c r="C13" s="58" t="s">
        <v>86</v>
      </c>
      <c r="D13" s="85" t="s">
        <v>18</v>
      </c>
      <c r="E13" s="58"/>
      <c r="F13" s="81">
        <f>POWER(1+Input_Output!$F$28,F4-$F$4)*F12</f>
        <v>0</v>
      </c>
      <c r="G13" s="81">
        <f>POWER(1+Input_Output!$F$28,G4-$F$4)*G12</f>
        <v>0</v>
      </c>
      <c r="H13" s="81">
        <f>POWER(1+Input_Output!$F$28,H4-$F$4)*H12</f>
        <v>0</v>
      </c>
      <c r="I13" s="81">
        <f>POWER(1+Input_Output!$F$28,I4-$F$4)*I12</f>
        <v>0</v>
      </c>
      <c r="J13" s="81">
        <f>POWER(1+Input_Output!$F$28,J4-$F$4)*J12</f>
        <v>0</v>
      </c>
      <c r="K13" s="81">
        <f>POWER(1+Input_Output!$F$28,K4-$F$4)*K12</f>
        <v>0</v>
      </c>
      <c r="L13" s="81">
        <f>POWER(1+Input_Output!$F$28,L4-$F$4)*L12</f>
        <v>0</v>
      </c>
      <c r="M13" s="81">
        <f>POWER(1+Input_Output!$F$28,M4-$F$4)*M12</f>
        <v>0</v>
      </c>
      <c r="N13" s="81">
        <f>POWER(1+Input_Output!$F$28,N4-$F$4)*N12</f>
        <v>0</v>
      </c>
      <c r="O13" s="81">
        <f>POWER(1+Input_Output!$F$28,O4-$F$4)*O12</f>
        <v>0</v>
      </c>
      <c r="P13" s="81">
        <f>POWER(1+Input_Output!$F$28,P4-$F$4)*P12</f>
        <v>0</v>
      </c>
      <c r="Q13" s="81">
        <f>POWER(1+Input_Output!$F$28,Q4-$F$4)*Q12</f>
        <v>0</v>
      </c>
      <c r="R13" s="81">
        <f>POWER(1+Input_Output!$F$28,R4-$F$4)*R12</f>
        <v>0</v>
      </c>
      <c r="S13" s="81">
        <f>POWER(1+Input_Output!$F$28,S4-$F$4)*S12</f>
        <v>0</v>
      </c>
      <c r="T13" s="81">
        <f>POWER(1+Input_Output!$F$28,T4-$F$4)*T12</f>
        <v>0</v>
      </c>
      <c r="U13" s="81">
        <f>POWER(1+Input_Output!$F$28,U4-$F$4)*U12</f>
        <v>141945568.16071418</v>
      </c>
      <c r="V13" s="81">
        <f>POWER(1+Input_Output!$F$28,V4-$F$4)*V12</f>
        <v>144784479.52392849</v>
      </c>
      <c r="W13" s="81">
        <f>POWER(1+Input_Output!$F$28,W4-$F$4)*W12</f>
        <v>147250866.297214</v>
      </c>
      <c r="X13" s="81">
        <f>POWER(1+Input_Output!$F$28,X4-$F$4)*X12</f>
        <v>149757994.74962136</v>
      </c>
      <c r="Y13" s="81">
        <f>POWER(1+Input_Output!$F$28,Y4-$F$4)*Y12</f>
        <v>152306507.99360615</v>
      </c>
      <c r="Z13" s="81">
        <f>POWER(1+Input_Output!$F$28,Z4-$F$4)*Z12</f>
        <v>155352638.15347829</v>
      </c>
      <c r="AA13" s="81">
        <f>POWER(1+Input_Output!$F$28,AA4-$F$4)*AA12</f>
        <v>157994999.74083951</v>
      </c>
      <c r="AB13" s="81">
        <f>POWER(1+Input_Output!$F$28,AB4-$F$4)*AB12</f>
        <v>160680914.73643377</v>
      </c>
      <c r="AC13" s="81">
        <f>POWER(1+Input_Output!$F$28,AC4-$F$4)*AC12</f>
        <v>163894533.03116241</v>
      </c>
      <c r="AD13" s="81">
        <f>POWER(1+Input_Output!$F$28,AD4-$F$4)*AD12</f>
        <v>165199887.71902123</v>
      </c>
      <c r="AE13" s="81">
        <f>POWER(1+Input_Output!$F$28,AE4-$F$4)*AE12</f>
        <v>0</v>
      </c>
      <c r="AF13" s="81">
        <f>POWER(1+Input_Output!$F$28,AF4-$F$4)*AF12</f>
        <v>0</v>
      </c>
      <c r="AG13" s="81">
        <f>POWER(1+Input_Output!$F$28,AG4-$F$4)*AG12</f>
        <v>0</v>
      </c>
      <c r="AH13" s="81">
        <f>POWER(1+Input_Output!$F$28,AH4-$F$4)*AH12</f>
        <v>0</v>
      </c>
      <c r="AI13" s="81">
        <f>POWER(1+Input_Output!$F$28,AI4-$F$4)*AI12</f>
        <v>0</v>
      </c>
      <c r="AJ13" s="81">
        <f>POWER(1+Input_Output!$F$28,AJ4-$F$4)*AJ12</f>
        <v>0</v>
      </c>
      <c r="AK13" s="2"/>
    </row>
    <row r="14" spans="1:37" ht="15.95" customHeight="1" x14ac:dyDescent="0.3">
      <c r="A14" s="391"/>
      <c r="B14" s="51" t="s">
        <v>193</v>
      </c>
      <c r="C14" s="9" t="s">
        <v>191</v>
      </c>
      <c r="D14" s="47" t="s">
        <v>18</v>
      </c>
      <c r="E14" s="9"/>
      <c r="F14" s="10">
        <f>IF(OR(F4&gt;Input_Output!$F$6+Input_Output!$F$12-1,F4&lt;Input_Output!$F$12,F4&gt;LicencePeriod),0,-Input_Output!$F$11*Input_Output!$F$17*Input_Output!$F$4*Input_Output!G$17)</f>
        <v>-28934400</v>
      </c>
      <c r="G14" s="10">
        <f>IF(OR(G4&gt;Input_Output!$F$6+Input_Output!$F$12-1,G4&lt;Input_Output!$F$12,G4&gt;LicencePeriod),0,-Input_Output!$F$11*Input_Output!$F$17*Input_Output!$F$4*Input_Output!H$17)</f>
        <v>-28934400</v>
      </c>
      <c r="H14" s="10">
        <f>IF(OR(H4&gt;Input_Output!$F$6+Input_Output!$F$12-1,H4&lt;Input_Output!$F$12,H4&gt;LicencePeriod),0,-Input_Output!$F$11*Input_Output!$F$17*Input_Output!$F$4*Input_Output!I$17)</f>
        <v>-28934400</v>
      </c>
      <c r="I14" s="10">
        <f>IF(OR(I4&gt;Input_Output!$F$6+Input_Output!$F$12-1,I4&lt;Input_Output!$F$12,I4&gt;LicencePeriod),0,-Input_Output!$F$11*Input_Output!$F$17*Input_Output!$F$4*Input_Output!J$17)</f>
        <v>-28934400</v>
      </c>
      <c r="J14" s="10">
        <f>IF(OR(J4&gt;Input_Output!$F$6+Input_Output!$F$12-1,J4&lt;Input_Output!$F$12,J4&gt;LicencePeriod),0,-Input_Output!$F$11*Input_Output!$F$17*Input_Output!$F$4*Input_Output!K$17)</f>
        <v>-28934400</v>
      </c>
      <c r="K14" s="10">
        <f>IF(OR(K4&gt;Input_Output!$F$6+Input_Output!$F$12-1,K4&lt;Input_Output!$F$12,K4&gt;LicencePeriod),0,-Input_Output!$F$11*Input_Output!$F$17*Input_Output!$F$4*Input_Output!L$17)</f>
        <v>-28934400</v>
      </c>
      <c r="L14" s="10">
        <f>IF(OR(L4&gt;Input_Output!$F$6+Input_Output!$F$12-1,L4&lt;Input_Output!$F$12,L4&gt;LicencePeriod),0,-Input_Output!$F$11*Input_Output!$F$17*Input_Output!$F$4*Input_Output!M$17)</f>
        <v>-28934400</v>
      </c>
      <c r="M14" s="10">
        <f>IF(OR(M4&gt;Input_Output!$F$6+Input_Output!$F$12-1,M4&lt;Input_Output!$F$12,M4&gt;LicencePeriod),0,-Input_Output!$F$11*Input_Output!$F$17*Input_Output!$F$4*Input_Output!N$17)</f>
        <v>-28934400</v>
      </c>
      <c r="N14" s="10">
        <f>IF(OR(N4&gt;Input_Output!$F$6+Input_Output!$F$12-1,N4&lt;Input_Output!$F$12,N4&gt;LicencePeriod),0,-Input_Output!$F$11*Input_Output!$F$17*Input_Output!$F$4*Input_Output!O$17)</f>
        <v>-28934400</v>
      </c>
      <c r="O14" s="10">
        <f>IF(OR(O4&gt;Input_Output!$F$6+Input_Output!$F$12-1,O4&lt;Input_Output!$F$12,O4&gt;LicencePeriod),0,-Input_Output!$F$11*Input_Output!$F$17*Input_Output!$F$4*Input_Output!P$17)</f>
        <v>-28934400</v>
      </c>
      <c r="P14" s="10">
        <f>IF(OR(P4&gt;Input_Output!$F$6+Input_Output!$F$12-1,P4&lt;Input_Output!$F$12,P4&gt;LicencePeriod),0,-Input_Output!$F$11*Input_Output!$F$17*Input_Output!$F$4*Input_Output!Q$17)</f>
        <v>-28934400</v>
      </c>
      <c r="Q14" s="10">
        <f>IF(OR(Q4&gt;Input_Output!$F$6+Input_Output!$F$12-1,Q4&lt;Input_Output!$F$12,Q4&gt;LicencePeriod),0,-Input_Output!$F$11*Input_Output!$F$17*Input_Output!$F$4*Input_Output!R$17)</f>
        <v>-28934400</v>
      </c>
      <c r="R14" s="10">
        <f>IF(OR(R4&gt;Input_Output!$F$6+Input_Output!$F$12-1,R4&lt;Input_Output!$F$12,R4&gt;LicencePeriod),0,-Input_Output!$F$11*Input_Output!$F$17*Input_Output!$F$4*Input_Output!S$17)</f>
        <v>-28934400</v>
      </c>
      <c r="S14" s="10">
        <f>IF(OR(S4&gt;Input_Output!$F$6+Input_Output!$F$12-1,S4&lt;Input_Output!$F$12,S4&gt;LicencePeriod),0,-Input_Output!$F$11*Input_Output!$F$17*Input_Output!$F$4*Input_Output!T$17)</f>
        <v>-28934400</v>
      </c>
      <c r="T14" s="10">
        <f>IF(OR(T4&gt;Input_Output!$F$6+Input_Output!$F$12-1,T4&lt;Input_Output!$F$12,T4&gt;LicencePeriod),0,-Input_Output!$F$11*Input_Output!$F$17*Input_Output!$F$4*Input_Output!U$17)</f>
        <v>-28934400</v>
      </c>
      <c r="U14" s="10">
        <f>IF(OR(U4&gt;Input_Output!$F$6+Input_Output!$F$12-1,U4&lt;Input_Output!$F$12,U4&gt;LicencePeriod),0,-Input_Output!$F$11*Input_Output!$F$17*Input_Output!$F$4*Input_Output!V$17)</f>
        <v>-28934400</v>
      </c>
      <c r="V14" s="10">
        <f>IF(OR(V4&gt;Input_Output!$F$6+Input_Output!$F$12-1,V4&lt;Input_Output!$F$12,V4&gt;LicencePeriod),0,-Input_Output!$F$11*Input_Output!$F$17*Input_Output!$F$4*Input_Output!W$17)</f>
        <v>-28934400</v>
      </c>
      <c r="W14" s="10">
        <f>IF(OR(W4&gt;Input_Output!$F$6+Input_Output!$F$12-1,W4&lt;Input_Output!$F$12,W4&gt;LicencePeriod),0,-Input_Output!$F$11*Input_Output!$F$17*Input_Output!$F$4*Input_Output!X$17)</f>
        <v>-28934400</v>
      </c>
      <c r="X14" s="10">
        <f>IF(OR(X4&gt;Input_Output!$F$6+Input_Output!$F$12-1,X4&lt;Input_Output!$F$12,X4&gt;LicencePeriod),0,-Input_Output!$F$11*Input_Output!$F$17*Input_Output!$F$4*Input_Output!Y$17)</f>
        <v>-28934400</v>
      </c>
      <c r="Y14" s="10">
        <f>IF(OR(Y4&gt;Input_Output!$F$6+Input_Output!$F$12-1,Y4&lt;Input_Output!$F$12,Y4&gt;LicencePeriod),0,-Input_Output!$F$11*Input_Output!$F$17*Input_Output!$F$4*Input_Output!Z$17)</f>
        <v>-28934400</v>
      </c>
      <c r="Z14" s="10">
        <f>IF(OR(Z4&gt;Input_Output!$F$6+Input_Output!$F$12-1,Z4&lt;Input_Output!$F$12,Z4&gt;LicencePeriod),0,-Input_Output!$F$11*Input_Output!$F$17*Input_Output!$F$4*Input_Output!AA$17)</f>
        <v>-28934400</v>
      </c>
      <c r="AA14" s="10">
        <f>IF(OR(AA4&gt;Input_Output!$F$6+Input_Output!$F$12-1,AA4&lt;Input_Output!$F$12,AA4&gt;LicencePeriod),0,-Input_Output!$F$11*Input_Output!$F$17*Input_Output!$F$4*Input_Output!AB$17)</f>
        <v>-28934400</v>
      </c>
      <c r="AB14" s="10">
        <f>IF(OR(AB4&gt;Input_Output!$F$6+Input_Output!$F$12-1,AB4&lt;Input_Output!$F$12,AB4&gt;LicencePeriod),0,-Input_Output!$F$11*Input_Output!$F$17*Input_Output!$F$4*Input_Output!AC$17)</f>
        <v>-28934400</v>
      </c>
      <c r="AC14" s="10">
        <f>IF(OR(AC4&gt;Input_Output!$F$6+Input_Output!$F$12-1,AC4&lt;Input_Output!$F$12,AC4&gt;LicencePeriod),0,-Input_Output!$F$11*Input_Output!$F$17*Input_Output!$F$4*Input_Output!AD$17)</f>
        <v>-28934400</v>
      </c>
      <c r="AD14" s="10">
        <f>IF(OR(AD4&gt;Input_Output!$F$6+Input_Output!$F$12-1,AD4&lt;Input_Output!$F$12,AD4&gt;LicencePeriod),0,-Input_Output!$F$11*Input_Output!$F$17*Input_Output!$F$4*Input_Output!AE$17)</f>
        <v>-28934400</v>
      </c>
      <c r="AE14" s="10">
        <f>IF(OR(AE4&gt;Input_Output!$F$6+Input_Output!$F$12-1,AE4&lt;Input_Output!$F$12,AE4&gt;LicencePeriod),0,-Input_Output!$F$11*Input_Output!$F$17*Input_Output!$F$4*Input_Output!AF$17)</f>
        <v>0</v>
      </c>
      <c r="AF14" s="10">
        <f>IF(OR(AF4&gt;Input_Output!$F$6+Input_Output!$F$12-1,AF4&lt;Input_Output!$F$12,AF4&gt;LicencePeriod),0,-Input_Output!$F$11*Input_Output!$F$17*Input_Output!$F$4*Input_Output!AG$17)</f>
        <v>0</v>
      </c>
      <c r="AG14" s="10">
        <f>IF(OR(AG4&gt;Input_Output!$F$6+Input_Output!$F$12-1,AG4&lt;Input_Output!$F$12,AG4&gt;LicencePeriod),0,-Input_Output!$F$11*Input_Output!$F$17*Input_Output!$F$4*Input_Output!AH$17)</f>
        <v>0</v>
      </c>
      <c r="AH14" s="10">
        <f>IF(OR(AH4&gt;Input_Output!$F$6+Input_Output!$F$12-1,AH4&lt;Input_Output!$F$12,AH4&gt;LicencePeriod),0,-Input_Output!$F$11*Input_Output!$F$17*Input_Output!$F$4*Input_Output!AI$17)</f>
        <v>0</v>
      </c>
      <c r="AI14" s="10">
        <f>IF(OR(AI4&gt;Input_Output!$F$6+Input_Output!$F$12-1,AI4&lt;Input_Output!$F$12,AI4&gt;LicencePeriod),0,-Input_Output!$F$11*Input_Output!$F$17*Input_Output!$F$4*Input_Output!AJ$17)</f>
        <v>0</v>
      </c>
      <c r="AJ14" s="10">
        <f>IF(OR(AJ4&gt;Input_Output!$F$6+Input_Output!$F$12-1,AJ4&lt;Input_Output!$F$12,AJ4&gt;LicencePeriod),0,-Input_Output!$F$11*Input_Output!$F$17*Input_Output!$F$4*Input_Output!AK$17)</f>
        <v>0</v>
      </c>
      <c r="AK14" s="2"/>
    </row>
    <row r="15" spans="1:37" ht="15.95" customHeight="1" x14ac:dyDescent="0.3">
      <c r="A15" s="391"/>
      <c r="B15" s="51" t="s">
        <v>194</v>
      </c>
      <c r="C15" s="9" t="s">
        <v>192</v>
      </c>
      <c r="D15" s="47" t="s">
        <v>18</v>
      </c>
      <c r="E15" s="9"/>
      <c r="F15" s="10">
        <f>IF(OR(F4&gt;Input_Output!$F$6+Input_Output!$F$14-1,F4&lt;Input_Output!$F$14,F4&gt;LicencePeriod),0,-Input_Output!$F$13*Input_Output!$F$17*Input_Output!$F$4*Input_Output!G$17)</f>
        <v>0</v>
      </c>
      <c r="G15" s="10">
        <f>IF(OR(G4&gt;Input_Output!$F$6+Input_Output!$F$14-1,G4&lt;Input_Output!$F$14,G4&gt;LicencePeriod),0,-Input_Output!$F$13*Input_Output!$F$17*Input_Output!$F$4*Input_Output!H$17)</f>
        <v>0</v>
      </c>
      <c r="H15" s="10">
        <f>IF(OR(H4&gt;Input_Output!$F$6+Input_Output!$F$14-1,H4&lt;Input_Output!$F$14,H4&gt;LicencePeriod),0,-Input_Output!$F$13*Input_Output!$F$17*Input_Output!$F$4*Input_Output!I$17)</f>
        <v>0</v>
      </c>
      <c r="I15" s="10">
        <f>IF(OR(I4&gt;Input_Output!$F$6+Input_Output!$F$14-1,I4&lt;Input_Output!$F$14,I4&gt;LicencePeriod),0,-Input_Output!$F$13*Input_Output!$F$17*Input_Output!$F$4*Input_Output!J$17)</f>
        <v>0</v>
      </c>
      <c r="J15" s="10">
        <f>IF(OR(J4&gt;Input_Output!$F$6+Input_Output!$F$14-1,J4&lt;Input_Output!$F$14,J4&gt;LicencePeriod),0,-Input_Output!$F$13*Input_Output!$F$17*Input_Output!$F$4*Input_Output!K$17)</f>
        <v>0</v>
      </c>
      <c r="K15" s="10">
        <f>IF(OR(K4&gt;Input_Output!$F$6+Input_Output!$F$14-1,K4&lt;Input_Output!$F$14,K4&gt;LicencePeriod),0,-Input_Output!$F$13*Input_Output!$F$17*Input_Output!$F$4*Input_Output!L$17)</f>
        <v>0</v>
      </c>
      <c r="L15" s="10">
        <f>IF(OR(L4&gt;Input_Output!$F$6+Input_Output!$F$14-1,L4&lt;Input_Output!$F$14,L4&gt;LicencePeriod),0,-Input_Output!$F$13*Input_Output!$F$17*Input_Output!$F$4*Input_Output!M$17)</f>
        <v>0</v>
      </c>
      <c r="M15" s="10">
        <f>IF(OR(M4&gt;Input_Output!$F$6+Input_Output!$F$14-1,M4&lt;Input_Output!$F$14,M4&gt;LicencePeriod),0,-Input_Output!$F$13*Input_Output!$F$17*Input_Output!$F$4*Input_Output!N$17)</f>
        <v>0</v>
      </c>
      <c r="N15" s="10">
        <f>IF(OR(N4&gt;Input_Output!$F$6+Input_Output!$F$14-1,N4&lt;Input_Output!$F$14,N4&gt;LicencePeriod),0,-Input_Output!$F$13*Input_Output!$F$17*Input_Output!$F$4*Input_Output!O$17)</f>
        <v>0</v>
      </c>
      <c r="O15" s="10">
        <f>IF(OR(O4&gt;Input_Output!$F$6+Input_Output!$F$14-1,O4&lt;Input_Output!$F$14,O4&gt;LicencePeriod),0,-Input_Output!$F$13*Input_Output!$F$17*Input_Output!$F$4*Input_Output!P$17)</f>
        <v>0</v>
      </c>
      <c r="P15" s="10">
        <f>IF(OR(P4&gt;Input_Output!$F$6+Input_Output!$F$14-1,P4&lt;Input_Output!$F$14,P4&gt;LicencePeriod),0,-Input_Output!$F$13*Input_Output!$F$17*Input_Output!$F$4*Input_Output!Q$17)</f>
        <v>0</v>
      </c>
      <c r="Q15" s="10">
        <f>IF(OR(Q4&gt;Input_Output!$F$6+Input_Output!$F$14-1,Q4&lt;Input_Output!$F$14,Q4&gt;LicencePeriod),0,-Input_Output!$F$13*Input_Output!$F$17*Input_Output!$F$4*Input_Output!R$17)</f>
        <v>0</v>
      </c>
      <c r="R15" s="10">
        <f>IF(OR(R4&gt;Input_Output!$F$6+Input_Output!$F$14-1,R4&lt;Input_Output!$F$14,R4&gt;LicencePeriod),0,-Input_Output!$F$13*Input_Output!$F$17*Input_Output!$F$4*Input_Output!S$17)</f>
        <v>0</v>
      </c>
      <c r="S15" s="10">
        <f>IF(OR(S4&gt;Input_Output!$F$6+Input_Output!$F$14-1,S4&lt;Input_Output!$F$14,S4&gt;LicencePeriod),0,-Input_Output!$F$13*Input_Output!$F$17*Input_Output!$F$4*Input_Output!T$17)</f>
        <v>0</v>
      </c>
      <c r="T15" s="10">
        <f>IF(OR(T4&gt;Input_Output!$F$6+Input_Output!$F$14-1,T4&lt;Input_Output!$F$14,T4&gt;LicencePeriod),0,-Input_Output!$F$13*Input_Output!$F$17*Input_Output!$F$4*Input_Output!U$17)</f>
        <v>0</v>
      </c>
      <c r="U15" s="10">
        <f>IF(OR(U4&gt;Input_Output!$F$6+Input_Output!$F$14-1,U4&lt;Input_Output!$F$14,U4&gt;LicencePeriod),0,-Input_Output!$F$13*Input_Output!$F$17*Input_Output!$F$4*Input_Output!V$17)</f>
        <v>0</v>
      </c>
      <c r="V15" s="10">
        <f>IF(OR(V4&gt;Input_Output!$F$6+Input_Output!$F$14-1,V4&lt;Input_Output!$F$14,V4&gt;LicencePeriod),0,-Input_Output!$F$13*Input_Output!$F$17*Input_Output!$F$4*Input_Output!W$17)</f>
        <v>0</v>
      </c>
      <c r="W15" s="10">
        <f>IF(OR(W4&gt;Input_Output!$F$6+Input_Output!$F$14-1,W4&lt;Input_Output!$F$14,W4&gt;LicencePeriod),0,-Input_Output!$F$13*Input_Output!$F$17*Input_Output!$F$4*Input_Output!X$17)</f>
        <v>0</v>
      </c>
      <c r="X15" s="10">
        <f>IF(OR(X4&gt;Input_Output!$F$6+Input_Output!$F$14-1,X4&lt;Input_Output!$F$14,X4&gt;LicencePeriod),0,-Input_Output!$F$13*Input_Output!$F$17*Input_Output!$F$4*Input_Output!Y$17)</f>
        <v>0</v>
      </c>
      <c r="Y15" s="10">
        <f>IF(OR(Y4&gt;Input_Output!$F$6+Input_Output!$F$14-1,Y4&lt;Input_Output!$F$14,Y4&gt;LicencePeriod),0,-Input_Output!$F$13*Input_Output!$F$17*Input_Output!$F$4*Input_Output!Z$17)</f>
        <v>0</v>
      </c>
      <c r="Z15" s="10">
        <f>IF(OR(Z4&gt;Input_Output!$F$6+Input_Output!$F$14-1,Z4&lt;Input_Output!$F$14,Z4&gt;LicencePeriod),0,-Input_Output!$F$13*Input_Output!$F$17*Input_Output!$F$4*Input_Output!AA$17)</f>
        <v>0</v>
      </c>
      <c r="AA15" s="10">
        <f>IF(OR(AA4&gt;Input_Output!$F$6+Input_Output!$F$14-1,AA4&lt;Input_Output!$F$14,AA4&gt;LicencePeriod),0,-Input_Output!$F$13*Input_Output!$F$17*Input_Output!$F$4*Input_Output!AB$17)</f>
        <v>0</v>
      </c>
      <c r="AB15" s="10">
        <f>IF(OR(AB4&gt;Input_Output!$F$6+Input_Output!$F$14-1,AB4&lt;Input_Output!$F$14,AB4&gt;LicencePeriod),0,-Input_Output!$F$13*Input_Output!$F$17*Input_Output!$F$4*Input_Output!AC$17)</f>
        <v>0</v>
      </c>
      <c r="AC15" s="10">
        <f>IF(OR(AC4&gt;Input_Output!$F$6+Input_Output!$F$14-1,AC4&lt;Input_Output!$F$14,AC4&gt;LicencePeriod),0,-Input_Output!$F$13*Input_Output!$F$17*Input_Output!$F$4*Input_Output!AD$17)</f>
        <v>0</v>
      </c>
      <c r="AD15" s="10">
        <f>IF(OR(AD4&gt;Input_Output!$F$6+Input_Output!$F$14-1,AD4&lt;Input_Output!$F$14,AD4&gt;LicencePeriod),0,-Input_Output!$F$13*Input_Output!$F$17*Input_Output!$F$4*Input_Output!AE$17)</f>
        <v>0</v>
      </c>
      <c r="AE15" s="10">
        <f>IF(OR(AE4&gt;Input_Output!$F$6+Input_Output!$F$14-1,AE4&lt;Input_Output!$F$14,AE4&gt;LicencePeriod),0,-Input_Output!$F$13*Input_Output!$F$17*Input_Output!$F$4*Input_Output!AF$17)</f>
        <v>0</v>
      </c>
      <c r="AF15" s="10">
        <f>IF(OR(AF4&gt;Input_Output!$F$6+Input_Output!$F$14-1,AF4&lt;Input_Output!$F$14,AF4&gt;LicencePeriod),0,-Input_Output!$F$13*Input_Output!$F$17*Input_Output!$F$4*Input_Output!AG$17)</f>
        <v>0</v>
      </c>
      <c r="AG15" s="10">
        <f>IF(OR(AG4&gt;Input_Output!$F$6+Input_Output!$F$14-1,AG4&lt;Input_Output!$F$14,AG4&gt;LicencePeriod),0,-Input_Output!$F$13*Input_Output!$F$17*Input_Output!$F$4*Input_Output!AH$17)</f>
        <v>0</v>
      </c>
      <c r="AH15" s="10">
        <f>IF(OR(AH4&gt;Input_Output!$F$6+Input_Output!$F$14-1,AH4&lt;Input_Output!$F$14,AH4&gt;LicencePeriod),0,-Input_Output!$F$13*Input_Output!$F$17*Input_Output!$F$4*Input_Output!AI$17)</f>
        <v>0</v>
      </c>
      <c r="AI15" s="10">
        <f>IF(OR(AI4&gt;Input_Output!$F$6+Input_Output!$F$14-1,AI4&lt;Input_Output!$F$14,AI4&gt;LicencePeriod),0,-Input_Output!$F$13*Input_Output!$F$17*Input_Output!$F$4*Input_Output!AJ$17)</f>
        <v>0</v>
      </c>
      <c r="AJ15" s="10">
        <f>IF(OR(AJ4&gt;Input_Output!$F$6+Input_Output!$F$14-1,AJ4&lt;Input_Output!$F$14,AJ4&gt;LicencePeriod),0,-Input_Output!$F$13*Input_Output!$F$17*Input_Output!$F$4*Input_Output!AK$17)</f>
        <v>0</v>
      </c>
      <c r="AK15" s="2"/>
    </row>
    <row r="16" spans="1:37" ht="15.95" customHeight="1" x14ac:dyDescent="0.3">
      <c r="A16" s="69"/>
      <c r="B16" s="61" t="s">
        <v>195</v>
      </c>
      <c r="C16" s="98" t="s">
        <v>190</v>
      </c>
      <c r="D16" s="48" t="s">
        <v>18</v>
      </c>
      <c r="E16" s="9"/>
      <c r="F16" s="10">
        <f>-F8*(Input_Output!$F$18+Input_Output!$F$19)*Input_Output!G18</f>
        <v>0</v>
      </c>
      <c r="G16" s="10">
        <f>-G8*(Input_Output!$F$18+Input_Output!$F$19)*Input_Output!H18</f>
        <v>0</v>
      </c>
      <c r="H16" s="10">
        <f>-H8*(Input_Output!$F$18+Input_Output!$F$19)*Input_Output!I18</f>
        <v>0</v>
      </c>
      <c r="I16" s="10">
        <f>-I8*(Input_Output!$F$18+Input_Output!$F$19)*Input_Output!J18</f>
        <v>0</v>
      </c>
      <c r="J16" s="10">
        <f>-J8*(Input_Output!$F$18+Input_Output!$F$19)*Input_Output!K18</f>
        <v>0</v>
      </c>
      <c r="K16" s="10">
        <f>-K8*(Input_Output!$F$18+Input_Output!$F$19)*Input_Output!L18</f>
        <v>0</v>
      </c>
      <c r="L16" s="10">
        <f>-L8*(Input_Output!$F$18+Input_Output!$F$19)*Input_Output!M18</f>
        <v>0</v>
      </c>
      <c r="M16" s="10">
        <f>-M8*(Input_Output!$F$18+Input_Output!$F$19)*Input_Output!N18</f>
        <v>0</v>
      </c>
      <c r="N16" s="10">
        <f>-N8*(Input_Output!$F$18+Input_Output!$F$19)*Input_Output!O18</f>
        <v>0</v>
      </c>
      <c r="O16" s="10">
        <f>-O8*(Input_Output!$F$18+Input_Output!$F$19)*Input_Output!P18</f>
        <v>0</v>
      </c>
      <c r="P16" s="10">
        <f>-P8*(Input_Output!$F$18+Input_Output!$F$19)*Input_Output!Q18</f>
        <v>0</v>
      </c>
      <c r="Q16" s="10">
        <f>-Q8*(Input_Output!$F$18+Input_Output!$F$19)*Input_Output!R18</f>
        <v>0</v>
      </c>
      <c r="R16" s="10">
        <f>-R8*(Input_Output!$F$18+Input_Output!$F$19)*Input_Output!S18</f>
        <v>0</v>
      </c>
      <c r="S16" s="10">
        <f>-S8*(Input_Output!$F$18+Input_Output!$F$19)*Input_Output!T18</f>
        <v>0</v>
      </c>
      <c r="T16" s="10">
        <f>-T8*(Input_Output!$F$18+Input_Output!$F$19)*Input_Output!U18</f>
        <v>0</v>
      </c>
      <c r="U16" s="10">
        <f>-U8*(Input_Output!$F$18+Input_Output!$F$19)*Input_Output!V18</f>
        <v>0</v>
      </c>
      <c r="V16" s="10">
        <f>-V8*(Input_Output!$F$18+Input_Output!$F$19)*Input_Output!W18</f>
        <v>0</v>
      </c>
      <c r="W16" s="10">
        <f>-W8*(Input_Output!$F$18+Input_Output!$F$19)*Input_Output!X18</f>
        <v>0</v>
      </c>
      <c r="X16" s="10">
        <f>-X8*(Input_Output!$F$18+Input_Output!$F$19)*Input_Output!Y18</f>
        <v>0</v>
      </c>
      <c r="Y16" s="10">
        <f>-Y8*(Input_Output!$F$18+Input_Output!$F$19)*Input_Output!Z18</f>
        <v>0</v>
      </c>
      <c r="Z16" s="10">
        <f>-Z8*(Input_Output!$F$18+Input_Output!$F$19)*Input_Output!AA18</f>
        <v>0</v>
      </c>
      <c r="AA16" s="10">
        <f>-AA8*(Input_Output!$F$18+Input_Output!$F$19)*Input_Output!AB18</f>
        <v>0</v>
      </c>
      <c r="AB16" s="10">
        <f>-AB8*(Input_Output!$F$18+Input_Output!$F$19)*Input_Output!AC18</f>
        <v>0</v>
      </c>
      <c r="AC16" s="10">
        <f>-AC8*(Input_Output!$F$18+Input_Output!$F$19)*Input_Output!AD18</f>
        <v>0</v>
      </c>
      <c r="AD16" s="10">
        <f>-AD8*(Input_Output!$F$18+Input_Output!$F$19)*Input_Output!AE18</f>
        <v>0</v>
      </c>
      <c r="AE16" s="10">
        <f>-AE8*(Input_Output!$F$18+Input_Output!$F$19)*Input_Output!AF18</f>
        <v>0</v>
      </c>
      <c r="AF16" s="10">
        <f>-AF8*(Input_Output!$F$18+Input_Output!$F$19)*Input_Output!AG18</f>
        <v>0</v>
      </c>
      <c r="AG16" s="10">
        <f>-AG8*(Input_Output!$F$18+Input_Output!$F$19)*Input_Output!AH18</f>
        <v>0</v>
      </c>
      <c r="AH16" s="10">
        <f>-AH8*(Input_Output!$F$18+Input_Output!$F$19)*Input_Output!AI18</f>
        <v>0</v>
      </c>
      <c r="AI16" s="10">
        <f>-AI8*(Input_Output!$F$18+Input_Output!$F$19)*Input_Output!AJ18</f>
        <v>0</v>
      </c>
      <c r="AJ16" s="10">
        <f>-AJ8*(Input_Output!$F$18+Input_Output!$F$19)*Input_Output!AK18</f>
        <v>0</v>
      </c>
      <c r="AK16" s="2"/>
    </row>
    <row r="17" spans="1:37" ht="15.95" customHeight="1" x14ac:dyDescent="0.2">
      <c r="A17" s="69"/>
      <c r="B17" s="61"/>
      <c r="C17" s="98" t="s">
        <v>134</v>
      </c>
      <c r="D17" s="48" t="s">
        <v>18</v>
      </c>
      <c r="E17" s="9"/>
      <c r="F17" s="10">
        <f>IF(Input_Output!$F$6=F4-1,-Input_Output!$F$16*Input_Output!$F$4,0)</f>
        <v>0</v>
      </c>
      <c r="G17" s="10">
        <f>IF(Input_Output!$F$6=G4-1,-Input_Output!$F$16*Input_Output!$F$4,0)</f>
        <v>0</v>
      </c>
      <c r="H17" s="10">
        <f>IF(Input_Output!$F$6=H4-1,-Input_Output!$F$16*Input_Output!$F$4,0)</f>
        <v>0</v>
      </c>
      <c r="I17" s="10">
        <f>IF(Input_Output!$F$6=I4-1,-Input_Output!$F$16*Input_Output!$F$4,0)</f>
        <v>0</v>
      </c>
      <c r="J17" s="10">
        <f>IF(Input_Output!$F$6=J4-1,-Input_Output!$F$16*Input_Output!$F$4,0)</f>
        <v>0</v>
      </c>
      <c r="K17" s="10">
        <f>IF(Input_Output!$F$6=K4-1,-Input_Output!$F$16*Input_Output!$F$4,0)</f>
        <v>0</v>
      </c>
      <c r="L17" s="10">
        <f>IF(Input_Output!$F$6=L4-1,-Input_Output!$F$16*Input_Output!$F$4,0)</f>
        <v>0</v>
      </c>
      <c r="M17" s="10">
        <f>IF(Input_Output!$F$6=M4-1,-Input_Output!$F$16*Input_Output!$F$4,0)</f>
        <v>0</v>
      </c>
      <c r="N17" s="10">
        <f>IF(Input_Output!$F$6=N4-1,-Input_Output!$F$16*Input_Output!$F$4,0)</f>
        <v>0</v>
      </c>
      <c r="O17" s="10">
        <f>IF(Input_Output!$F$6=O4-1,-Input_Output!$F$16*Input_Output!$F$4,0)</f>
        <v>0</v>
      </c>
      <c r="P17" s="10">
        <f>IF(Input_Output!$F$6=P4-1,-Input_Output!$F$16*Input_Output!$F$4,0)</f>
        <v>0</v>
      </c>
      <c r="Q17" s="10">
        <f>IF(Input_Output!$F$6=Q4-1,-Input_Output!$F$16*Input_Output!$F$4,0)</f>
        <v>0</v>
      </c>
      <c r="R17" s="10">
        <f>IF(Input_Output!$F$6=R4-1,-Input_Output!$F$16*Input_Output!$F$4,0)</f>
        <v>0</v>
      </c>
      <c r="S17" s="10">
        <f>IF(Input_Output!$F$6=S4-1,-Input_Output!$F$16*Input_Output!$F$4,0)</f>
        <v>0</v>
      </c>
      <c r="T17" s="10">
        <f>IF(Input_Output!$F$6=T4-1,-Input_Output!$F$16*Input_Output!$F$4,0)</f>
        <v>0</v>
      </c>
      <c r="U17" s="10">
        <f>IF(Input_Output!$F$6=U4-1,-Input_Output!$F$16*Input_Output!$F$4,0)</f>
        <v>0</v>
      </c>
      <c r="V17" s="10">
        <f>IF(Input_Output!$F$6=V4-1,-Input_Output!$F$16*Input_Output!$F$4,0)</f>
        <v>0</v>
      </c>
      <c r="W17" s="10">
        <f>IF(Input_Output!$F$6=W4-1,-Input_Output!$F$16*Input_Output!$F$4,0)</f>
        <v>0</v>
      </c>
      <c r="X17" s="10">
        <f>IF(Input_Output!$F$6=X4-1,-Input_Output!$F$16*Input_Output!$F$4,0)</f>
        <v>0</v>
      </c>
      <c r="Y17" s="10">
        <f>IF(Input_Output!$F$6=Y4-1,-Input_Output!$F$16*Input_Output!$F$4,0)</f>
        <v>0</v>
      </c>
      <c r="Z17" s="10">
        <f>IF(Input_Output!$F$6=Z4-1,-Input_Output!$F$16*Input_Output!$F$4,0)</f>
        <v>0</v>
      </c>
      <c r="AA17" s="10">
        <f>IF(Input_Output!$F$6=AA4-1,-Input_Output!$F$16*Input_Output!$F$4,0)</f>
        <v>0</v>
      </c>
      <c r="AB17" s="10">
        <f>IF(Input_Output!$F$6=AB4-1,-Input_Output!$F$16*Input_Output!$F$4,0)</f>
        <v>0</v>
      </c>
      <c r="AC17" s="10">
        <f>IF(Input_Output!$F$6=AC4-1,-Input_Output!$F$16*Input_Output!$F$4,0)</f>
        <v>0</v>
      </c>
      <c r="AD17" s="10">
        <f>IF(Input_Output!$F$6=AD4-1,-Input_Output!$F$16*Input_Output!$F$4,0)</f>
        <v>0</v>
      </c>
      <c r="AE17" s="10">
        <f>IF(Input_Output!$F$6=AE4-1,-Input_Output!$F$16*Input_Output!$F$4,0)</f>
        <v>-30976000</v>
      </c>
      <c r="AF17" s="10">
        <f>IF(Input_Output!$F$6=AF4-1,-Input_Output!$F$16*Input_Output!$F$4,0)</f>
        <v>0</v>
      </c>
      <c r="AG17" s="10">
        <f>IF(Input_Output!$F$6=AG4-1,-Input_Output!$F$16*Input_Output!$F$4,0)</f>
        <v>0</v>
      </c>
      <c r="AH17" s="10">
        <f>IF(Input_Output!$F$6=AH4-1,-Input_Output!$F$16*Input_Output!$F$4,0)</f>
        <v>0</v>
      </c>
      <c r="AI17" s="10">
        <f>IF(Input_Output!$F$6=AI4-1,-Input_Output!$F$16*Input_Output!$F$4,0)</f>
        <v>0</v>
      </c>
      <c r="AJ17" s="36">
        <f>IF(Input_Output!$F$6=AJ4-1,-Input_Output!$F$16*Input_Output!$F$4,0)</f>
        <v>0</v>
      </c>
      <c r="AK17" s="2"/>
    </row>
    <row r="18" spans="1:37" ht="15.95" customHeight="1" x14ac:dyDescent="0.2">
      <c r="A18" s="70" t="s">
        <v>61</v>
      </c>
      <c r="B18" s="62"/>
      <c r="C18" s="13" t="s">
        <v>87</v>
      </c>
      <c r="D18" s="49" t="s">
        <v>18</v>
      </c>
      <c r="E18" s="11"/>
      <c r="F18" s="12">
        <f>POWER(1+Input_Output!$F$28,F4-$F$4)*SUM(F14:F17)</f>
        <v>-28934400</v>
      </c>
      <c r="G18" s="12">
        <f>POWER(1+Input_Output!$F$28,G4-$F$4)*SUM(G14:G17)</f>
        <v>-29513088</v>
      </c>
      <c r="H18" s="12">
        <f>POWER(1+Input_Output!$F$28,H4-$F$4)*SUM(H14:H17)</f>
        <v>-30103349.759999998</v>
      </c>
      <c r="I18" s="12">
        <f>POWER(1+Input_Output!$F$28,I4-$F$4)*SUM(I14:I17)</f>
        <v>-30705416.755199999</v>
      </c>
      <c r="J18" s="12">
        <f>POWER(1+Input_Output!$F$28,J4-$F$4)*SUM(J14:J17)</f>
        <v>-31319525.090303998</v>
      </c>
      <c r="K18" s="12">
        <f>POWER(1+Input_Output!$F$28,K4-$F$4)*SUM(K14:K17)</f>
        <v>-31945915.592110079</v>
      </c>
      <c r="L18" s="12">
        <f>POWER(1+Input_Output!$F$28,L4-$F$4)*SUM(L14:L17)</f>
        <v>-32584833.903952282</v>
      </c>
      <c r="M18" s="12">
        <f>POWER(1+Input_Output!$F$28,M4-$F$4)*SUM(M14:M17)</f>
        <v>-33236530.582031321</v>
      </c>
      <c r="N18" s="12">
        <f>POWER(1+Input_Output!$F$28,N4-$F$4)*SUM(N14:N17)</f>
        <v>-33901261.193671949</v>
      </c>
      <c r="O18" s="12">
        <f>POWER(1+Input_Output!$F$28,O4-$F$4)*SUM(O14:O17)</f>
        <v>-34579286.417545393</v>
      </c>
      <c r="P18" s="12">
        <f>POWER(1+Input_Output!$F$28,P4-$F$4)*SUM(P14:P17)</f>
        <v>-35270872.145896301</v>
      </c>
      <c r="Q18" s="12">
        <f>POWER(1+Input_Output!$F$28,Q4-$F$4)*SUM(Q14:Q17)</f>
        <v>-35976289.588814221</v>
      </c>
      <c r="R18" s="12">
        <f>POWER(1+Input_Output!$F$28,R4-$F$4)*SUM(R14:R17)</f>
        <v>-36695815.380590513</v>
      </c>
      <c r="S18" s="12">
        <f>POWER(1+Input_Output!$F$28,S4-$F$4)*SUM(S14:S17)</f>
        <v>-37429731.688202314</v>
      </c>
      <c r="T18" s="12">
        <f>POWER(1+Input_Output!$F$28,T4-$F$4)*SUM(T14:T17)</f>
        <v>-38178326.321966365</v>
      </c>
      <c r="U18" s="12">
        <f>POWER(1+Input_Output!$F$28,U4-$F$4)*SUM(U14:U17)</f>
        <v>-38941892.848405682</v>
      </c>
      <c r="V18" s="12">
        <f>POWER(1+Input_Output!$F$28,V4-$F$4)*SUM(V14:V17)</f>
        <v>-39720730.705373809</v>
      </c>
      <c r="W18" s="12">
        <f>POWER(1+Input_Output!$F$28,W4-$F$4)*SUM(W14:W17)</f>
        <v>-40515145.319481283</v>
      </c>
      <c r="X18" s="12">
        <f>POWER(1+Input_Output!$F$28,X4-$F$4)*SUM(X14:X17)</f>
        <v>-41325448.225870907</v>
      </c>
      <c r="Y18" s="12">
        <f>POWER(1+Input_Output!$F$28,Y4-$F$4)*SUM(Y14:Y17)</f>
        <v>-42151957.190388322</v>
      </c>
      <c r="Z18" s="12">
        <f>POWER(1+Input_Output!$F$28,Z4-$F$4)*SUM(Z14:Z17)</f>
        <v>-42994996.334196091</v>
      </c>
      <c r="AA18" s="12">
        <f>POWER(1+Input_Output!$F$28,AA4-$F$4)*SUM(AA14:AA17)</f>
        <v>-43854896.260880008</v>
      </c>
      <c r="AB18" s="12">
        <f>POWER(1+Input_Output!$F$28,AB4-$F$4)*SUM(AB14:AB17)</f>
        <v>-44731994.186097614</v>
      </c>
      <c r="AC18" s="12">
        <f>POWER(1+Input_Output!$F$28,AC4-$F$4)*SUM(AC14:AC17)</f>
        <v>-45626634.069819555</v>
      </c>
      <c r="AD18" s="12">
        <f>POWER(1+Input_Output!$F$28,AD4-$F$4)*SUM(AD14:AD17)</f>
        <v>-46539166.75121595</v>
      </c>
      <c r="AE18" s="12">
        <f>POWER(1+Input_Output!$F$28,AE4-$F$4)*SUM(AE14:AE17)</f>
        <v>-50819411.284539461</v>
      </c>
      <c r="AF18" s="12">
        <f>POWER(1+Input_Output!$F$28,AF4-$F$4)*SUM(AF14:AF17)</f>
        <v>0</v>
      </c>
      <c r="AG18" s="12">
        <f>POWER(1+Input_Output!$F$28,AG4-$F$4)*SUM(AG14:AG17)</f>
        <v>0</v>
      </c>
      <c r="AH18" s="12">
        <f>POWER(1+Input_Output!$F$28,AH4-$F$4)*SUM(AH14:AH17)</f>
        <v>0</v>
      </c>
      <c r="AI18" s="12">
        <f>POWER(1+Input_Output!$F$28,AI4-$F$4)*SUM(AI14:AI17)</f>
        <v>0</v>
      </c>
      <c r="AJ18" s="12">
        <f>POWER(1+Input_Output!$F$28,AJ4-$F$4)*SUM(AJ14:AJ17)</f>
        <v>0</v>
      </c>
      <c r="AK18" s="2"/>
    </row>
    <row r="19" spans="1:37" ht="15.95" customHeight="1" x14ac:dyDescent="0.2">
      <c r="A19" s="71" t="s">
        <v>77</v>
      </c>
      <c r="B19" s="63" t="s">
        <v>65</v>
      </c>
      <c r="C19" s="16" t="s">
        <v>46</v>
      </c>
      <c r="D19" s="15" t="s">
        <v>18</v>
      </c>
      <c r="E19" s="17"/>
      <c r="F19" s="17">
        <f>F13+F18</f>
        <v>-28934400</v>
      </c>
      <c r="G19" s="17">
        <f t="shared" ref="G19:AJ19" si="2">G13+G18</f>
        <v>-29513088</v>
      </c>
      <c r="H19" s="17">
        <f t="shared" si="2"/>
        <v>-30103349.759999998</v>
      </c>
      <c r="I19" s="17">
        <f t="shared" si="2"/>
        <v>-30705416.755199999</v>
      </c>
      <c r="J19" s="17">
        <f t="shared" si="2"/>
        <v>-31319525.090303998</v>
      </c>
      <c r="K19" s="17">
        <f t="shared" si="2"/>
        <v>-31945915.592110079</v>
      </c>
      <c r="L19" s="17">
        <f t="shared" si="2"/>
        <v>-32584833.903952282</v>
      </c>
      <c r="M19" s="17">
        <f t="shared" si="2"/>
        <v>-33236530.582031321</v>
      </c>
      <c r="N19" s="17">
        <f t="shared" si="2"/>
        <v>-33901261.193671949</v>
      </c>
      <c r="O19" s="17">
        <f t="shared" si="2"/>
        <v>-34579286.417545393</v>
      </c>
      <c r="P19" s="17">
        <f t="shared" si="2"/>
        <v>-35270872.145896301</v>
      </c>
      <c r="Q19" s="17">
        <f t="shared" si="2"/>
        <v>-35976289.588814221</v>
      </c>
      <c r="R19" s="17">
        <f t="shared" si="2"/>
        <v>-36695815.380590513</v>
      </c>
      <c r="S19" s="17">
        <f t="shared" si="2"/>
        <v>-37429731.688202314</v>
      </c>
      <c r="T19" s="17">
        <f t="shared" si="2"/>
        <v>-38178326.321966365</v>
      </c>
      <c r="U19" s="17">
        <f t="shared" si="2"/>
        <v>103003675.31230849</v>
      </c>
      <c r="V19" s="17">
        <f t="shared" si="2"/>
        <v>105063748.81855468</v>
      </c>
      <c r="W19" s="17">
        <f t="shared" si="2"/>
        <v>106735720.97773272</v>
      </c>
      <c r="X19" s="17">
        <f t="shared" si="2"/>
        <v>108432546.52375045</v>
      </c>
      <c r="Y19" s="17">
        <f t="shared" ref="Y19:AH19" si="3">Y13+Y18</f>
        <v>110154550.80321783</v>
      </c>
      <c r="Z19" s="17">
        <f t="shared" si="3"/>
        <v>112357641.8192822</v>
      </c>
      <c r="AA19" s="17">
        <f t="shared" si="3"/>
        <v>114140103.4799595</v>
      </c>
      <c r="AB19" s="17">
        <f t="shared" si="3"/>
        <v>115948920.55033615</v>
      </c>
      <c r="AC19" s="17">
        <f t="shared" si="3"/>
        <v>118267898.96134286</v>
      </c>
      <c r="AD19" s="17">
        <f t="shared" si="3"/>
        <v>118660720.96780528</v>
      </c>
      <c r="AE19" s="17">
        <f t="shared" si="3"/>
        <v>-50819411.284539461</v>
      </c>
      <c r="AF19" s="17">
        <f t="shared" si="3"/>
        <v>0</v>
      </c>
      <c r="AG19" s="17">
        <f t="shared" si="3"/>
        <v>0</v>
      </c>
      <c r="AH19" s="17">
        <f t="shared" si="3"/>
        <v>0</v>
      </c>
      <c r="AI19" s="17">
        <f t="shared" si="2"/>
        <v>0</v>
      </c>
      <c r="AJ19" s="37">
        <f t="shared" si="2"/>
        <v>0</v>
      </c>
      <c r="AK19" s="2"/>
    </row>
    <row r="20" spans="1:37" ht="15.95" customHeight="1" x14ac:dyDescent="0.2">
      <c r="A20" s="116"/>
      <c r="B20" s="117"/>
      <c r="C20" s="118" t="s">
        <v>200</v>
      </c>
      <c r="D20" s="47" t="s">
        <v>18</v>
      </c>
      <c r="E20" s="100"/>
      <c r="F20" s="119">
        <f>IF(F$4&gt;Input_Output!$F$36,0,-Cashflow!$D$43*Input_Output!G$36)</f>
        <v>-24513280</v>
      </c>
      <c r="G20" s="119">
        <f>IF(G$4&gt;Input_Output!$F$36,0,-Cashflow!$D$43*Input_Output!H$36)</f>
        <v>-24513280</v>
      </c>
      <c r="H20" s="119">
        <f>IF(H$4&gt;Input_Output!$F$36,0,-Cashflow!$D$43*Input_Output!I$36)</f>
        <v>-24513280</v>
      </c>
      <c r="I20" s="119">
        <f>IF(I$4&gt;Input_Output!$F$36,0,-Cashflow!$D$43*Input_Output!J$36)</f>
        <v>-24513280</v>
      </c>
      <c r="J20" s="119">
        <f>IF(J$4&gt;Input_Output!$F$36,0,-Cashflow!$D$43*Input_Output!K$36)</f>
        <v>-24513280</v>
      </c>
      <c r="K20" s="119">
        <f>IF(K$4&gt;Input_Output!$F$36,0,-Cashflow!$D$43*Input_Output!L$36)</f>
        <v>-24513280</v>
      </c>
      <c r="L20" s="119">
        <f>IF(L$4&gt;Input_Output!$F$36,0,-Cashflow!$D$43*Input_Output!M$36)</f>
        <v>-24513280</v>
      </c>
      <c r="M20" s="119">
        <f>IF(M$4&gt;Input_Output!$F$36,0,-Cashflow!$D$43*Input_Output!N$36)</f>
        <v>-24513280</v>
      </c>
      <c r="N20" s="119">
        <f>IF(N$4&gt;Input_Output!$F$36,0,-Cashflow!$D$43*Input_Output!O$36)</f>
        <v>-24513280</v>
      </c>
      <c r="O20" s="119">
        <f>IF(O$4&gt;Input_Output!$F$36,0,-Cashflow!$D$43*Input_Output!P$36)</f>
        <v>-24513280</v>
      </c>
      <c r="P20" s="119">
        <f>IF(P$4&gt;Input_Output!$F$36,0,-Cashflow!$D$43*Input_Output!Q$36)</f>
        <v>-24513280</v>
      </c>
      <c r="Q20" s="119">
        <f>IF(Q$4&gt;Input_Output!$F$36,0,-Cashflow!$D$43*Input_Output!R$36)</f>
        <v>-24513280</v>
      </c>
      <c r="R20" s="119">
        <f>IF(R$4&gt;Input_Output!$F$36,0,-Cashflow!$D$43*Input_Output!S$36)</f>
        <v>-24513280</v>
      </c>
      <c r="S20" s="119">
        <f>IF(S$4&gt;Input_Output!$F$36,0,-Cashflow!$D$43*Input_Output!T$36)</f>
        <v>-24513280</v>
      </c>
      <c r="T20" s="119">
        <f>IF(T$4&gt;Input_Output!$F$36,0,-Cashflow!$D$43*Input_Output!U$36)</f>
        <v>-24513280</v>
      </c>
      <c r="U20" s="119">
        <f>IF(U$4&gt;Input_Output!$F$36,0,-Cashflow!$D$43*Input_Output!V$36)</f>
        <v>0</v>
      </c>
      <c r="V20" s="119">
        <f>IF(V$4&gt;Input_Output!$F$36,0,-Cashflow!$D$43*Input_Output!W$36)</f>
        <v>0</v>
      </c>
      <c r="W20" s="119">
        <f>IF(W$4&gt;Input_Output!$F$36,0,-Cashflow!$D$43*Input_Output!X$36)</f>
        <v>0</v>
      </c>
      <c r="X20" s="119">
        <f>IF(X$4&gt;Input_Output!$F$36,0,-Cashflow!$D$43*Input_Output!Y$36)</f>
        <v>0</v>
      </c>
      <c r="Y20" s="119">
        <f>IF(Y$4&gt;Input_Output!$F$36,0,-Cashflow!$D$43*Input_Output!Z$36)</f>
        <v>0</v>
      </c>
      <c r="Z20" s="119">
        <f>IF(Z$4&gt;Input_Output!$F$36,0,-Cashflow!$D$43*Input_Output!AA$36)</f>
        <v>0</v>
      </c>
      <c r="AA20" s="119">
        <f>IF(AA$4&gt;Input_Output!$F$36,0,-Cashflow!$D$43*Input_Output!AB$36)</f>
        <v>0</v>
      </c>
      <c r="AB20" s="119">
        <f>IF(AB$4&gt;Input_Output!$F$36,0,-Cashflow!$D$43*Input_Output!AC$36)</f>
        <v>0</v>
      </c>
      <c r="AC20" s="119">
        <f>IF(AC$4&gt;Input_Output!$F$36,0,-Cashflow!$D$43*Input_Output!AD$36)</f>
        <v>0</v>
      </c>
      <c r="AD20" s="119">
        <f>IF(AD$4&gt;Input_Output!$F$36,0,-Cashflow!$D$43*Input_Output!AE$36)</f>
        <v>0</v>
      </c>
      <c r="AE20" s="119">
        <f>IF(AE$4&gt;Input_Output!$F$36,0,-Cashflow!$D$43*Input_Output!AF$36)</f>
        <v>0</v>
      </c>
      <c r="AF20" s="119">
        <f>IF(AF$4&gt;Input_Output!$F$36,0,-Cashflow!$D$43*Input_Output!AG$36)</f>
        <v>0</v>
      </c>
      <c r="AG20" s="119">
        <f>IF(AG$4&gt;Input_Output!$F$36,0,-Cashflow!$D$43*Input_Output!AH$36)</f>
        <v>0</v>
      </c>
      <c r="AH20" s="119">
        <f>IF(AH$4&gt;Input_Output!$F$36,0,-Cashflow!$D$43*Input_Output!AI$36)</f>
        <v>0</v>
      </c>
      <c r="AI20" s="119">
        <f>IF(AI$4&gt;Input_Output!$F$36,0,-Cashflow!$D$43*Input_Output!AJ$36)</f>
        <v>0</v>
      </c>
      <c r="AJ20" s="119">
        <f>IF(AJ$4&gt;Input_Output!$F$36,0,-Cashflow!$D$43*Input_Output!AK$36)</f>
        <v>0</v>
      </c>
      <c r="AK20" s="2"/>
    </row>
    <row r="21" spans="1:37" ht="15.95" customHeight="1" x14ac:dyDescent="0.2">
      <c r="A21" s="69"/>
      <c r="B21" s="61"/>
      <c r="C21" s="14" t="s">
        <v>201</v>
      </c>
      <c r="D21" s="47" t="s">
        <v>18</v>
      </c>
      <c r="E21" s="9"/>
      <c r="F21" s="10">
        <f>IF(OR(F$4&gt;(Input_Output!$F$36+1),F$4&lt;2),0,-Cashflow!$D$44*Input_Output!G$36)</f>
        <v>0</v>
      </c>
      <c r="G21" s="10">
        <f>IF(OR(G$4&gt;(Input_Output!$F$36+1),G$4&lt;2),0,-Cashflow!$D$44*Input_Output!G$36)</f>
        <v>-58341606.399999999</v>
      </c>
      <c r="H21" s="10">
        <f>IF(OR(H$4&gt;(Input_Output!$F$36+1),H$4&lt;2),0,-Cashflow!$D$44*Input_Output!H$36)</f>
        <v>-58341606.399999999</v>
      </c>
      <c r="I21" s="10">
        <f>IF(OR(I$4&gt;(Input_Output!$F$36+1),I$4&lt;2),0,-Cashflow!$D$44*Input_Output!I$36)</f>
        <v>-58341606.399999999</v>
      </c>
      <c r="J21" s="10">
        <f>IF(OR(J$4&gt;(Input_Output!$F$36+1),J$4&lt;2),0,-Cashflow!$D$44*Input_Output!J$36)</f>
        <v>-58341606.399999999</v>
      </c>
      <c r="K21" s="10">
        <f>IF(OR(K$4&gt;(Input_Output!$F$36+1),K$4&lt;2),0,-Cashflow!$D$44*Input_Output!K$36)</f>
        <v>-58341606.399999999</v>
      </c>
      <c r="L21" s="10">
        <f>IF(OR(L$4&gt;(Input_Output!$F$36+1),L$4&lt;2),0,-Cashflow!$D$44*Input_Output!L$36)</f>
        <v>-58341606.399999999</v>
      </c>
      <c r="M21" s="10">
        <f>IF(OR(M$4&gt;(Input_Output!$F$36+1),M$4&lt;2),0,-Cashflow!$D$44*Input_Output!M$36)</f>
        <v>-58341606.399999999</v>
      </c>
      <c r="N21" s="10">
        <f>IF(OR(N$4&gt;(Input_Output!$F$36+1),N$4&lt;2),0,-Cashflow!$D$44*Input_Output!N$36)</f>
        <v>-58341606.399999999</v>
      </c>
      <c r="O21" s="10">
        <f>IF(OR(O$4&gt;(Input_Output!$F$36+1),O$4&lt;2),0,-Cashflow!$D$44*Input_Output!O$36)</f>
        <v>-58341606.399999999</v>
      </c>
      <c r="P21" s="10">
        <f>IF(OR(P$4&gt;(Input_Output!$F$36+1),P$4&lt;2),0,-Cashflow!$D$44*Input_Output!P$36)</f>
        <v>-58341606.399999999</v>
      </c>
      <c r="Q21" s="10">
        <f>IF(OR(Q$4&gt;(Input_Output!$F$36+1),Q$4&lt;2),0,-Cashflow!$D$44*Input_Output!Q$36)</f>
        <v>-58341606.399999999</v>
      </c>
      <c r="R21" s="10">
        <f>IF(OR(R$4&gt;(Input_Output!$F$36+1),R$4&lt;2),0,-Cashflow!$D$44*Input_Output!R$36)</f>
        <v>-58341606.399999999</v>
      </c>
      <c r="S21" s="10">
        <f>IF(OR(S$4&gt;(Input_Output!$F$36+1),S$4&lt;2),0,-Cashflow!$D$44*Input_Output!S$36)</f>
        <v>-58341606.399999999</v>
      </c>
      <c r="T21" s="10">
        <f>IF(OR(T$4&gt;(Input_Output!$F$36+1),T$4&lt;2),0,-Cashflow!$D$44*Input_Output!T$36)</f>
        <v>-58341606.399999999</v>
      </c>
      <c r="U21" s="10">
        <f>IF(OR(U$4&gt;(Input_Output!$F$36+1),U$4&lt;2),0,-Cashflow!$D$44*Input_Output!U$36)</f>
        <v>-58341606.399999999</v>
      </c>
      <c r="V21" s="10">
        <f>IF(OR(V$4&gt;(Input_Output!$F$36+1),V$4&lt;2),0,-Cashflow!$D$44*Input_Output!V$36)</f>
        <v>0</v>
      </c>
      <c r="W21" s="10">
        <f>IF(OR(W$4&gt;(Input_Output!$F$36+1),W$4&lt;2),0,-Cashflow!$D$44*Input_Output!W$36)</f>
        <v>0</v>
      </c>
      <c r="X21" s="10">
        <f>IF(OR(X$4&gt;(Input_Output!$F$36+1),X$4&lt;2),0,-Cashflow!$D$44*Input_Output!X$36)</f>
        <v>0</v>
      </c>
      <c r="Y21" s="10">
        <f>IF(OR(Y$4&gt;(Input_Output!$F$36+1),Y$4&lt;2),0,-Cashflow!$D$44*Input_Output!Y$36)</f>
        <v>0</v>
      </c>
      <c r="Z21" s="10">
        <f>IF(OR(Z$4&gt;(Input_Output!$F$36+1),Z$4&lt;2),0,-Cashflow!$D$44*Input_Output!Z$36)</f>
        <v>0</v>
      </c>
      <c r="AA21" s="10">
        <f>IF(OR(AA$4&gt;(Input_Output!$F$36+1),AA$4&lt;2),0,-Cashflow!$D$44*Input_Output!AA$36)</f>
        <v>0</v>
      </c>
      <c r="AB21" s="10">
        <f>IF(OR(AB$4&gt;(Input_Output!$F$36+1),AB$4&lt;2),0,-Cashflow!$D$44*Input_Output!AB$36)</f>
        <v>0</v>
      </c>
      <c r="AC21" s="10">
        <f>IF(OR(AC$4&gt;(Input_Output!$F$36+1),AC$4&lt;2),0,-Cashflow!$D$44*Input_Output!AC$36)</f>
        <v>0</v>
      </c>
      <c r="AD21" s="10">
        <f>IF(OR(AD$4&gt;(Input_Output!$F$36+1),AD$4&lt;2),0,-Cashflow!$D$44*Input_Output!AD$36)</f>
        <v>0</v>
      </c>
      <c r="AE21" s="10">
        <f>IF(OR(AE$4&gt;(Input_Output!$F$36+1),AE$4&lt;2),0,-Cashflow!$D$44*Input_Output!AE$36)</f>
        <v>0</v>
      </c>
      <c r="AF21" s="10">
        <f>IF(OR(AF$4&gt;(Input_Output!$F$36+1),AF$4&lt;2),0,-Cashflow!$D$44*Input_Output!AF$36)</f>
        <v>0</v>
      </c>
      <c r="AG21" s="10">
        <f>IF(OR(AG$4&gt;(Input_Output!$F$36+1),AG$4&lt;2),0,-Cashflow!$D$44*Input_Output!AG$36)</f>
        <v>0</v>
      </c>
      <c r="AH21" s="10">
        <f>IF(OR(AH$4&gt;(Input_Output!$F$36+1),AH$4&lt;2),0,-Cashflow!$D$44*Input_Output!AH$36)</f>
        <v>0</v>
      </c>
      <c r="AI21" s="10">
        <f>IF(OR(AI$4&gt;(Input_Output!$F$36+1),AI$4&lt;2),0,-Cashflow!$D$44*Input_Output!AI$36)</f>
        <v>0</v>
      </c>
      <c r="AJ21" s="10">
        <f>IF(OR(AJ$4&gt;(Input_Output!$F$36+1),AJ$4&lt;2),0,-Cashflow!$D$44*Input_Output!AJ$36)</f>
        <v>0</v>
      </c>
      <c r="AK21" s="2"/>
    </row>
    <row r="22" spans="1:37" ht="15.95" customHeight="1" x14ac:dyDescent="0.2">
      <c r="A22" s="69"/>
      <c r="B22" s="61"/>
      <c r="C22" s="14" t="s">
        <v>202</v>
      </c>
      <c r="D22" s="47" t="s">
        <v>18</v>
      </c>
      <c r="E22" s="9"/>
      <c r="F22" s="10">
        <f>IF(OR(F$4&gt;(Input_Output!$F$36+2),F$4&lt;3),0,-Cashflow!$D$44*Input_Output!G$36)</f>
        <v>0</v>
      </c>
      <c r="G22" s="10">
        <f>IF(OR(G$4&gt;(Input_Output!$F$36+2),G$4&lt;3),0,-Cashflow!$D$45*Input_Output!G$36)</f>
        <v>0</v>
      </c>
      <c r="H22" s="10">
        <f>IF(OR(H$4&gt;(Input_Output!$F$36+2),H$4&lt;3),0,-Cashflow!$D$45*Input_Output!G$36)</f>
        <v>0</v>
      </c>
      <c r="I22" s="10">
        <f>IF(OR(I$4&gt;(Input_Output!$F$36+2),I$4&lt;3),0,-Cashflow!$D$45*Input_Output!H$36)</f>
        <v>0</v>
      </c>
      <c r="J22" s="10">
        <f>IF(OR(J$4&gt;(Input_Output!$F$36+2),J$4&lt;3),0,-Cashflow!$D$45*Input_Output!I$36)</f>
        <v>0</v>
      </c>
      <c r="K22" s="10">
        <f>IF(OR(K$4&gt;(Input_Output!$F$36+2),K$4&lt;3),0,-Cashflow!$D$45*Input_Output!J$36)</f>
        <v>0</v>
      </c>
      <c r="L22" s="10">
        <f>IF(OR(L$4&gt;(Input_Output!$F$36+2),L$4&lt;3),0,-Cashflow!$D$45*Input_Output!K$36)</f>
        <v>0</v>
      </c>
      <c r="M22" s="10">
        <f>IF(OR(M$4&gt;(Input_Output!$F$36+2),M$4&lt;3),0,-Cashflow!$D$45*Input_Output!L$36)</f>
        <v>0</v>
      </c>
      <c r="N22" s="10">
        <f>IF(OR(N$4&gt;(Input_Output!$F$36+2),N$4&lt;3),0,-Cashflow!$D$45*Input_Output!M$36)</f>
        <v>0</v>
      </c>
      <c r="O22" s="10">
        <f>IF(OR(O$4&gt;(Input_Output!$F$36+2),O$4&lt;3),0,-Cashflow!$D$45*Input_Output!N$36)</f>
        <v>0</v>
      </c>
      <c r="P22" s="10">
        <f>IF(OR(P$4&gt;(Input_Output!$F$36+2),P$4&lt;3),0,-Cashflow!$D$45*Input_Output!O$36)</f>
        <v>0</v>
      </c>
      <c r="Q22" s="10">
        <f>IF(OR(Q$4&gt;(Input_Output!$F$36+2),Q$4&lt;3),0,-Cashflow!$D$45*Input_Output!P$36)</f>
        <v>0</v>
      </c>
      <c r="R22" s="10">
        <f>IF(OR(R$4&gt;(Input_Output!$F$36+2),R$4&lt;3),0,-Cashflow!$D$45*Input_Output!Q$36)</f>
        <v>0</v>
      </c>
      <c r="S22" s="10">
        <f>IF(OR(S$4&gt;(Input_Output!$F$36+2),S$4&lt;3),0,-Cashflow!$D$45*Input_Output!R$36)</f>
        <v>0</v>
      </c>
      <c r="T22" s="10">
        <f>IF(OR(T$4&gt;(Input_Output!$F$36+2),T$4&lt;3),0,-Cashflow!$D$45*Input_Output!S$36)</f>
        <v>0</v>
      </c>
      <c r="U22" s="10">
        <f>IF(OR(U$4&gt;(Input_Output!$F$36+2),U$4&lt;3),0,-Cashflow!$D$45*Input_Output!T$36)</f>
        <v>0</v>
      </c>
      <c r="V22" s="10">
        <f>IF(OR(V$4&gt;(Input_Output!$F$36+2),V$4&lt;3),0,-Cashflow!$D$45*Input_Output!U$36)</f>
        <v>0</v>
      </c>
      <c r="W22" s="10">
        <f>IF(OR(W$4&gt;(Input_Output!$F$36+2),W$4&lt;3),0,-Cashflow!$D$45*Input_Output!V$36)</f>
        <v>0</v>
      </c>
      <c r="X22" s="10">
        <f>IF(OR(X$4&gt;(Input_Output!$F$36+2),X$4&lt;3),0,-Cashflow!$D$45*Input_Output!W$36)</f>
        <v>0</v>
      </c>
      <c r="Y22" s="10">
        <f>IF(OR(Y$4&gt;(Input_Output!$F$36+2),Y$4&lt;3),0,-Cashflow!$D$45*Input_Output!X$36)</f>
        <v>0</v>
      </c>
      <c r="Z22" s="10">
        <f>IF(OR(Z$4&gt;(Input_Output!$F$36+2),Z$4&lt;3),0,-Cashflow!$D$45*Input_Output!Y$36)</f>
        <v>0</v>
      </c>
      <c r="AA22" s="10">
        <f>IF(OR(AA$4&gt;(Input_Output!$F$36+2),AA$4&lt;3),0,-Cashflow!$D$45*Input_Output!Z$36)</f>
        <v>0</v>
      </c>
      <c r="AB22" s="10">
        <f>IF(OR(AB$4&gt;(Input_Output!$F$36+2),AB$4&lt;3),0,-Cashflow!$D$45*Input_Output!AA$36)</f>
        <v>0</v>
      </c>
      <c r="AC22" s="10">
        <f>IF(OR(AC$4&gt;(Input_Output!$F$36+2),AC$4&lt;3),0,-Cashflow!$D$45*Input_Output!AB$36)</f>
        <v>0</v>
      </c>
      <c r="AD22" s="10">
        <f>IF(OR(AD$4&gt;(Input_Output!$F$36+2),AD$4&lt;3),0,-Cashflow!$D$45*Input_Output!AC$36)</f>
        <v>0</v>
      </c>
      <c r="AE22" s="10">
        <f>IF(OR(AE$4&gt;(Input_Output!$F$36+2),AE$4&lt;3),0,-Cashflow!$D$45*Input_Output!AD$36)</f>
        <v>0</v>
      </c>
      <c r="AF22" s="10">
        <f>IF(OR(AF$4&gt;(Input_Output!$F$36+2),AF$4&lt;3),0,-Cashflow!$D$45*Input_Output!AE$36)</f>
        <v>0</v>
      </c>
      <c r="AG22" s="10">
        <f>IF(OR(AG$4&gt;(Input_Output!$F$36+2),AG$4&lt;3),0,-Cashflow!$D$45*Input_Output!AF$36)</f>
        <v>0</v>
      </c>
      <c r="AH22" s="10">
        <f>IF(OR(AH$4&gt;(Input_Output!$F$36+2),AH$4&lt;3),0,-Cashflow!$D$45*Input_Output!AG$36)</f>
        <v>0</v>
      </c>
      <c r="AI22" s="10">
        <f>IF(OR(AI$4&gt;(Input_Output!$F$36+2),AI$4&lt;3),0,-Cashflow!$D$45*Input_Output!AH$36)</f>
        <v>0</v>
      </c>
      <c r="AJ22" s="10">
        <f>IF(OR(AJ$4&gt;(Input_Output!$F$36+2),AJ$4&lt;3),0,-Cashflow!$D$45*Input_Output!AI$36)</f>
        <v>0</v>
      </c>
      <c r="AK22" s="2"/>
    </row>
    <row r="23" spans="1:37" ht="15.95" customHeight="1" x14ac:dyDescent="0.2">
      <c r="A23" s="78" t="s">
        <v>69</v>
      </c>
      <c r="B23" s="79"/>
      <c r="C23" s="84" t="s">
        <v>199</v>
      </c>
      <c r="D23" s="80" t="s">
        <v>18</v>
      </c>
      <c r="E23" s="58"/>
      <c r="F23" s="81">
        <f>SUM(F20:F22)</f>
        <v>-24513280</v>
      </c>
      <c r="G23" s="81">
        <f t="shared" ref="G23:AJ23" si="4">SUM(G20:G22)</f>
        <v>-82854886.400000006</v>
      </c>
      <c r="H23" s="81">
        <f t="shared" si="4"/>
        <v>-82854886.400000006</v>
      </c>
      <c r="I23" s="81">
        <f t="shared" si="4"/>
        <v>-82854886.400000006</v>
      </c>
      <c r="J23" s="81">
        <f t="shared" si="4"/>
        <v>-82854886.400000006</v>
      </c>
      <c r="K23" s="81">
        <f t="shared" si="4"/>
        <v>-82854886.400000006</v>
      </c>
      <c r="L23" s="81">
        <f t="shared" si="4"/>
        <v>-82854886.400000006</v>
      </c>
      <c r="M23" s="81">
        <f t="shared" si="4"/>
        <v>-82854886.400000006</v>
      </c>
      <c r="N23" s="81">
        <f t="shared" si="4"/>
        <v>-82854886.400000006</v>
      </c>
      <c r="O23" s="81">
        <f t="shared" si="4"/>
        <v>-82854886.400000006</v>
      </c>
      <c r="P23" s="81">
        <f t="shared" si="4"/>
        <v>-82854886.400000006</v>
      </c>
      <c r="Q23" s="81">
        <f t="shared" si="4"/>
        <v>-82854886.400000006</v>
      </c>
      <c r="R23" s="81">
        <f t="shared" si="4"/>
        <v>-82854886.400000006</v>
      </c>
      <c r="S23" s="81">
        <f t="shared" si="4"/>
        <v>-82854886.400000006</v>
      </c>
      <c r="T23" s="81">
        <f t="shared" si="4"/>
        <v>-82854886.400000006</v>
      </c>
      <c r="U23" s="81">
        <f t="shared" si="4"/>
        <v>-58341606.399999999</v>
      </c>
      <c r="V23" s="81">
        <f t="shared" si="4"/>
        <v>0</v>
      </c>
      <c r="W23" s="81">
        <f t="shared" si="4"/>
        <v>0</v>
      </c>
      <c r="X23" s="81">
        <f t="shared" si="4"/>
        <v>0</v>
      </c>
      <c r="Y23" s="81">
        <f t="shared" si="4"/>
        <v>0</v>
      </c>
      <c r="Z23" s="81">
        <f t="shared" si="4"/>
        <v>0</v>
      </c>
      <c r="AA23" s="81">
        <f t="shared" si="4"/>
        <v>0</v>
      </c>
      <c r="AB23" s="81">
        <f t="shared" si="4"/>
        <v>0</v>
      </c>
      <c r="AC23" s="81">
        <f t="shared" si="4"/>
        <v>0</v>
      </c>
      <c r="AD23" s="81">
        <f t="shared" si="4"/>
        <v>0</v>
      </c>
      <c r="AE23" s="81">
        <f t="shared" si="4"/>
        <v>0</v>
      </c>
      <c r="AF23" s="81">
        <f t="shared" si="4"/>
        <v>0</v>
      </c>
      <c r="AG23" s="81">
        <f t="shared" si="4"/>
        <v>0</v>
      </c>
      <c r="AH23" s="81">
        <f t="shared" si="4"/>
        <v>0</v>
      </c>
      <c r="AI23" s="81">
        <f t="shared" si="4"/>
        <v>0</v>
      </c>
      <c r="AJ23" s="81">
        <f t="shared" si="4"/>
        <v>0</v>
      </c>
      <c r="AK23" s="2"/>
    </row>
    <row r="24" spans="1:37" ht="15.95" customHeight="1" x14ac:dyDescent="0.2">
      <c r="A24" s="69"/>
      <c r="B24" s="61"/>
      <c r="C24" s="14" t="s">
        <v>213</v>
      </c>
      <c r="D24" s="47" t="s">
        <v>18</v>
      </c>
      <c r="E24" s="9"/>
      <c r="F24" s="10">
        <f>IF(F$4&gt;Input_Output!$F$35,0,IPMT(Input_Output!$F$30,F$4,Input_Output!$F$35,Cashflow!$D56))</f>
        <v>-6434736</v>
      </c>
      <c r="G24" s="10">
        <f>IF(G$4&gt;Input_Output!$F$35,0,IPMT(Input_Output!$F$30,G$4,Input_Output!$F$35,Cashflow!$D56))</f>
        <v>-6075893.5776527785</v>
      </c>
      <c r="H24" s="10">
        <f>IF(H$4&gt;Input_Output!$F$35,0,IPMT(Input_Output!$F$30,H$4,Input_Output!$F$35,Cashflow!$D56))</f>
        <v>-5708080.0947468765</v>
      </c>
      <c r="I24" s="10">
        <f>IF(I$4&gt;Input_Output!$F$35,0,IPMT(Input_Output!$F$30,I$4,Input_Output!$F$35,Cashflow!$D56))</f>
        <v>-5331071.2747683283</v>
      </c>
      <c r="J24" s="10">
        <f>IF(J$4&gt;Input_Output!$F$35,0,IPMT(Input_Output!$F$30,J$4,Input_Output!$F$35,Cashflow!$D56))</f>
        <v>-4944637.2342903158</v>
      </c>
      <c r="K24" s="10">
        <f>IF(K$4&gt;Input_Output!$F$35,0,IPMT(Input_Output!$F$30,K$4,Input_Output!$F$35,Cashflow!$D56))</f>
        <v>-4548542.3428003527</v>
      </c>
      <c r="L24" s="10">
        <f>IF(L$4&gt;Input_Output!$F$35,0,IPMT(Input_Output!$F$30,L$4,Input_Output!$F$35,Cashflow!$D56))</f>
        <v>-4142545.0790231409</v>
      </c>
      <c r="M24" s="10">
        <f>IF(M$4&gt;Input_Output!$F$35,0,IPMT(Input_Output!$F$30,M$4,Input_Output!$F$35,Cashflow!$D56))</f>
        <v>-3726397.8836514987</v>
      </c>
      <c r="N24" s="10">
        <f>IF(N$4&gt;Input_Output!$F$35,0,IPMT(Input_Output!$F$30,N$4,Input_Output!$F$35,Cashflow!$D56))</f>
        <v>-3299847.0083955661</v>
      </c>
      <c r="O24" s="10">
        <f>IF(O$4&gt;Input_Output!$F$35,0,IPMT(Input_Output!$F$30,O$4,Input_Output!$F$35,Cashflow!$D56))</f>
        <v>-2862632.3612582348</v>
      </c>
      <c r="P24" s="10">
        <f>IF(P$4&gt;Input_Output!$F$35,0,IPMT(Input_Output!$F$30,P$4,Input_Output!$F$35,Cashflow!$D56))</f>
        <v>-2414487.3479424696</v>
      </c>
      <c r="Q24" s="10">
        <f>IF(Q$4&gt;Input_Output!$F$35,0,IPMT(Input_Output!$F$30,Q$4,Input_Output!$F$35,Cashflow!$D56))</f>
        <v>-1955138.7092938107</v>
      </c>
      <c r="R24" s="10">
        <f>IF(R$4&gt;Input_Output!$F$35,0,IPMT(Input_Output!$F$30,R$4,Input_Output!$F$35,Cashflow!$D56))</f>
        <v>-1484306.3546789356</v>
      </c>
      <c r="S24" s="10">
        <f>IF(S$4&gt;Input_Output!$F$35,0,IPMT(Input_Output!$F$30,S$4,Input_Output!$F$35,Cashflow!$D56))</f>
        <v>-1001703.1911986882</v>
      </c>
      <c r="T24" s="10">
        <f>IF(T$4&gt;Input_Output!$F$35,0,IPMT(Input_Output!$F$30,T$4,Input_Output!$F$35,Cashflow!$D56))</f>
        <v>-507034.94863143482</v>
      </c>
      <c r="U24" s="10">
        <f>IF(U$4&gt;Input_Output!$F$35,0,IPMT(Input_Output!$F$30,U$4,Input_Output!$F$35,Cashflow!$D56))</f>
        <v>0</v>
      </c>
      <c r="V24" s="10">
        <f>IF(V$4&gt;Input_Output!$F$35,0,IPMT(Input_Output!$F$30,V$4,Input_Output!$F$35,Cashflow!$D56))</f>
        <v>0</v>
      </c>
      <c r="W24" s="10">
        <f>IF(W$4&gt;Input_Output!$F$35,0,IPMT(Input_Output!$F$30,W$4,Input_Output!$F$35,Cashflow!$D56))</f>
        <v>0</v>
      </c>
      <c r="X24" s="10">
        <f>IF(X$4&gt;Input_Output!$F$35,0,IPMT(Input_Output!$F$30,X$4,Input_Output!$F$35,Cashflow!$D56))</f>
        <v>0</v>
      </c>
      <c r="Y24" s="10">
        <f>IF(Y$4&gt;Input_Output!$F$35,0,IPMT(Input_Output!$F$30,Y$4,Input_Output!$F$35,Cashflow!$D56))</f>
        <v>0</v>
      </c>
      <c r="Z24" s="10">
        <f>IF(Z$4&gt;Input_Output!$F$35,0,IPMT(Input_Output!$F$30,Z$4,Input_Output!$F$35,Cashflow!$D56))</f>
        <v>0</v>
      </c>
      <c r="AA24" s="10">
        <f>IF(AA$4&gt;Input_Output!$F$35,0,IPMT(Input_Output!$F$30,AA$4,Input_Output!$F$35,Cashflow!$D56))</f>
        <v>0</v>
      </c>
      <c r="AB24" s="10">
        <f>IF(AB$4&gt;Input_Output!$F$35,0,IPMT(Input_Output!$F$30,AB$4,Input_Output!$F$35,Cashflow!$D56))</f>
        <v>0</v>
      </c>
      <c r="AC24" s="10">
        <f>IF(AC$4&gt;Input_Output!$F$35,0,IPMT(Input_Output!$F$30,AC$4,Input_Output!$F$35,Cashflow!$D56))</f>
        <v>0</v>
      </c>
      <c r="AD24" s="10">
        <f>IF(AD$4&gt;Input_Output!$F$35,0,IPMT(Input_Output!$F$30,AD$4,Input_Output!$F$35,Cashflow!$D56))</f>
        <v>0</v>
      </c>
      <c r="AE24" s="10">
        <f>IF(AE$4&gt;Input_Output!$F$35,0,IPMT(Input_Output!$F$30,AE$4,Input_Output!$F$35,Cashflow!$D56))</f>
        <v>0</v>
      </c>
      <c r="AF24" s="10">
        <f>IF(AF$4&gt;Input_Output!$F$35,0,IPMT(Input_Output!$F$30,AF$4,Input_Output!$F$35,Cashflow!$D56))</f>
        <v>0</v>
      </c>
      <c r="AG24" s="10">
        <f>IF(AG$4&gt;Input_Output!$F$35,0,IPMT(Input_Output!$F$30,AG$4,Input_Output!$F$35,Cashflow!$D56))</f>
        <v>0</v>
      </c>
      <c r="AH24" s="10">
        <f>IF(AH$4&gt;Input_Output!$F$35,0,IPMT(Input_Output!$F$30,AH$4,Input_Output!$F$35,Cashflow!$D56))</f>
        <v>0</v>
      </c>
      <c r="AI24" s="10">
        <f>IF(AI$4&gt;Input_Output!$F$35,0,IPMT(Input_Output!$F$30,AI$4,Input_Output!$F$35,Cashflow!$D56))</f>
        <v>0</v>
      </c>
      <c r="AJ24" s="10">
        <f>IF(AJ$4&gt;Input_Output!$F$35,0,IPMT(Input_Output!$F$30,AJ$4,Input_Output!$F$35,Cashflow!$D56))</f>
        <v>0</v>
      </c>
      <c r="AK24" s="2"/>
    </row>
    <row r="25" spans="1:37" ht="15.95" customHeight="1" x14ac:dyDescent="0.2">
      <c r="A25" s="69"/>
      <c r="B25" s="61"/>
      <c r="C25" s="14" t="s">
        <v>214</v>
      </c>
      <c r="D25" s="47" t="s">
        <v>18</v>
      </c>
      <c r="E25" s="9"/>
      <c r="F25" s="10">
        <f>IF(F$4&gt;Input_Output!$F$35,0,PPMT(Input_Output!$F$30,F$4,Input_Output!$F$35,Cashflow!$D56))</f>
        <v>-14353696.893888824</v>
      </c>
      <c r="G25" s="10">
        <f>IF(G$4&gt;Input_Output!$F$35,0,PPMT(Input_Output!$F$30,G$4,Input_Output!$F$35,Cashflow!$D56))</f>
        <v>-14712539.316236043</v>
      </c>
      <c r="H25" s="10">
        <f>IF(H$4&gt;Input_Output!$F$35,0,PPMT(Input_Output!$F$30,H$4,Input_Output!$F$35,Cashflow!$D56))</f>
        <v>-15080352.799141947</v>
      </c>
      <c r="I25" s="10">
        <f>IF(I$4&gt;Input_Output!$F$35,0,PPMT(Input_Output!$F$30,I$4,Input_Output!$F$35,Cashflow!$D56))</f>
        <v>-15457361.619120494</v>
      </c>
      <c r="J25" s="10">
        <f>IF(J$4&gt;Input_Output!$F$35,0,PPMT(Input_Output!$F$30,J$4,Input_Output!$F$35,Cashflow!$D56))</f>
        <v>-15843795.659598507</v>
      </c>
      <c r="K25" s="10">
        <f>IF(K$4&gt;Input_Output!$F$35,0,PPMT(Input_Output!$F$30,K$4,Input_Output!$F$35,Cashflow!$D56))</f>
        <v>-16239890.551088471</v>
      </c>
      <c r="L25" s="10">
        <f>IF(L$4&gt;Input_Output!$F$35,0,PPMT(Input_Output!$F$30,L$4,Input_Output!$F$35,Cashflow!$D56))</f>
        <v>-16645887.814865682</v>
      </c>
      <c r="M25" s="10">
        <f>IF(M$4&gt;Input_Output!$F$35,0,PPMT(Input_Output!$F$30,M$4,Input_Output!$F$35,Cashflow!$D56))</f>
        <v>-17062035.010237325</v>
      </c>
      <c r="N25" s="10">
        <f>IF(N$4&gt;Input_Output!$F$35,0,PPMT(Input_Output!$F$30,N$4,Input_Output!$F$35,Cashflow!$D56))</f>
        <v>-17488585.885493256</v>
      </c>
      <c r="O25" s="10">
        <f>IF(O$4&gt;Input_Output!$F$35,0,PPMT(Input_Output!$F$30,O$4,Input_Output!$F$35,Cashflow!$D56))</f>
        <v>-17925800.532630589</v>
      </c>
      <c r="P25" s="10">
        <f>IF(P$4&gt;Input_Output!$F$35,0,PPMT(Input_Output!$F$30,P$4,Input_Output!$F$35,Cashflow!$D56))</f>
        <v>-18373945.545946356</v>
      </c>
      <c r="Q25" s="10">
        <f>IF(Q$4&gt;Input_Output!$F$35,0,PPMT(Input_Output!$F$30,Q$4,Input_Output!$F$35,Cashflow!$D56))</f>
        <v>-18833294.184595015</v>
      </c>
      <c r="R25" s="10">
        <f>IF(R$4&gt;Input_Output!$F$35,0,PPMT(Input_Output!$F$30,R$4,Input_Output!$F$35,Cashflow!$D56))</f>
        <v>-19304126.539209887</v>
      </c>
      <c r="S25" s="10">
        <f>IF(S$4&gt;Input_Output!$F$35,0,PPMT(Input_Output!$F$30,S$4,Input_Output!$F$35,Cashflow!$D56))</f>
        <v>-19786729.702690136</v>
      </c>
      <c r="T25" s="10">
        <f>IF(T$4&gt;Input_Output!$F$35,0,PPMT(Input_Output!$F$30,T$4,Input_Output!$F$35,Cashflow!$D56))</f>
        <v>-20281397.945257388</v>
      </c>
      <c r="U25" s="10">
        <f>IF(U$4&gt;Input_Output!$F$35,0,PPMT(Input_Output!$F$30,U$4,Input_Output!$F$35,Cashflow!$D56))</f>
        <v>0</v>
      </c>
      <c r="V25" s="10">
        <f>IF(V$4&gt;Input_Output!$F$35,0,PPMT(Input_Output!$F$30,V$4,Input_Output!$F$35,Cashflow!$D56))</f>
        <v>0</v>
      </c>
      <c r="W25" s="10">
        <f>IF(W$4&gt;Input_Output!$F$35,0,PPMT(Input_Output!$F$30,W$4,Input_Output!$F$35,Cashflow!$D56))</f>
        <v>0</v>
      </c>
      <c r="X25" s="10">
        <f>IF(X$4&gt;Input_Output!$F$35,0,PPMT(Input_Output!$F$30,X$4,Input_Output!$F$35,Cashflow!$D56))</f>
        <v>0</v>
      </c>
      <c r="Y25" s="10">
        <f>IF(Y$4&gt;Input_Output!$F$35,0,PPMT(Input_Output!$F$30,Y$4,Input_Output!$F$35,Cashflow!$D56))</f>
        <v>0</v>
      </c>
      <c r="Z25" s="10">
        <f>IF(Z$4&gt;Input_Output!$F$35,0,PPMT(Input_Output!$F$30,Z$4,Input_Output!$F$35,Cashflow!$D56))</f>
        <v>0</v>
      </c>
      <c r="AA25" s="10">
        <f>IF(AA$4&gt;Input_Output!$F$35,0,PPMT(Input_Output!$F$30,AA$4,Input_Output!$F$35,Cashflow!$D56))</f>
        <v>0</v>
      </c>
      <c r="AB25" s="10">
        <f>IF(AB$4&gt;Input_Output!$F$35,0,PPMT(Input_Output!$F$30,AB$4,Input_Output!$F$35,Cashflow!$D56))</f>
        <v>0</v>
      </c>
      <c r="AC25" s="10">
        <f>IF(AC$4&gt;Input_Output!$F$35,0,PPMT(Input_Output!$F$30,AC$4,Input_Output!$F$35,Cashflow!$D56))</f>
        <v>0</v>
      </c>
      <c r="AD25" s="10">
        <f>IF(AD$4&gt;Input_Output!$F$35,0,PPMT(Input_Output!$F$30,AD$4,Input_Output!$F$35,Cashflow!$D56))</f>
        <v>0</v>
      </c>
      <c r="AE25" s="10">
        <f>IF(AE$4&gt;Input_Output!$F$35,0,PPMT(Input_Output!$F$30,AE$4,Input_Output!$F$35,Cashflow!$D56))</f>
        <v>0</v>
      </c>
      <c r="AF25" s="10">
        <f>IF(AF$4&gt;Input_Output!$F$35,0,PPMT(Input_Output!$F$30,AF$4,Input_Output!$F$35,Cashflow!$D56))</f>
        <v>0</v>
      </c>
      <c r="AG25" s="10">
        <f>IF(AG$4&gt;Input_Output!$F$35,0,PPMT(Input_Output!$F$30,AG$4,Input_Output!$F$35,Cashflow!$D56))</f>
        <v>0</v>
      </c>
      <c r="AH25" s="10">
        <f>IF(AH$4&gt;Input_Output!$F$35,0,PPMT(Input_Output!$F$30,AH$4,Input_Output!$F$35,Cashflow!$D56))</f>
        <v>0</v>
      </c>
      <c r="AI25" s="10">
        <f>IF(AI$4&gt;Input_Output!$F$35,0,PPMT(Input_Output!$F$30,AI$4,Input_Output!$F$35,Cashflow!$D56))</f>
        <v>0</v>
      </c>
      <c r="AJ25" s="10">
        <f>IF(AJ$4&gt;Input_Output!$F$35,0,PPMT(Input_Output!$F$30,AJ$4,Input_Output!$F$35,Cashflow!$D56))</f>
        <v>0</v>
      </c>
      <c r="AK25" s="2"/>
    </row>
    <row r="26" spans="1:37" ht="15.95" customHeight="1" x14ac:dyDescent="0.2">
      <c r="A26" s="69"/>
      <c r="B26" s="61"/>
      <c r="C26" s="14" t="s">
        <v>215</v>
      </c>
      <c r="D26" s="47" t="s">
        <v>18</v>
      </c>
      <c r="E26" s="9"/>
      <c r="F26" s="122">
        <f>SUM(F24:F25)</f>
        <v>-20788432.893888824</v>
      </c>
      <c r="G26" s="122">
        <f t="shared" ref="G26:AJ26" si="5">SUM(G24:G25)</f>
        <v>-20788432.893888824</v>
      </c>
      <c r="H26" s="122">
        <f t="shared" si="5"/>
        <v>-20788432.893888824</v>
      </c>
      <c r="I26" s="122">
        <f t="shared" si="5"/>
        <v>-20788432.893888824</v>
      </c>
      <c r="J26" s="122">
        <f t="shared" si="5"/>
        <v>-20788432.893888824</v>
      </c>
      <c r="K26" s="122">
        <f t="shared" si="5"/>
        <v>-20788432.893888824</v>
      </c>
      <c r="L26" s="122">
        <f t="shared" si="5"/>
        <v>-20788432.893888824</v>
      </c>
      <c r="M26" s="122">
        <f t="shared" si="5"/>
        <v>-20788432.893888824</v>
      </c>
      <c r="N26" s="122">
        <f t="shared" si="5"/>
        <v>-20788432.893888824</v>
      </c>
      <c r="O26" s="122">
        <f t="shared" si="5"/>
        <v>-20788432.893888824</v>
      </c>
      <c r="P26" s="122">
        <f t="shared" si="5"/>
        <v>-20788432.893888824</v>
      </c>
      <c r="Q26" s="122">
        <f t="shared" si="5"/>
        <v>-20788432.893888824</v>
      </c>
      <c r="R26" s="122">
        <f t="shared" si="5"/>
        <v>-20788432.893888824</v>
      </c>
      <c r="S26" s="122">
        <f t="shared" si="5"/>
        <v>-20788432.893888824</v>
      </c>
      <c r="T26" s="122">
        <f t="shared" si="5"/>
        <v>-20788432.893888824</v>
      </c>
      <c r="U26" s="122">
        <f t="shared" si="5"/>
        <v>0</v>
      </c>
      <c r="V26" s="122">
        <f t="shared" si="5"/>
        <v>0</v>
      </c>
      <c r="W26" s="122">
        <f t="shared" si="5"/>
        <v>0</v>
      </c>
      <c r="X26" s="122">
        <f t="shared" si="5"/>
        <v>0</v>
      </c>
      <c r="Y26" s="122">
        <f t="shared" si="5"/>
        <v>0</v>
      </c>
      <c r="Z26" s="122">
        <f t="shared" si="5"/>
        <v>0</v>
      </c>
      <c r="AA26" s="122">
        <f t="shared" si="5"/>
        <v>0</v>
      </c>
      <c r="AB26" s="122">
        <f t="shared" si="5"/>
        <v>0</v>
      </c>
      <c r="AC26" s="122">
        <f t="shared" si="5"/>
        <v>0</v>
      </c>
      <c r="AD26" s="122">
        <f t="shared" si="5"/>
        <v>0</v>
      </c>
      <c r="AE26" s="122">
        <f t="shared" si="5"/>
        <v>0</v>
      </c>
      <c r="AF26" s="122">
        <f t="shared" si="5"/>
        <v>0</v>
      </c>
      <c r="AG26" s="122">
        <f t="shared" si="5"/>
        <v>0</v>
      </c>
      <c r="AH26" s="122">
        <f t="shared" si="5"/>
        <v>0</v>
      </c>
      <c r="AI26" s="122">
        <f t="shared" si="5"/>
        <v>0</v>
      </c>
      <c r="AJ26" s="122">
        <f t="shared" si="5"/>
        <v>0</v>
      </c>
      <c r="AK26" s="2"/>
    </row>
    <row r="27" spans="1:37" ht="15.95" customHeight="1" x14ac:dyDescent="0.2">
      <c r="A27" s="69"/>
      <c r="B27" s="61"/>
      <c r="C27" s="14" t="s">
        <v>216</v>
      </c>
      <c r="D27" s="47" t="s">
        <v>18</v>
      </c>
      <c r="E27" s="9"/>
      <c r="F27" s="10">
        <f>IF(OR(F$4&gt;Input_Output!$F$35+1,F$4&lt;2),0,IPMT(Input_Output!$F$30,E$4,Input_Output!$F$35,Cashflow!$D57))</f>
        <v>0</v>
      </c>
      <c r="G27" s="10">
        <f>IF(OR(G$4&gt;Input_Output!$F$35+1,G$4&lt;2),0,IPMT(Input_Output!$F$30,F$4,Input_Output!$F$35,Cashflow!$D57))</f>
        <v>-15314671.68</v>
      </c>
      <c r="H27" s="10">
        <f>IF(OR(H$4&gt;Input_Output!$F$35+1,H$4&lt;2),0,IPMT(Input_Output!$F$30,G$4,Input_Output!$F$35,Cashflow!$D57))</f>
        <v>-14460626.714813612</v>
      </c>
      <c r="I27" s="10">
        <f>IF(OR(I$4&gt;Input_Output!$F$35+1,I$4&lt;2),0,IPMT(Input_Output!$F$30,H$4,Input_Output!$F$35,Cashflow!$D57))</f>
        <v>-13585230.625497565</v>
      </c>
      <c r="J27" s="10">
        <f>IF(OR(J$4&gt;Input_Output!$F$35+1,J$4&lt;2),0,IPMT(Input_Output!$F$30,I$4,Input_Output!$F$35,Cashflow!$D57))</f>
        <v>-12687949.63394862</v>
      </c>
      <c r="K27" s="10">
        <f>IF(OR(K$4&gt;Input_Output!$F$35+1,K$4&lt;2),0,IPMT(Input_Output!$F$30,J$4,Input_Output!$F$35,Cashflow!$D57))</f>
        <v>-11768236.617610954</v>
      </c>
      <c r="L27" s="10">
        <f>IF(OR(L$4&gt;Input_Output!$F$35+1,L$4&lt;2),0,IPMT(Input_Output!$F$30,K$4,Input_Output!$F$35,Cashflow!$D57))</f>
        <v>-10825530.77586484</v>
      </c>
      <c r="M27" s="10">
        <f>IF(OR(M$4&gt;Input_Output!$F$35+1,M$4&lt;2),0,IPMT(Input_Output!$F$30,L$4,Input_Output!$F$35,Cashflow!$D57))</f>
        <v>-9859257.2880750764</v>
      </c>
      <c r="N27" s="10">
        <f>IF(OR(N$4&gt;Input_Output!$F$35+1,N$4&lt;2),0,IPMT(Input_Output!$F$30,M$4,Input_Output!$F$35,Cashflow!$D57))</f>
        <v>-8868826.9630905669</v>
      </c>
      <c r="O27" s="10">
        <f>IF(OR(O$4&gt;Input_Output!$F$35+1,O$4&lt;2),0,IPMT(Input_Output!$F$30,N$4,Input_Output!$F$35,Cashflow!$D57))</f>
        <v>-7853635.8799814479</v>
      </c>
      <c r="P27" s="10">
        <f>IF(OR(P$4&gt;Input_Output!$F$35+1,P$4&lt;2),0,IPMT(Input_Output!$F$30,O$4,Input_Output!$F$35,Cashflow!$D57))</f>
        <v>-6813065.0197945982</v>
      </c>
      <c r="Q27" s="10">
        <f>IF(OR(Q$4&gt;Input_Output!$F$35+1,Q$4&lt;2),0,IPMT(Input_Output!$F$30,P$4,Input_Output!$F$35,Cashflow!$D57))</f>
        <v>-5746479.8881030781</v>
      </c>
      <c r="R27" s="10">
        <f>IF(OR(R$4&gt;Input_Output!$F$35+1,R$4&lt;2),0,IPMT(Input_Output!$F$30,Q$4,Input_Output!$F$35,Cashflow!$D57))</f>
        <v>-4653230.1281192703</v>
      </c>
      <c r="S27" s="10">
        <f>IF(OR(S$4&gt;Input_Output!$F$35+1,S$4&lt;2),0,IPMT(Input_Output!$F$30,R$4,Input_Output!$F$35,Cashflow!$D57))</f>
        <v>-3532649.1241358668</v>
      </c>
      <c r="T27" s="10">
        <f>IF(OR(T$4&gt;Input_Output!$F$35+1,T$4&lt;2),0,IPMT(Input_Output!$F$30,S$4,Input_Output!$F$35,Cashflow!$D57))</f>
        <v>-2384053.5950528784</v>
      </c>
      <c r="U27" s="10">
        <f>IF(OR(U$4&gt;Input_Output!$F$35+1,U$4&lt;2),0,IPMT(Input_Output!$F$30,T$4,Input_Output!$F$35,Cashflow!$D57))</f>
        <v>-1206743.1777428149</v>
      </c>
      <c r="V27" s="10">
        <f>IF(OR(V$4&gt;Input_Output!$F$35+1,V$4&lt;2),0,IPMT(Input_Output!$F$30,U$4,Input_Output!$F$35,Cashflow!$D57))</f>
        <v>0</v>
      </c>
      <c r="W27" s="10">
        <f>IF(OR(W$4&gt;Input_Output!$F$35+1,W$4&lt;2),0,IPMT(Input_Output!$F$30,V$4,Input_Output!$F$35,Cashflow!$D57))</f>
        <v>0</v>
      </c>
      <c r="X27" s="10">
        <f>IF(OR(X$4&gt;Input_Output!$F$35+1,X$4&lt;2),0,IPMT(Input_Output!$F$30,W$4,Input_Output!$F$35,Cashflow!$D57))</f>
        <v>0</v>
      </c>
      <c r="Y27" s="10">
        <f>IF(OR(Y$4&gt;Input_Output!$F$35+1,Y$4&lt;2),0,IPMT(Input_Output!$F$30,X$4,Input_Output!$F$35,Cashflow!$D57))</f>
        <v>0</v>
      </c>
      <c r="Z27" s="10">
        <f>IF(OR(Z$4&gt;Input_Output!$F$35+1,Z$4&lt;2),0,IPMT(Input_Output!$F$30,Y$4,Input_Output!$F$35,Cashflow!$D57))</f>
        <v>0</v>
      </c>
      <c r="AA27" s="10">
        <f>IF(OR(AA$4&gt;Input_Output!$F$35+1,AA$4&lt;2),0,IPMT(Input_Output!$F$30,Z$4,Input_Output!$F$35,Cashflow!$D57))</f>
        <v>0</v>
      </c>
      <c r="AB27" s="10">
        <f>IF(OR(AB$4&gt;Input_Output!$F$35+1,AB$4&lt;2),0,IPMT(Input_Output!$F$30,AA$4,Input_Output!$F$35,Cashflow!$D57))</f>
        <v>0</v>
      </c>
      <c r="AC27" s="10">
        <f>IF(OR(AC$4&gt;Input_Output!$F$35+1,AC$4&lt;2),0,IPMT(Input_Output!$F$30,AB$4,Input_Output!$F$35,Cashflow!$D57))</f>
        <v>0</v>
      </c>
      <c r="AD27" s="10">
        <f>IF(OR(AD$4&gt;Input_Output!$F$35+1,AD$4&lt;2),0,IPMT(Input_Output!$F$30,AC$4,Input_Output!$F$35,Cashflow!$D57))</f>
        <v>0</v>
      </c>
      <c r="AE27" s="10">
        <f>IF(OR(AE$4&gt;Input_Output!$F$35+1,AE$4&lt;2),0,IPMT(Input_Output!$F$30,AD$4,Input_Output!$F$35,Cashflow!$D57))</f>
        <v>0</v>
      </c>
      <c r="AF27" s="10">
        <f>IF(OR(AF$4&gt;Input_Output!$F$35+1,AF$4&lt;2),0,IPMT(Input_Output!$F$30,AE$4,Input_Output!$F$35,Cashflow!$D57))</f>
        <v>0</v>
      </c>
      <c r="AG27" s="10">
        <f>IF(OR(AG$4&gt;Input_Output!$F$35+1,AG$4&lt;2),0,IPMT(Input_Output!$F$30,AF$4,Input_Output!$F$35,Cashflow!$D57))</f>
        <v>0</v>
      </c>
      <c r="AH27" s="10">
        <f>IF(OR(AH$4&gt;Input_Output!$F$35+1,AH$4&lt;2),0,IPMT(Input_Output!$F$30,AG$4,Input_Output!$F$35,Cashflow!$D57))</f>
        <v>0</v>
      </c>
      <c r="AI27" s="10">
        <f>IF(OR(AI$4&gt;Input_Output!$F$35+1,AI$4&lt;2),0,IPMT(Input_Output!$F$30,AH$4,Input_Output!$F$35,Cashflow!$D57))</f>
        <v>0</v>
      </c>
      <c r="AJ27" s="10">
        <f>IF(OR(AJ$4&gt;Input_Output!$F$35+1,AJ$4&lt;2),0,IPMT(Input_Output!$F$30,AI$4,Input_Output!$F$35,Cashflow!$D57))</f>
        <v>0</v>
      </c>
      <c r="AK27" s="2"/>
    </row>
    <row r="28" spans="1:37" ht="15.95" customHeight="1" x14ac:dyDescent="0.2">
      <c r="A28" s="69"/>
      <c r="B28" s="61"/>
      <c r="C28" s="14" t="s">
        <v>217</v>
      </c>
      <c r="D28" s="47" t="s">
        <v>18</v>
      </c>
      <c r="E28" s="9"/>
      <c r="F28" s="10">
        <f>IF(OR(F$4&gt;Input_Output!$F$35+1,F$4&lt;2),0,PPMT(Input_Output!$F$30,E$4,Input_Output!$F$35,Cashflow!$D57))</f>
        <v>0</v>
      </c>
      <c r="G28" s="10">
        <f>IF(OR(G$4&gt;Input_Output!$F$35+1,G$4&lt;2),0,PPMT(Input_Output!$F$30,F$4,Input_Output!$F$35,Cashflow!$D57))</f>
        <v>-34161798.607455403</v>
      </c>
      <c r="H28" s="10">
        <f>IF(OR(H$4&gt;Input_Output!$F$35+1,H$4&lt;2),0,PPMT(Input_Output!$F$30,G$4,Input_Output!$F$35,Cashflow!$D57))</f>
        <v>-35015843.572641782</v>
      </c>
      <c r="I28" s="10">
        <f>IF(OR(I$4&gt;Input_Output!$F$35+1,I$4&lt;2),0,PPMT(Input_Output!$F$30,H$4,Input_Output!$F$35,Cashflow!$D57))</f>
        <v>-35891239.66195783</v>
      </c>
      <c r="J28" s="10">
        <f>IF(OR(J$4&gt;Input_Output!$F$35+1,J$4&lt;2),0,PPMT(Input_Output!$F$30,I$4,Input_Output!$F$35,Cashflow!$D57))</f>
        <v>-36788520.653506778</v>
      </c>
      <c r="K28" s="10">
        <f>IF(OR(K$4&gt;Input_Output!$F$35+1,K$4&lt;2),0,PPMT(Input_Output!$F$30,J$4,Input_Output!$F$35,Cashflow!$D57))</f>
        <v>-37708233.669844441</v>
      </c>
      <c r="L28" s="10">
        <f>IF(OR(L$4&gt;Input_Output!$F$35+1,L$4&lt;2),0,PPMT(Input_Output!$F$30,K$4,Input_Output!$F$35,Cashflow!$D57))</f>
        <v>-38650939.511590563</v>
      </c>
      <c r="M28" s="10">
        <f>IF(OR(M$4&gt;Input_Output!$F$35+1,M$4&lt;2),0,PPMT(Input_Output!$F$30,L$4,Input_Output!$F$35,Cashflow!$D57))</f>
        <v>-39617212.99938032</v>
      </c>
      <c r="N28" s="10">
        <f>IF(OR(N$4&gt;Input_Output!$F$35+1,N$4&lt;2),0,PPMT(Input_Output!$F$30,M$4,Input_Output!$F$35,Cashflow!$D57))</f>
        <v>-40607643.324364834</v>
      </c>
      <c r="O28" s="10">
        <f>IF(OR(O$4&gt;Input_Output!$F$35+1,O$4&lt;2),0,PPMT(Input_Output!$F$30,N$4,Input_Output!$F$35,Cashflow!$D57))</f>
        <v>-41622834.407473952</v>
      </c>
      <c r="P28" s="10">
        <f>IF(OR(P$4&gt;Input_Output!$F$35+1,P$4&lt;2),0,PPMT(Input_Output!$F$30,O$4,Input_Output!$F$35,Cashflow!$D57))</f>
        <v>-42663405.267660797</v>
      </c>
      <c r="Q28" s="10">
        <f>IF(OR(Q$4&gt;Input_Output!$F$35+1,Q$4&lt;2),0,PPMT(Input_Output!$F$30,P$4,Input_Output!$F$35,Cashflow!$D57))</f>
        <v>-43729990.39935232</v>
      </c>
      <c r="R28" s="10">
        <f>IF(OR(R$4&gt;Input_Output!$F$35+1,R$4&lt;2),0,PPMT(Input_Output!$F$30,Q$4,Input_Output!$F$35,Cashflow!$D57))</f>
        <v>-44823240.159336135</v>
      </c>
      <c r="S28" s="10">
        <f>IF(OR(S$4&gt;Input_Output!$F$35+1,S$4&lt;2),0,PPMT(Input_Output!$F$30,R$4,Input_Output!$F$35,Cashflow!$D57))</f>
        <v>-45943821.163319536</v>
      </c>
      <c r="T28" s="10">
        <f>IF(OR(T$4&gt;Input_Output!$F$35+1,T$4&lt;2),0,PPMT(Input_Output!$F$30,S$4,Input_Output!$F$35,Cashflow!$D57))</f>
        <v>-47092416.692402527</v>
      </c>
      <c r="U28" s="10">
        <f>IF(OR(U$4&gt;Input_Output!$F$35+1,U$4&lt;2),0,PPMT(Input_Output!$F$30,T$4,Input_Output!$F$35,Cashflow!$D57))</f>
        <v>-48269727.109712586</v>
      </c>
      <c r="V28" s="10">
        <f>IF(OR(V$4&gt;Input_Output!$F$35+1,V$4&lt;2),0,PPMT(Input_Output!$F$30,U$4,Input_Output!$F$35,Cashflow!$D57))</f>
        <v>0</v>
      </c>
      <c r="W28" s="10">
        <f>IF(OR(W$4&gt;Input_Output!$F$35+1,W$4&lt;2),0,PPMT(Input_Output!$F$30,V$4,Input_Output!$F$35,Cashflow!$D57))</f>
        <v>0</v>
      </c>
      <c r="X28" s="10">
        <f>IF(OR(X$4&gt;Input_Output!$F$35+1,X$4&lt;2),0,PPMT(Input_Output!$F$30,W$4,Input_Output!$F$35,Cashflow!$D57))</f>
        <v>0</v>
      </c>
      <c r="Y28" s="10">
        <f>IF(OR(Y$4&gt;Input_Output!$F$35+1,Y$4&lt;2),0,PPMT(Input_Output!$F$30,X$4,Input_Output!$F$35,Cashflow!$D57))</f>
        <v>0</v>
      </c>
      <c r="Z28" s="10">
        <f>IF(OR(Z$4&gt;Input_Output!$F$35+1,Z$4&lt;2),0,PPMT(Input_Output!$F$30,Y$4,Input_Output!$F$35,Cashflow!$D57))</f>
        <v>0</v>
      </c>
      <c r="AA28" s="10">
        <f>IF(OR(AA$4&gt;Input_Output!$F$35+1,AA$4&lt;2),0,PPMT(Input_Output!$F$30,Z$4,Input_Output!$F$35,Cashflow!$D57))</f>
        <v>0</v>
      </c>
      <c r="AB28" s="10">
        <f>IF(OR(AB$4&gt;Input_Output!$F$35+1,AB$4&lt;2),0,PPMT(Input_Output!$F$30,AA$4,Input_Output!$F$35,Cashflow!$D57))</f>
        <v>0</v>
      </c>
      <c r="AC28" s="10">
        <f>IF(OR(AC$4&gt;Input_Output!$F$35+1,AC$4&lt;2),0,PPMT(Input_Output!$F$30,AB$4,Input_Output!$F$35,Cashflow!$D57))</f>
        <v>0</v>
      </c>
      <c r="AD28" s="10">
        <f>IF(OR(AD$4&gt;Input_Output!$F$35+1,AD$4&lt;2),0,PPMT(Input_Output!$F$30,AC$4,Input_Output!$F$35,Cashflow!$D57))</f>
        <v>0</v>
      </c>
      <c r="AE28" s="10">
        <f>IF(OR(AE$4&gt;Input_Output!$F$35+1,AE$4&lt;2),0,PPMT(Input_Output!$F$30,AD$4,Input_Output!$F$35,Cashflow!$D57))</f>
        <v>0</v>
      </c>
      <c r="AF28" s="10">
        <f>IF(OR(AF$4&gt;Input_Output!$F$35+1,AF$4&lt;2),0,PPMT(Input_Output!$F$30,AE$4,Input_Output!$F$35,Cashflow!$D57))</f>
        <v>0</v>
      </c>
      <c r="AG28" s="10">
        <f>IF(OR(AG$4&gt;Input_Output!$F$35+1,AG$4&lt;2),0,PPMT(Input_Output!$F$30,AF$4,Input_Output!$F$35,Cashflow!$D57))</f>
        <v>0</v>
      </c>
      <c r="AH28" s="10">
        <f>IF(OR(AH$4&gt;Input_Output!$F$35+1,AH$4&lt;2),0,PPMT(Input_Output!$F$30,AG$4,Input_Output!$F$35,Cashflow!$D57))</f>
        <v>0</v>
      </c>
      <c r="AI28" s="10">
        <f>IF(OR(AI$4&gt;Input_Output!$F$35+1,AI$4&lt;2),0,PPMT(Input_Output!$F$30,AH$4,Input_Output!$F$35,Cashflow!$D57))</f>
        <v>0</v>
      </c>
      <c r="AJ28" s="10">
        <f>IF(OR(AJ$4&gt;Input_Output!$F$35+1,AJ$4&lt;2),0,PPMT(Input_Output!$F$30,AI$4,Input_Output!$F$35,Cashflow!$D57))</f>
        <v>0</v>
      </c>
      <c r="AK28" s="2"/>
    </row>
    <row r="29" spans="1:37" ht="15.95" customHeight="1" x14ac:dyDescent="0.2">
      <c r="A29" s="69"/>
      <c r="B29" s="61"/>
      <c r="C29" s="14" t="s">
        <v>215</v>
      </c>
      <c r="D29" s="47" t="s">
        <v>18</v>
      </c>
      <c r="E29" s="9"/>
      <c r="F29" s="10">
        <f>SUM(F27:F28)</f>
        <v>0</v>
      </c>
      <c r="G29" s="10">
        <f t="shared" ref="G29:AJ29" si="6">SUM(G27:G28)</f>
        <v>-49476470.287455402</v>
      </c>
      <c r="H29" s="10">
        <f t="shared" si="6"/>
        <v>-49476470.287455395</v>
      </c>
      <c r="I29" s="10">
        <f t="shared" si="6"/>
        <v>-49476470.287455395</v>
      </c>
      <c r="J29" s="10">
        <f t="shared" si="6"/>
        <v>-49476470.287455395</v>
      </c>
      <c r="K29" s="10">
        <f t="shared" si="6"/>
        <v>-49476470.287455395</v>
      </c>
      <c r="L29" s="10">
        <f t="shared" si="6"/>
        <v>-49476470.287455402</v>
      </c>
      <c r="M29" s="10">
        <f t="shared" si="6"/>
        <v>-49476470.287455395</v>
      </c>
      <c r="N29" s="10">
        <f t="shared" si="6"/>
        <v>-49476470.287455402</v>
      </c>
      <c r="O29" s="10">
        <f t="shared" si="6"/>
        <v>-49476470.287455402</v>
      </c>
      <c r="P29" s="10">
        <f t="shared" si="6"/>
        <v>-49476470.287455395</v>
      </c>
      <c r="Q29" s="10">
        <f t="shared" si="6"/>
        <v>-49476470.287455395</v>
      </c>
      <c r="R29" s="10">
        <f t="shared" si="6"/>
        <v>-49476470.287455402</v>
      </c>
      <c r="S29" s="10">
        <f t="shared" si="6"/>
        <v>-49476470.287455402</v>
      </c>
      <c r="T29" s="10">
        <f t="shared" si="6"/>
        <v>-49476470.287455402</v>
      </c>
      <c r="U29" s="10">
        <f t="shared" si="6"/>
        <v>-49476470.287455402</v>
      </c>
      <c r="V29" s="10">
        <f t="shared" si="6"/>
        <v>0</v>
      </c>
      <c r="W29" s="10">
        <f t="shared" si="6"/>
        <v>0</v>
      </c>
      <c r="X29" s="10">
        <f t="shared" si="6"/>
        <v>0</v>
      </c>
      <c r="Y29" s="10">
        <f t="shared" si="6"/>
        <v>0</v>
      </c>
      <c r="Z29" s="10">
        <f t="shared" si="6"/>
        <v>0</v>
      </c>
      <c r="AA29" s="10">
        <f t="shared" si="6"/>
        <v>0</v>
      </c>
      <c r="AB29" s="10">
        <f t="shared" si="6"/>
        <v>0</v>
      </c>
      <c r="AC29" s="10">
        <f t="shared" si="6"/>
        <v>0</v>
      </c>
      <c r="AD29" s="10">
        <f t="shared" si="6"/>
        <v>0</v>
      </c>
      <c r="AE29" s="10">
        <f t="shared" si="6"/>
        <v>0</v>
      </c>
      <c r="AF29" s="10">
        <f t="shared" si="6"/>
        <v>0</v>
      </c>
      <c r="AG29" s="10">
        <f t="shared" si="6"/>
        <v>0</v>
      </c>
      <c r="AH29" s="10">
        <f t="shared" si="6"/>
        <v>0</v>
      </c>
      <c r="AI29" s="10">
        <f t="shared" si="6"/>
        <v>0</v>
      </c>
      <c r="AJ29" s="10">
        <f t="shared" si="6"/>
        <v>0</v>
      </c>
      <c r="AK29" s="2"/>
    </row>
    <row r="30" spans="1:37" ht="15.95" customHeight="1" x14ac:dyDescent="0.2">
      <c r="A30" s="69"/>
      <c r="B30" s="61"/>
      <c r="C30" s="14" t="s">
        <v>219</v>
      </c>
      <c r="D30" s="47" t="s">
        <v>18</v>
      </c>
      <c r="E30" s="9"/>
      <c r="F30" s="10">
        <f>IF(OR(F$4&gt;Input_Output!$F$35+2,F$4&lt;3),0,IPMT(Input_Output!$F$30,D$4,Input_Output!$F$35,Cashflow!$D58))</f>
        <v>0</v>
      </c>
      <c r="G30" s="10">
        <f>IF(OR(G$4&gt;Input_Output!$F$35+2,G$4&lt;3),0,IPMT(Input_Output!$F$30,E$4,Input_Output!$F$35,Cashflow!$D58))</f>
        <v>0</v>
      </c>
      <c r="H30" s="10">
        <f>IF(OR(H$4&gt;Input_Output!$F$35+2,H$4&lt;3),0,IPMT(Input_Output!$F$30,F$4,Input_Output!$F$35,Cashflow!$D58))</f>
        <v>0</v>
      </c>
      <c r="I30" s="10">
        <f>IF(OR(I$4&gt;Input_Output!$F$35+2,I$4&lt;3),0,IPMT(Input_Output!$F$30,G$4,Input_Output!$F$35,Cashflow!$D58))</f>
        <v>0</v>
      </c>
      <c r="J30" s="10">
        <f>IF(OR(J$4&gt;Input_Output!$F$35+2,J$4&lt;3),0,IPMT(Input_Output!$F$30,H$4,Input_Output!$F$35,Cashflow!$D58))</f>
        <v>0</v>
      </c>
      <c r="K30" s="10">
        <f>IF(OR(K$4&gt;Input_Output!$F$35+2,K$4&lt;3),0,IPMT(Input_Output!$F$30,I$4,Input_Output!$F$35,Cashflow!$D58))</f>
        <v>0</v>
      </c>
      <c r="L30" s="10">
        <f>IF(OR(L$4&gt;Input_Output!$F$35+2,L$4&lt;3),0,IPMT(Input_Output!$F$30,J$4,Input_Output!$F$35,Cashflow!$D58))</f>
        <v>0</v>
      </c>
      <c r="M30" s="10">
        <f>IF(OR(M$4&gt;Input_Output!$F$35+2,M$4&lt;3),0,IPMT(Input_Output!$F$30,K$4,Input_Output!$F$35,Cashflow!$D58))</f>
        <v>0</v>
      </c>
      <c r="N30" s="10">
        <f>IF(OR(N$4&gt;Input_Output!$F$35+2,N$4&lt;3),0,IPMT(Input_Output!$F$30,L$4,Input_Output!$F$35,Cashflow!$D58))</f>
        <v>0</v>
      </c>
      <c r="O30" s="10">
        <f>IF(OR(O$4&gt;Input_Output!$F$35+2,O$4&lt;3),0,IPMT(Input_Output!$F$30,M$4,Input_Output!$F$35,Cashflow!$D58))</f>
        <v>0</v>
      </c>
      <c r="P30" s="10">
        <f>IF(OR(P$4&gt;Input_Output!$F$35+2,P$4&lt;3),0,IPMT(Input_Output!$F$30,N$4,Input_Output!$F$35,Cashflow!$D58))</f>
        <v>0</v>
      </c>
      <c r="Q30" s="10">
        <f>IF(OR(Q$4&gt;Input_Output!$F$35+2,Q$4&lt;3),0,IPMT(Input_Output!$F$30,O$4,Input_Output!$F$35,Cashflow!$D58))</f>
        <v>0</v>
      </c>
      <c r="R30" s="10">
        <f>IF(OR(R$4&gt;Input_Output!$F$35+2,R$4&lt;3),0,IPMT(Input_Output!$F$30,P$4,Input_Output!$F$35,Cashflow!$D58))</f>
        <v>0</v>
      </c>
      <c r="S30" s="10">
        <f>IF(OR(S$4&gt;Input_Output!$F$35+2,S$4&lt;3),0,IPMT(Input_Output!$F$30,Q$4,Input_Output!$F$35,Cashflow!$D58))</f>
        <v>0</v>
      </c>
      <c r="T30" s="10">
        <f>IF(OR(T$4&gt;Input_Output!$F$35+2,T$4&lt;3),0,IPMT(Input_Output!$F$30,R$4,Input_Output!$F$35,Cashflow!$D58))</f>
        <v>0</v>
      </c>
      <c r="U30" s="10">
        <f>IF(OR(U$4&gt;Input_Output!$F$35+2,U$4&lt;3),0,IPMT(Input_Output!$F$30,S$4,Input_Output!$F$35,Cashflow!$D58))</f>
        <v>0</v>
      </c>
      <c r="V30" s="10">
        <f>IF(OR(V$4&gt;Input_Output!$F$35+2,V$4&lt;3),0,IPMT(Input_Output!$F$30,T$4,Input_Output!$F$35,Cashflow!$D58))</f>
        <v>0</v>
      </c>
      <c r="W30" s="10">
        <f>IF(OR(W$4&gt;Input_Output!$F$35+2,W$4&lt;3),0,IPMT(Input_Output!$F$30,U$4,Input_Output!$F$35,Cashflow!$D58))</f>
        <v>0</v>
      </c>
      <c r="X30" s="10">
        <f>IF(OR(X$4&gt;Input_Output!$F$35+2,X$4&lt;3),0,IPMT(Input_Output!$F$30,V$4,Input_Output!$F$35,Cashflow!$D58))</f>
        <v>0</v>
      </c>
      <c r="Y30" s="10">
        <f>IF(OR(Y$4&gt;Input_Output!$F$35+2,Y$4&lt;3),0,IPMT(Input_Output!$F$30,W$4,Input_Output!$F$35,Cashflow!$D58))</f>
        <v>0</v>
      </c>
      <c r="Z30" s="10">
        <f>IF(OR(Z$4&gt;Input_Output!$F$35+2,Z$4&lt;3),0,IPMT(Input_Output!$F$30,X$4,Input_Output!$F$35,Cashflow!$D58))</f>
        <v>0</v>
      </c>
      <c r="AA30" s="10">
        <f>IF(OR(AA$4&gt;Input_Output!$F$35+2,AA$4&lt;3),0,IPMT(Input_Output!$F$30,Y$4,Input_Output!$F$35,Cashflow!$D58))</f>
        <v>0</v>
      </c>
      <c r="AB30" s="10">
        <f>IF(OR(AB$4&gt;Input_Output!$F$35+2,AB$4&lt;3),0,IPMT(Input_Output!$F$30,Z$4,Input_Output!$F$35,Cashflow!$D58))</f>
        <v>0</v>
      </c>
      <c r="AC30" s="10">
        <f>IF(OR(AC$4&gt;Input_Output!$F$35+2,AC$4&lt;3),0,IPMT(Input_Output!$F$30,AA$4,Input_Output!$F$35,Cashflow!$D58))</f>
        <v>0</v>
      </c>
      <c r="AD30" s="10">
        <f>IF(OR(AD$4&gt;Input_Output!$F$35+2,AD$4&lt;3),0,IPMT(Input_Output!$F$30,AB$4,Input_Output!$F$35,Cashflow!$D58))</f>
        <v>0</v>
      </c>
      <c r="AE30" s="10">
        <f>IF(OR(AE$4&gt;Input_Output!$F$35+2,AE$4&lt;3),0,IPMT(Input_Output!$F$30,AC$4,Input_Output!$F$35,Cashflow!$D58))</f>
        <v>0</v>
      </c>
      <c r="AF30" s="10">
        <f>IF(OR(AF$4&gt;Input_Output!$F$35+2,AF$4&lt;3),0,IPMT(Input_Output!$F$30,AD$4,Input_Output!$F$35,Cashflow!$D58))</f>
        <v>0</v>
      </c>
      <c r="AG30" s="10">
        <f>IF(OR(AG$4&gt;Input_Output!$F$35+2,AG$4&lt;3),0,IPMT(Input_Output!$F$30,AE$4,Input_Output!$F$35,Cashflow!$D58))</f>
        <v>0</v>
      </c>
      <c r="AH30" s="10">
        <f>IF(OR(AH$4&gt;Input_Output!$F$35+2,AH$4&lt;3),0,IPMT(Input_Output!$F$30,AF$4,Input_Output!$F$35,Cashflow!$D58))</f>
        <v>0</v>
      </c>
      <c r="AI30" s="10">
        <f>IF(OR(AI$4&gt;Input_Output!$F$35+2,AI$4&lt;3),0,IPMT(Input_Output!$F$30,AG$4,Input_Output!$F$35,Cashflow!$D58))</f>
        <v>0</v>
      </c>
      <c r="AJ30" s="10">
        <f>IF(OR(AJ$4&gt;Input_Output!$F$35+2,AJ$4&lt;3),0,IPMT(Input_Output!$F$30,AH$4,Input_Output!$F$35,Cashflow!$D58))</f>
        <v>0</v>
      </c>
      <c r="AK30" s="2"/>
    </row>
    <row r="31" spans="1:37" ht="15.95" customHeight="1" x14ac:dyDescent="0.2">
      <c r="A31" s="69"/>
      <c r="B31" s="61"/>
      <c r="C31" s="14" t="s">
        <v>220</v>
      </c>
      <c r="D31" s="47" t="s">
        <v>18</v>
      </c>
      <c r="E31" s="9"/>
      <c r="F31" s="10">
        <f>IF(OR(F$4&gt;Input_Output!$F$35+2,F$4&lt;3),0,PPMT(Input_Output!$F$30,D$4,Input_Output!$F$35,Cashflow!$D58))</f>
        <v>0</v>
      </c>
      <c r="G31" s="10">
        <f>IF(OR(G$4&gt;Input_Output!$F$35+2,G$4&lt;3),0,PPMT(Input_Output!$F$30,E$4,Input_Output!$F$35,Cashflow!$D58))</f>
        <v>0</v>
      </c>
      <c r="H31" s="10">
        <f>IF(OR(H$4&gt;Input_Output!$F$35+2,H$4&lt;3),0,PPMT(Input_Output!$F$30,F$4,Input_Output!$F$35,Cashflow!$D58))</f>
        <v>0</v>
      </c>
      <c r="I31" s="10">
        <f>IF(OR(I$4&gt;Input_Output!$F$35+2,I$4&lt;3),0,PPMT(Input_Output!$F$30,G$4,Input_Output!$F$35,Cashflow!$D58))</f>
        <v>0</v>
      </c>
      <c r="J31" s="10">
        <f>IF(OR(J$4&gt;Input_Output!$F$35+2,J$4&lt;3),0,PPMT(Input_Output!$F$30,H$4,Input_Output!$F$35,Cashflow!$D58))</f>
        <v>0</v>
      </c>
      <c r="K31" s="10">
        <f>IF(OR(K$4&gt;Input_Output!$F$35+2,K$4&lt;3),0,PPMT(Input_Output!$F$30,I$4,Input_Output!$F$35,Cashflow!$D58))</f>
        <v>0</v>
      </c>
      <c r="L31" s="10">
        <f>IF(OR(L$4&gt;Input_Output!$F$35+2,L$4&lt;3),0,PPMT(Input_Output!$F$30,J$4,Input_Output!$F$35,Cashflow!$D58))</f>
        <v>0</v>
      </c>
      <c r="M31" s="10">
        <f>IF(OR(M$4&gt;Input_Output!$F$35+2,M$4&lt;3),0,PPMT(Input_Output!$F$30,K$4,Input_Output!$F$35,Cashflow!$D58))</f>
        <v>0</v>
      </c>
      <c r="N31" s="10">
        <f>IF(OR(N$4&gt;Input_Output!$F$35+2,N$4&lt;3),0,PPMT(Input_Output!$F$30,L$4,Input_Output!$F$35,Cashflow!$D58))</f>
        <v>0</v>
      </c>
      <c r="O31" s="10">
        <f>IF(OR(O$4&gt;Input_Output!$F$35+2,O$4&lt;3),0,PPMT(Input_Output!$F$30,M$4,Input_Output!$F$35,Cashflow!$D58))</f>
        <v>0</v>
      </c>
      <c r="P31" s="10">
        <f>IF(OR(P$4&gt;Input_Output!$F$35+2,P$4&lt;3),0,PPMT(Input_Output!$F$30,N$4,Input_Output!$F$35,Cashflow!$D58))</f>
        <v>0</v>
      </c>
      <c r="Q31" s="10">
        <f>IF(OR(Q$4&gt;Input_Output!$F$35+2,Q$4&lt;3),0,PPMT(Input_Output!$F$30,O$4,Input_Output!$F$35,Cashflow!$D58))</f>
        <v>0</v>
      </c>
      <c r="R31" s="10">
        <f>IF(OR(R$4&gt;Input_Output!$F$35+2,R$4&lt;3),0,PPMT(Input_Output!$F$30,P$4,Input_Output!$F$35,Cashflow!$D58))</f>
        <v>0</v>
      </c>
      <c r="S31" s="10">
        <f>IF(OR(S$4&gt;Input_Output!$F$35+2,S$4&lt;3),0,PPMT(Input_Output!$F$30,Q$4,Input_Output!$F$35,Cashflow!$D58))</f>
        <v>0</v>
      </c>
      <c r="T31" s="10">
        <f>IF(OR(T$4&gt;Input_Output!$F$35+2,T$4&lt;3),0,PPMT(Input_Output!$F$30,R$4,Input_Output!$F$35,Cashflow!$D58))</f>
        <v>0</v>
      </c>
      <c r="U31" s="10">
        <f>IF(OR(U$4&gt;Input_Output!$F$35+2,U$4&lt;3),0,PPMT(Input_Output!$F$30,S$4,Input_Output!$F$35,Cashflow!$D58))</f>
        <v>0</v>
      </c>
      <c r="V31" s="10">
        <f>IF(OR(V$4&gt;Input_Output!$F$35+2,V$4&lt;3),0,PPMT(Input_Output!$F$30,T$4,Input_Output!$F$35,Cashflow!$D58))</f>
        <v>0</v>
      </c>
      <c r="W31" s="10">
        <f>IF(OR(W$4&gt;Input_Output!$F$35+2,W$4&lt;3),0,PPMT(Input_Output!$F$30,U$4,Input_Output!$F$35,Cashflow!$D58))</f>
        <v>0</v>
      </c>
      <c r="X31" s="10">
        <f>IF(OR(X$4&gt;Input_Output!$F$35+2,X$4&lt;3),0,PPMT(Input_Output!$F$30,V$4,Input_Output!$F$35,Cashflow!$D58))</f>
        <v>0</v>
      </c>
      <c r="Y31" s="10">
        <f>IF(OR(Y$4&gt;Input_Output!$F$35+2,Y$4&lt;3),0,PPMT(Input_Output!$F$30,W$4,Input_Output!$F$35,Cashflow!$D58))</f>
        <v>0</v>
      </c>
      <c r="Z31" s="10">
        <f>IF(OR(Z$4&gt;Input_Output!$F$35+2,Z$4&lt;3),0,PPMT(Input_Output!$F$30,X$4,Input_Output!$F$35,Cashflow!$D58))</f>
        <v>0</v>
      </c>
      <c r="AA31" s="10">
        <f>IF(OR(AA$4&gt;Input_Output!$F$35+2,AA$4&lt;3),0,PPMT(Input_Output!$F$30,Y$4,Input_Output!$F$35,Cashflow!$D58))</f>
        <v>0</v>
      </c>
      <c r="AB31" s="10">
        <f>IF(OR(AB$4&gt;Input_Output!$F$35+2,AB$4&lt;3),0,PPMT(Input_Output!$F$30,Z$4,Input_Output!$F$35,Cashflow!$D58))</f>
        <v>0</v>
      </c>
      <c r="AC31" s="10">
        <f>IF(OR(AC$4&gt;Input_Output!$F$35+2,AC$4&lt;3),0,PPMT(Input_Output!$F$30,AA$4,Input_Output!$F$35,Cashflow!$D58))</f>
        <v>0</v>
      </c>
      <c r="AD31" s="10">
        <f>IF(OR(AD$4&gt;Input_Output!$F$35+2,AD$4&lt;3),0,PPMT(Input_Output!$F$30,AB$4,Input_Output!$F$35,Cashflow!$D58))</f>
        <v>0</v>
      </c>
      <c r="AE31" s="10">
        <f>IF(OR(AE$4&gt;Input_Output!$F$35+2,AE$4&lt;3),0,PPMT(Input_Output!$F$30,AC$4,Input_Output!$F$35,Cashflow!$D58))</f>
        <v>0</v>
      </c>
      <c r="AF31" s="10">
        <f>IF(OR(AF$4&gt;Input_Output!$F$35+2,AF$4&lt;3),0,PPMT(Input_Output!$F$30,AD$4,Input_Output!$F$35,Cashflow!$D58))</f>
        <v>0</v>
      </c>
      <c r="AG31" s="10">
        <f>IF(OR(AG$4&gt;Input_Output!$F$35+2,AG$4&lt;3),0,PPMT(Input_Output!$F$30,AE$4,Input_Output!$F$35,Cashflow!$D58))</f>
        <v>0</v>
      </c>
      <c r="AH31" s="10">
        <f>IF(OR(AH$4&gt;Input_Output!$F$35+2,AH$4&lt;3),0,PPMT(Input_Output!$F$30,AF$4,Input_Output!$F$35,Cashflow!$D58))</f>
        <v>0</v>
      </c>
      <c r="AI31" s="10">
        <f>IF(OR(AI$4&gt;Input_Output!$F$35+2,AI$4&lt;3),0,PPMT(Input_Output!$F$30,AG$4,Input_Output!$F$35,Cashflow!$D58))</f>
        <v>0</v>
      </c>
      <c r="AJ31" s="10">
        <f>IF(OR(AJ$4&gt;Input_Output!$F$35+2,AJ$4&lt;3),0,PPMT(Input_Output!$F$30,AH$4,Input_Output!$F$35,Cashflow!$D58))</f>
        <v>0</v>
      </c>
      <c r="AK31" s="2"/>
    </row>
    <row r="32" spans="1:37" ht="15.95" customHeight="1" x14ac:dyDescent="0.2">
      <c r="A32" s="69"/>
      <c r="B32" s="61"/>
      <c r="C32" s="14" t="s">
        <v>218</v>
      </c>
      <c r="D32" s="47" t="s">
        <v>18</v>
      </c>
      <c r="E32" s="9"/>
      <c r="F32" s="10">
        <f>SUM(F30:F31)</f>
        <v>0</v>
      </c>
      <c r="G32" s="10">
        <f t="shared" ref="G32:AJ32" si="7">SUM(G30:G31)</f>
        <v>0</v>
      </c>
      <c r="H32" s="10">
        <f t="shared" si="7"/>
        <v>0</v>
      </c>
      <c r="I32" s="10">
        <f t="shared" si="7"/>
        <v>0</v>
      </c>
      <c r="J32" s="10">
        <f t="shared" si="7"/>
        <v>0</v>
      </c>
      <c r="K32" s="10">
        <f t="shared" si="7"/>
        <v>0</v>
      </c>
      <c r="L32" s="10">
        <f t="shared" si="7"/>
        <v>0</v>
      </c>
      <c r="M32" s="10">
        <f t="shared" si="7"/>
        <v>0</v>
      </c>
      <c r="N32" s="10">
        <f t="shared" si="7"/>
        <v>0</v>
      </c>
      <c r="O32" s="10">
        <f t="shared" si="7"/>
        <v>0</v>
      </c>
      <c r="P32" s="10">
        <f t="shared" si="7"/>
        <v>0</v>
      </c>
      <c r="Q32" s="10">
        <f t="shared" si="7"/>
        <v>0</v>
      </c>
      <c r="R32" s="10">
        <f t="shared" si="7"/>
        <v>0</v>
      </c>
      <c r="S32" s="10">
        <f t="shared" si="7"/>
        <v>0</v>
      </c>
      <c r="T32" s="10">
        <f t="shared" si="7"/>
        <v>0</v>
      </c>
      <c r="U32" s="10">
        <f t="shared" si="7"/>
        <v>0</v>
      </c>
      <c r="V32" s="10">
        <f t="shared" si="7"/>
        <v>0</v>
      </c>
      <c r="W32" s="10">
        <f t="shared" si="7"/>
        <v>0</v>
      </c>
      <c r="X32" s="10">
        <f t="shared" si="7"/>
        <v>0</v>
      </c>
      <c r="Y32" s="10">
        <f t="shared" si="7"/>
        <v>0</v>
      </c>
      <c r="Z32" s="10">
        <f t="shared" si="7"/>
        <v>0</v>
      </c>
      <c r="AA32" s="10">
        <f t="shared" si="7"/>
        <v>0</v>
      </c>
      <c r="AB32" s="10">
        <f t="shared" si="7"/>
        <v>0</v>
      </c>
      <c r="AC32" s="10">
        <f t="shared" si="7"/>
        <v>0</v>
      </c>
      <c r="AD32" s="10">
        <f t="shared" si="7"/>
        <v>0</v>
      </c>
      <c r="AE32" s="10">
        <f t="shared" si="7"/>
        <v>0</v>
      </c>
      <c r="AF32" s="10">
        <f t="shared" si="7"/>
        <v>0</v>
      </c>
      <c r="AG32" s="10">
        <f t="shared" si="7"/>
        <v>0</v>
      </c>
      <c r="AH32" s="10">
        <f t="shared" si="7"/>
        <v>0</v>
      </c>
      <c r="AI32" s="10">
        <f t="shared" si="7"/>
        <v>0</v>
      </c>
      <c r="AJ32" s="10">
        <f t="shared" si="7"/>
        <v>0</v>
      </c>
      <c r="AK32" s="2"/>
    </row>
    <row r="33" spans="1:37" ht="15.95" customHeight="1" x14ac:dyDescent="0.2">
      <c r="A33" s="69" t="s">
        <v>66</v>
      </c>
      <c r="B33" s="61" t="s">
        <v>66</v>
      </c>
      <c r="C33" s="14" t="s">
        <v>210</v>
      </c>
      <c r="D33" s="47" t="s">
        <v>18</v>
      </c>
      <c r="E33" s="9"/>
      <c r="F33" s="10">
        <f>F24+F27+F30</f>
        <v>-6434736</v>
      </c>
      <c r="G33" s="10">
        <f t="shared" ref="G33:AJ33" si="8">G24+G27+G30</f>
        <v>-21390565.257652778</v>
      </c>
      <c r="H33" s="10">
        <f t="shared" si="8"/>
        <v>-20168706.809560489</v>
      </c>
      <c r="I33" s="10">
        <f t="shared" si="8"/>
        <v>-18916301.900265895</v>
      </c>
      <c r="J33" s="10">
        <f t="shared" si="8"/>
        <v>-17632586.868238937</v>
      </c>
      <c r="K33" s="10">
        <f t="shared" si="8"/>
        <v>-16316778.960411306</v>
      </c>
      <c r="L33" s="10">
        <f t="shared" si="8"/>
        <v>-14968075.854887981</v>
      </c>
      <c r="M33" s="10">
        <f t="shared" si="8"/>
        <v>-13585655.171726575</v>
      </c>
      <c r="N33" s="10">
        <f t="shared" si="8"/>
        <v>-12168673.971486133</v>
      </c>
      <c r="O33" s="10">
        <f t="shared" si="8"/>
        <v>-10716268.241239682</v>
      </c>
      <c r="P33" s="10">
        <f t="shared" si="8"/>
        <v>-9227552.3677370679</v>
      </c>
      <c r="Q33" s="10">
        <f t="shared" si="8"/>
        <v>-7701618.5973968888</v>
      </c>
      <c r="R33" s="10">
        <f t="shared" si="8"/>
        <v>-6137536.4827982057</v>
      </c>
      <c r="S33" s="10">
        <f t="shared" si="8"/>
        <v>-4534352.3153345548</v>
      </c>
      <c r="T33" s="10">
        <f t="shared" si="8"/>
        <v>-2891088.5436843131</v>
      </c>
      <c r="U33" s="10">
        <f t="shared" si="8"/>
        <v>-1206743.1777428149</v>
      </c>
      <c r="V33" s="10">
        <f t="shared" si="8"/>
        <v>0</v>
      </c>
      <c r="W33" s="10">
        <f t="shared" si="8"/>
        <v>0</v>
      </c>
      <c r="X33" s="10">
        <f t="shared" si="8"/>
        <v>0</v>
      </c>
      <c r="Y33" s="10">
        <f t="shared" si="8"/>
        <v>0</v>
      </c>
      <c r="Z33" s="10">
        <f t="shared" si="8"/>
        <v>0</v>
      </c>
      <c r="AA33" s="10">
        <f t="shared" si="8"/>
        <v>0</v>
      </c>
      <c r="AB33" s="10">
        <f t="shared" si="8"/>
        <v>0</v>
      </c>
      <c r="AC33" s="10">
        <f t="shared" si="8"/>
        <v>0</v>
      </c>
      <c r="AD33" s="10">
        <f t="shared" si="8"/>
        <v>0</v>
      </c>
      <c r="AE33" s="10">
        <f t="shared" si="8"/>
        <v>0</v>
      </c>
      <c r="AF33" s="10">
        <f t="shared" si="8"/>
        <v>0</v>
      </c>
      <c r="AG33" s="10">
        <f t="shared" si="8"/>
        <v>0</v>
      </c>
      <c r="AH33" s="10">
        <f t="shared" si="8"/>
        <v>0</v>
      </c>
      <c r="AI33" s="10">
        <f t="shared" si="8"/>
        <v>0</v>
      </c>
      <c r="AJ33" s="10">
        <f t="shared" si="8"/>
        <v>0</v>
      </c>
      <c r="AK33" s="2"/>
    </row>
    <row r="34" spans="1:37" ht="15.95" customHeight="1" x14ac:dyDescent="0.2">
      <c r="A34" s="69" t="s">
        <v>67</v>
      </c>
      <c r="B34" s="61" t="s">
        <v>67</v>
      </c>
      <c r="C34" s="14" t="s">
        <v>211</v>
      </c>
      <c r="D34" s="47" t="s">
        <v>18</v>
      </c>
      <c r="E34" s="9"/>
      <c r="F34" s="10">
        <f>F25+F28+F31</f>
        <v>-14353696.893888824</v>
      </c>
      <c r="G34" s="10">
        <f t="shared" ref="G34:AJ34" si="9">G25+G28+G31</f>
        <v>-48874337.923691444</v>
      </c>
      <c r="H34" s="10">
        <f t="shared" si="9"/>
        <v>-50096196.371783733</v>
      </c>
      <c r="I34" s="10">
        <f t="shared" si="9"/>
        <v>-51348601.281078324</v>
      </c>
      <c r="J34" s="10">
        <f t="shared" si="9"/>
        <v>-52632316.313105285</v>
      </c>
      <c r="K34" s="10">
        <f t="shared" si="9"/>
        <v>-53948124.220932916</v>
      </c>
      <c r="L34" s="10">
        <f t="shared" si="9"/>
        <v>-55296827.326456249</v>
      </c>
      <c r="M34" s="10">
        <f t="shared" si="9"/>
        <v>-56679248.009617642</v>
      </c>
      <c r="N34" s="10">
        <f t="shared" si="9"/>
        <v>-58096229.20985809</v>
      </c>
      <c r="O34" s="10">
        <f t="shared" si="9"/>
        <v>-59548634.940104544</v>
      </c>
      <c r="P34" s="10">
        <f t="shared" si="9"/>
        <v>-61037350.813607156</v>
      </c>
      <c r="Q34" s="10">
        <f t="shared" si="9"/>
        <v>-62563284.583947331</v>
      </c>
      <c r="R34" s="10">
        <f t="shared" si="9"/>
        <v>-64127366.698546022</v>
      </c>
      <c r="S34" s="10">
        <f t="shared" si="9"/>
        <v>-65730550.866009668</v>
      </c>
      <c r="T34" s="10">
        <f t="shared" si="9"/>
        <v>-67373814.637659907</v>
      </c>
      <c r="U34" s="10">
        <f t="shared" si="9"/>
        <v>-48269727.109712586</v>
      </c>
      <c r="V34" s="10">
        <f t="shared" si="9"/>
        <v>0</v>
      </c>
      <c r="W34" s="10">
        <f t="shared" si="9"/>
        <v>0</v>
      </c>
      <c r="X34" s="10">
        <f t="shared" si="9"/>
        <v>0</v>
      </c>
      <c r="Y34" s="10">
        <f t="shared" si="9"/>
        <v>0</v>
      </c>
      <c r="Z34" s="10">
        <f t="shared" si="9"/>
        <v>0</v>
      </c>
      <c r="AA34" s="10">
        <f t="shared" si="9"/>
        <v>0</v>
      </c>
      <c r="AB34" s="10">
        <f t="shared" si="9"/>
        <v>0</v>
      </c>
      <c r="AC34" s="10">
        <f t="shared" si="9"/>
        <v>0</v>
      </c>
      <c r="AD34" s="10">
        <f t="shared" si="9"/>
        <v>0</v>
      </c>
      <c r="AE34" s="10">
        <f t="shared" si="9"/>
        <v>0</v>
      </c>
      <c r="AF34" s="10">
        <f t="shared" si="9"/>
        <v>0</v>
      </c>
      <c r="AG34" s="10">
        <f t="shared" si="9"/>
        <v>0</v>
      </c>
      <c r="AH34" s="10">
        <f t="shared" si="9"/>
        <v>0</v>
      </c>
      <c r="AI34" s="10">
        <f t="shared" si="9"/>
        <v>0</v>
      </c>
      <c r="AJ34" s="10">
        <f t="shared" si="9"/>
        <v>0</v>
      </c>
      <c r="AK34" s="2"/>
    </row>
    <row r="35" spans="1:37" s="4" customFormat="1" ht="15.95" customHeight="1" x14ac:dyDescent="0.2">
      <c r="A35" s="78" t="s">
        <v>2</v>
      </c>
      <c r="B35" s="79" t="s">
        <v>68</v>
      </c>
      <c r="C35" s="84" t="s">
        <v>212</v>
      </c>
      <c r="D35" s="85" t="s">
        <v>18</v>
      </c>
      <c r="E35" s="58"/>
      <c r="F35" s="81">
        <f t="shared" ref="F35:AJ35" si="10">SUM(F33,F34)</f>
        <v>-20788432.893888824</v>
      </c>
      <c r="G35" s="81">
        <f t="shared" si="10"/>
        <v>-70264903.181344226</v>
      </c>
      <c r="H35" s="81">
        <f t="shared" si="10"/>
        <v>-70264903.181344226</v>
      </c>
      <c r="I35" s="81">
        <f t="shared" si="10"/>
        <v>-70264903.181344211</v>
      </c>
      <c r="J35" s="81">
        <f t="shared" si="10"/>
        <v>-70264903.181344226</v>
      </c>
      <c r="K35" s="81">
        <f t="shared" si="10"/>
        <v>-70264903.181344226</v>
      </c>
      <c r="L35" s="81">
        <f t="shared" si="10"/>
        <v>-70264903.181344226</v>
      </c>
      <c r="M35" s="81">
        <f t="shared" si="10"/>
        <v>-70264903.181344211</v>
      </c>
      <c r="N35" s="81">
        <f t="shared" si="10"/>
        <v>-70264903.181344226</v>
      </c>
      <c r="O35" s="81">
        <f t="shared" si="10"/>
        <v>-70264903.181344226</v>
      </c>
      <c r="P35" s="81">
        <f t="shared" si="10"/>
        <v>-70264903.181344226</v>
      </c>
      <c r="Q35" s="81">
        <f t="shared" si="10"/>
        <v>-70264903.181344226</v>
      </c>
      <c r="R35" s="81">
        <f t="shared" si="10"/>
        <v>-70264903.181344226</v>
      </c>
      <c r="S35" s="81">
        <f t="shared" si="10"/>
        <v>-70264903.181344226</v>
      </c>
      <c r="T35" s="81">
        <f t="shared" si="10"/>
        <v>-70264903.181344226</v>
      </c>
      <c r="U35" s="81">
        <f t="shared" si="10"/>
        <v>-49476470.287455402</v>
      </c>
      <c r="V35" s="81">
        <f t="shared" si="10"/>
        <v>0</v>
      </c>
      <c r="W35" s="81">
        <f t="shared" si="10"/>
        <v>0</v>
      </c>
      <c r="X35" s="81">
        <f t="shared" si="10"/>
        <v>0</v>
      </c>
      <c r="Y35" s="81">
        <f t="shared" ref="Y35:AH35" si="11">SUM(Y33,Y34)</f>
        <v>0</v>
      </c>
      <c r="Z35" s="81">
        <f t="shared" si="11"/>
        <v>0</v>
      </c>
      <c r="AA35" s="81">
        <f t="shared" si="11"/>
        <v>0</v>
      </c>
      <c r="AB35" s="81">
        <f t="shared" si="11"/>
        <v>0</v>
      </c>
      <c r="AC35" s="81">
        <f t="shared" si="11"/>
        <v>0</v>
      </c>
      <c r="AD35" s="81">
        <f t="shared" si="11"/>
        <v>0</v>
      </c>
      <c r="AE35" s="81">
        <f t="shared" si="11"/>
        <v>0</v>
      </c>
      <c r="AF35" s="81">
        <f t="shared" si="11"/>
        <v>0</v>
      </c>
      <c r="AG35" s="81">
        <f t="shared" si="11"/>
        <v>0</v>
      </c>
      <c r="AH35" s="81">
        <f t="shared" si="11"/>
        <v>0</v>
      </c>
      <c r="AI35" s="81">
        <f t="shared" si="10"/>
        <v>0</v>
      </c>
      <c r="AJ35" s="82">
        <f t="shared" si="10"/>
        <v>0</v>
      </c>
    </row>
    <row r="36" spans="1:37" ht="15.95" customHeight="1" x14ac:dyDescent="0.2">
      <c r="A36" s="86" t="s">
        <v>73</v>
      </c>
      <c r="B36" s="87" t="s">
        <v>70</v>
      </c>
      <c r="C36" s="88" t="s">
        <v>47</v>
      </c>
      <c r="D36" s="89" t="s">
        <v>18</v>
      </c>
      <c r="E36" s="59"/>
      <c r="F36" s="76">
        <f t="shared" ref="F36:AJ36" si="12">F19+F23+F33</f>
        <v>-59882416</v>
      </c>
      <c r="G36" s="76">
        <f t="shared" si="12"/>
        <v>-133758539.65765278</v>
      </c>
      <c r="H36" s="76">
        <f t="shared" si="12"/>
        <v>-133126942.96956049</v>
      </c>
      <c r="I36" s="76">
        <f t="shared" si="12"/>
        <v>-132476605.05546591</v>
      </c>
      <c r="J36" s="76">
        <f t="shared" si="12"/>
        <v>-131806998.35854295</v>
      </c>
      <c r="K36" s="76">
        <f t="shared" si="12"/>
        <v>-131117580.9525214</v>
      </c>
      <c r="L36" s="76">
        <f t="shared" si="12"/>
        <v>-130407796.15884027</v>
      </c>
      <c r="M36" s="76">
        <f t="shared" si="12"/>
        <v>-129677072.1537579</v>
      </c>
      <c r="N36" s="76">
        <f t="shared" si="12"/>
        <v>-128924821.56515808</v>
      </c>
      <c r="O36" s="76">
        <f t="shared" si="12"/>
        <v>-128150441.05878508</v>
      </c>
      <c r="P36" s="76">
        <f t="shared" si="12"/>
        <v>-127353310.91363338</v>
      </c>
      <c r="Q36" s="76">
        <f t="shared" si="12"/>
        <v>-126532794.58621113</v>
      </c>
      <c r="R36" s="76">
        <f t="shared" si="12"/>
        <v>-125688238.26338872</v>
      </c>
      <c r="S36" s="76">
        <f t="shared" si="12"/>
        <v>-124818970.40353689</v>
      </c>
      <c r="T36" s="76">
        <f t="shared" si="12"/>
        <v>-123924301.26565069</v>
      </c>
      <c r="U36" s="76">
        <f t="shared" si="12"/>
        <v>43455325.734565675</v>
      </c>
      <c r="V36" s="76">
        <f t="shared" si="12"/>
        <v>105063748.81855468</v>
      </c>
      <c r="W36" s="76">
        <f t="shared" si="12"/>
        <v>106735720.97773272</v>
      </c>
      <c r="X36" s="76">
        <f t="shared" si="12"/>
        <v>108432546.52375045</v>
      </c>
      <c r="Y36" s="76">
        <f t="shared" si="12"/>
        <v>110154550.80321783</v>
      </c>
      <c r="Z36" s="76">
        <f t="shared" si="12"/>
        <v>112357641.8192822</v>
      </c>
      <c r="AA36" s="76">
        <f t="shared" si="12"/>
        <v>114140103.4799595</v>
      </c>
      <c r="AB36" s="76">
        <f t="shared" si="12"/>
        <v>115948920.55033615</v>
      </c>
      <c r="AC36" s="76">
        <f t="shared" si="12"/>
        <v>118267898.96134286</v>
      </c>
      <c r="AD36" s="76">
        <f t="shared" si="12"/>
        <v>118660720.96780528</v>
      </c>
      <c r="AE36" s="76">
        <f t="shared" si="12"/>
        <v>-50819411.284539461</v>
      </c>
      <c r="AF36" s="76">
        <f t="shared" si="12"/>
        <v>0</v>
      </c>
      <c r="AG36" s="76">
        <f t="shared" si="12"/>
        <v>0</v>
      </c>
      <c r="AH36" s="76">
        <f t="shared" si="12"/>
        <v>0</v>
      </c>
      <c r="AI36" s="76">
        <f t="shared" si="12"/>
        <v>0</v>
      </c>
      <c r="AJ36" s="90">
        <f t="shared" si="12"/>
        <v>0</v>
      </c>
      <c r="AK36" s="2"/>
    </row>
    <row r="37" spans="1:37" ht="15.95" customHeight="1" x14ac:dyDescent="0.2">
      <c r="A37" s="69" t="s">
        <v>78</v>
      </c>
      <c r="B37" s="74" t="s">
        <v>75</v>
      </c>
      <c r="C37" s="14" t="s">
        <v>48</v>
      </c>
      <c r="D37" s="47" t="s">
        <v>18</v>
      </c>
      <c r="E37" s="9"/>
      <c r="F37" s="10">
        <f>-Input_Output!$F$34*F36</f>
        <v>14970604</v>
      </c>
      <c r="G37" s="10">
        <f>-Input_Output!$F$34*G36</f>
        <v>33439634.914413195</v>
      </c>
      <c r="H37" s="10">
        <f>-Input_Output!$F$34*H36</f>
        <v>33281735.742390122</v>
      </c>
      <c r="I37" s="10">
        <f>-Input_Output!$F$34*I36</f>
        <v>33119151.263866477</v>
      </c>
      <c r="J37" s="10">
        <f>-Input_Output!$F$34*J36</f>
        <v>32951749.589635737</v>
      </c>
      <c r="K37" s="10">
        <f>-Input_Output!$F$34*K36</f>
        <v>32779395.23813035</v>
      </c>
      <c r="L37" s="10">
        <f>-Input_Output!$F$34*L36</f>
        <v>32601949.039710067</v>
      </c>
      <c r="M37" s="10">
        <f>-Input_Output!$F$34*M36</f>
        <v>32419268.038439475</v>
      </c>
      <c r="N37" s="10">
        <f>-Input_Output!$F$34*N36</f>
        <v>32231205.391289521</v>
      </c>
      <c r="O37" s="10">
        <f>-Input_Output!$F$34*O36</f>
        <v>32037610.26469627</v>
      </c>
      <c r="P37" s="10">
        <f>-Input_Output!$F$34*P36</f>
        <v>31838327.728408344</v>
      </c>
      <c r="Q37" s="10">
        <f>-Input_Output!$F$34*Q36</f>
        <v>31633198.646552783</v>
      </c>
      <c r="R37" s="10">
        <f>-Input_Output!$F$34*R36</f>
        <v>31422059.565847181</v>
      </c>
      <c r="S37" s="10">
        <f>-Input_Output!$F$34*S36</f>
        <v>31204742.600884221</v>
      </c>
      <c r="T37" s="10">
        <f>-Input_Output!$F$34*T36</f>
        <v>30981075.316412672</v>
      </c>
      <c r="U37" s="10">
        <f>-Input_Output!$F$34*U36</f>
        <v>-10863831.433641419</v>
      </c>
      <c r="V37" s="10">
        <f>-Input_Output!$F$34*V36</f>
        <v>-26265937.204638671</v>
      </c>
      <c r="W37" s="10">
        <f>-Input_Output!$F$34*W36</f>
        <v>-26683930.244433179</v>
      </c>
      <c r="X37" s="10">
        <f>-Input_Output!$F$34*X36</f>
        <v>-27108136.630937614</v>
      </c>
      <c r="Y37" s="10">
        <f>-Input_Output!$F$34*Y36</f>
        <v>-27538637.700804457</v>
      </c>
      <c r="Z37" s="10">
        <f>-Input_Output!$F$34*Z36</f>
        <v>-28089410.454820551</v>
      </c>
      <c r="AA37" s="10">
        <f>-Input_Output!$F$34*AA36</f>
        <v>-28535025.869989876</v>
      </c>
      <c r="AB37" s="10">
        <f>-Input_Output!$F$34*AB36</f>
        <v>-28987230.137584038</v>
      </c>
      <c r="AC37" s="10">
        <f>-Input_Output!$F$34*AC36</f>
        <v>-29566974.740335714</v>
      </c>
      <c r="AD37" s="10">
        <f>-Input_Output!$F$34*AD36</f>
        <v>-29665180.24195132</v>
      </c>
      <c r="AE37" s="10">
        <f>-Input_Output!$F$34*AE36</f>
        <v>12704852.821134865</v>
      </c>
      <c r="AF37" s="10">
        <f>-Input_Output!$F$34*AF36</f>
        <v>0</v>
      </c>
      <c r="AG37" s="10">
        <f>-Input_Output!$F$34*AG36</f>
        <v>0</v>
      </c>
      <c r="AH37" s="10">
        <f>-Input_Output!$F$34*AH36</f>
        <v>0</v>
      </c>
      <c r="AI37" s="10">
        <f>-Input_Output!$F$34*AI36</f>
        <v>0</v>
      </c>
      <c r="AJ37" s="36">
        <f>-Input_Output!$F$34*AJ36</f>
        <v>0</v>
      </c>
      <c r="AK37" s="2"/>
    </row>
    <row r="38" spans="1:37" ht="15.95" customHeight="1" thickBot="1" x14ac:dyDescent="0.25">
      <c r="A38" s="72" t="s">
        <v>74</v>
      </c>
      <c r="B38" s="64" t="s">
        <v>79</v>
      </c>
      <c r="C38" s="42" t="s">
        <v>49</v>
      </c>
      <c r="D38" s="50" t="s">
        <v>18</v>
      </c>
      <c r="E38" s="43"/>
      <c r="F38" s="44">
        <f>F19+F35+F37</f>
        <v>-34752228.893888824</v>
      </c>
      <c r="G38" s="44">
        <f t="shared" ref="G38:AJ38" si="13">G19+G35+G37</f>
        <v>-66338356.266931027</v>
      </c>
      <c r="H38" s="44">
        <f t="shared" si="13"/>
        <v>-67086517.198954105</v>
      </c>
      <c r="I38" s="44">
        <f t="shared" si="13"/>
        <v>-67851168.672677726</v>
      </c>
      <c r="J38" s="44">
        <f t="shared" si="13"/>
        <v>-68632678.682012498</v>
      </c>
      <c r="K38" s="44">
        <f t="shared" si="13"/>
        <v>-69431423.535323963</v>
      </c>
      <c r="L38" s="44">
        <f t="shared" si="13"/>
        <v>-70247788.045586437</v>
      </c>
      <c r="M38" s="44">
        <f t="shared" si="13"/>
        <v>-71082165.724936068</v>
      </c>
      <c r="N38" s="44">
        <f t="shared" si="13"/>
        <v>-71934958.983726665</v>
      </c>
      <c r="O38" s="44">
        <f t="shared" si="13"/>
        <v>-72806579.334193349</v>
      </c>
      <c r="P38" s="44">
        <f t="shared" si="13"/>
        <v>-73697447.59883219</v>
      </c>
      <c r="Q38" s="44">
        <f t="shared" si="13"/>
        <v>-74607994.123605654</v>
      </c>
      <c r="R38" s="44">
        <f t="shared" si="13"/>
        <v>-75538658.996087551</v>
      </c>
      <c r="S38" s="44">
        <f t="shared" si="13"/>
        <v>-76489892.268662304</v>
      </c>
      <c r="T38" s="44">
        <f t="shared" si="13"/>
        <v>-77462154.186897919</v>
      </c>
      <c r="U38" s="44">
        <f t="shared" si="13"/>
        <v>42663373.591211669</v>
      </c>
      <c r="V38" s="44">
        <f t="shared" si="13"/>
        <v>78797811.61391601</v>
      </c>
      <c r="W38" s="44">
        <f t="shared" si="13"/>
        <v>80051790.733299538</v>
      </c>
      <c r="X38" s="44">
        <f t="shared" si="13"/>
        <v>81324409.892812848</v>
      </c>
      <c r="Y38" s="44">
        <f t="shared" si="13"/>
        <v>82615913.102413371</v>
      </c>
      <c r="Z38" s="44">
        <f t="shared" si="13"/>
        <v>84268231.36446166</v>
      </c>
      <c r="AA38" s="44">
        <f t="shared" si="13"/>
        <v>85605077.609969631</v>
      </c>
      <c r="AB38" s="44">
        <f t="shared" si="13"/>
        <v>86961690.412752122</v>
      </c>
      <c r="AC38" s="44">
        <f t="shared" si="13"/>
        <v>88700924.221007138</v>
      </c>
      <c r="AD38" s="44">
        <f t="shared" si="13"/>
        <v>88995540.725853965</v>
      </c>
      <c r="AE38" s="44">
        <f t="shared" si="13"/>
        <v>-38114558.463404596</v>
      </c>
      <c r="AF38" s="44">
        <f t="shared" si="13"/>
        <v>0</v>
      </c>
      <c r="AG38" s="44">
        <f t="shared" si="13"/>
        <v>0</v>
      </c>
      <c r="AH38" s="44">
        <f t="shared" si="13"/>
        <v>0</v>
      </c>
      <c r="AI38" s="44">
        <f t="shared" si="13"/>
        <v>0</v>
      </c>
      <c r="AJ38" s="45">
        <f t="shared" si="13"/>
        <v>0</v>
      </c>
      <c r="AK38" s="2"/>
    </row>
    <row r="39" spans="1:37" s="39" customFormat="1" ht="15.95" customHeight="1" thickTop="1" x14ac:dyDescent="0.2">
      <c r="A39" s="52"/>
      <c r="B39" s="73" t="s">
        <v>71</v>
      </c>
      <c r="C39" s="41" t="s">
        <v>50</v>
      </c>
      <c r="D39" s="51" t="s">
        <v>18</v>
      </c>
      <c r="E39" s="38">
        <f>SUM(F39:AJ39)</f>
        <v>-369003087.47811288</v>
      </c>
      <c r="F39" s="38">
        <f>F38/(1+Input_Output!$F$31)^F4</f>
        <v>-31028775.798115019</v>
      </c>
      <c r="G39" s="38">
        <f>G38/(1+Input_Output!$F$31)^G4</f>
        <v>-52884531.462795772</v>
      </c>
      <c r="H39" s="38">
        <f>H38/(1+Input_Output!$F$31)^H4</f>
        <v>-47750857.836810201</v>
      </c>
      <c r="I39" s="38">
        <f>I38/(1+Input_Output!$F$31)^I4</f>
        <v>-43120644.332382225</v>
      </c>
      <c r="J39" s="38">
        <f>J38/(1+Input_Output!$F$31)^J4</f>
        <v>-38944025.064079285</v>
      </c>
      <c r="K39" s="38">
        <f>K38/(1+Input_Output!$F$31)^K4</f>
        <v>-35176119.950638592</v>
      </c>
      <c r="L39" s="38">
        <f>L38/(1+Input_Output!$F$31)^L4</f>
        <v>-31776531.801573429</v>
      </c>
      <c r="M39" s="38">
        <f>M38/(1+Input_Output!$F$31)^M4</f>
        <v>-28708894.544751652</v>
      </c>
      <c r="N39" s="38">
        <f>N38/(1+Input_Output!$F$31)^N4</f>
        <v>-25940467.356170572</v>
      </c>
      <c r="O39" s="38">
        <f>O38/(1+Input_Output!$F$31)^O4</f>
        <v>-23441769.993327513</v>
      </c>
      <c r="P39" s="38">
        <f>P38/(1+Input_Output!$F$31)^P4</f>
        <v>-21186255.11774037</v>
      </c>
      <c r="Q39" s="38">
        <f>Q38/(1+Input_Output!$F$31)^Q4</f>
        <v>-19150013.826145519</v>
      </c>
      <c r="R39" s="38">
        <f>R38/(1+Input_Output!$F$31)^R4</f>
        <v>-17311510.99892037</v>
      </c>
      <c r="S39" s="38">
        <f>S38/(1+Input_Output!$F$31)^S4</f>
        <v>-15651347.423024302</v>
      </c>
      <c r="T39" s="38">
        <f>T38/(1+Input_Output!$F$31)^T4</f>
        <v>-14152045.95941719</v>
      </c>
      <c r="U39" s="38">
        <f>U38/(1+Input_Output!$F$31)^U4</f>
        <v>6959320.4000287019</v>
      </c>
      <c r="V39" s="38">
        <f>V38/(1+Input_Output!$F$31)^V4</f>
        <v>11476455.339336058</v>
      </c>
      <c r="W39" s="38">
        <f>W38/(1+Input_Output!$F$31)^W4</f>
        <v>10409902.055107376</v>
      </c>
      <c r="X39" s="38">
        <f>X38/(1+Input_Output!$F$31)^X4</f>
        <v>9442315.115165893</v>
      </c>
      <c r="Y39" s="38">
        <f>Y38/(1+Input_Output!$F$31)^Y4</f>
        <v>8564524.4555144459</v>
      </c>
      <c r="Z39" s="38">
        <f>Z38/(1+Input_Output!$F$31)^Z4</f>
        <v>7799834.7719863718</v>
      </c>
      <c r="AA39" s="38">
        <f>AA38/(1+Input_Output!$F$31)^AA4</f>
        <v>7074618.5190583626</v>
      </c>
      <c r="AB39" s="38">
        <f>AB38/(1+Input_Output!$F$31)^AB4</f>
        <v>6416725.3631775556</v>
      </c>
      <c r="AC39" s="38">
        <f>AC38/(1+Input_Output!$F$31)^AC4</f>
        <v>5843803.455750986</v>
      </c>
      <c r="AD39" s="38">
        <f>AD38/(1+Input_Output!$F$31)^AD4</f>
        <v>5235011.9739004811</v>
      </c>
      <c r="AE39" s="38">
        <f>AE38/(1+Input_Output!$F$31)^AE4</f>
        <v>-2001807.4612470018</v>
      </c>
      <c r="AF39" s="38">
        <f>AF38/(1+Input_Output!$F$31)^AF4</f>
        <v>0</v>
      </c>
      <c r="AG39" s="38">
        <f>AG38/(1+Input_Output!$F$31)^AG4</f>
        <v>0</v>
      </c>
      <c r="AH39" s="38">
        <f>AH38/(1+Input_Output!$F$31)^AH4</f>
        <v>0</v>
      </c>
      <c r="AI39" s="38">
        <f>AI38/(1+Input_Output!$F$31)^AI4</f>
        <v>0</v>
      </c>
      <c r="AJ39" s="40">
        <f>AJ38/(1+Input_Output!$F$31)^AJ4</f>
        <v>0</v>
      </c>
    </row>
    <row r="40" spans="1:37" s="39" customFormat="1" ht="15.95" customHeight="1" x14ac:dyDescent="0.3">
      <c r="A40" s="69"/>
      <c r="B40" s="48" t="s">
        <v>230</v>
      </c>
      <c r="C40" s="41" t="s">
        <v>51</v>
      </c>
      <c r="D40" s="51"/>
      <c r="E40" s="38">
        <f>SUM(F40:AJ40)</f>
        <v>15661174241.655405</v>
      </c>
      <c r="F40" s="38">
        <f>IF(F4&gt;Input_Output!$F$37+Input_Output!$F$12-1,0,(1-Input_Output!$F$34)*F9/(1+Input_Output!$F$31)^F4)+IF(F4&gt;Input_Output!$F$37+Input_Output!$F$14-1,0,(1-Input_Output!$F$34)*F10/(1+Input_Output!$F$31)^F4)</f>
        <v>2053071428.5714283</v>
      </c>
      <c r="G40" s="38">
        <f>IF(G4&gt;Input_Output!$F$37+Input_Output!$F$12-1,0,(1-Input_Output!$F$34)*G9/(1+Input_Output!$F$31)^G4)+IF(G4&gt;Input_Output!$F$37+Input_Output!$F$14-1,0,(1-Input_Output!$F$34)*G10/(1+Input_Output!$F$31)^G4)</f>
        <v>1833099489.795918</v>
      </c>
      <c r="H40" s="38">
        <f>IF(H4&gt;Input_Output!$F$37+Input_Output!$F$12-1,0,(1-Input_Output!$F$34)*H9/(1+Input_Output!$F$31)^H4)+IF(H4&gt;Input_Output!$F$37+Input_Output!$F$14-1,0,(1-Input_Output!$F$34)*H10/(1+Input_Output!$F$31)^H4)</f>
        <v>1636695973.0320694</v>
      </c>
      <c r="I40" s="38">
        <f>IF(I4&gt;Input_Output!$F$37+Input_Output!$F$12-1,0,(1-Input_Output!$F$34)*I9/(1+Input_Output!$F$31)^I4)+IF(I4&gt;Input_Output!$F$37+Input_Output!$F$14-1,0,(1-Input_Output!$F$34)*I10/(1+Input_Output!$F$31)^I4)</f>
        <v>1461335690.2072051</v>
      </c>
      <c r="J40" s="38">
        <f>IF(J4&gt;Input_Output!$F$37+Input_Output!$F$12-1,0,(1-Input_Output!$F$34)*J9/(1+Input_Output!$F$31)^J4)+IF(J4&gt;Input_Output!$F$37+Input_Output!$F$14-1,0,(1-Input_Output!$F$34)*J10/(1+Input_Output!$F$31)^J4)</f>
        <v>1304764009.1135757</v>
      </c>
      <c r="K40" s="38">
        <f>IF(K4&gt;Input_Output!$F$37+Input_Output!$F$12-1,0,(1-Input_Output!$F$34)*K9/(1+Input_Output!$F$31)^K4)+IF(K4&gt;Input_Output!$F$37+Input_Output!$F$14-1,0,(1-Input_Output!$F$34)*K10/(1+Input_Output!$F$31)^K4)</f>
        <v>1164967865.2799783</v>
      </c>
      <c r="L40" s="38">
        <f>IF(L4&gt;Input_Output!$F$37+Input_Output!$F$12-1,0,(1-Input_Output!$F$34)*L9/(1+Input_Output!$F$31)^L4)+IF(L4&gt;Input_Output!$F$37+Input_Output!$F$14-1,0,(1-Input_Output!$F$34)*L10/(1+Input_Output!$F$31)^L4)</f>
        <v>1040149879.7142663</v>
      </c>
      <c r="M40" s="38">
        <f>IF(M4&gt;Input_Output!$F$37+Input_Output!$F$12-1,0,(1-Input_Output!$F$34)*M9/(1+Input_Output!$F$31)^M4)+IF(M4&gt;Input_Output!$F$37+Input_Output!$F$14-1,0,(1-Input_Output!$F$34)*M10/(1+Input_Output!$F$31)^M4)</f>
        <v>928705249.74488056</v>
      </c>
      <c r="N40" s="38">
        <f>IF(N4&gt;Input_Output!$F$37+Input_Output!$F$12-1,0,(1-Input_Output!$F$34)*N9/(1+Input_Output!$F$31)^N4)+IF(N4&gt;Input_Output!$F$37+Input_Output!$F$14-1,0,(1-Input_Output!$F$34)*N10/(1+Input_Output!$F$31)^N4)</f>
        <v>829201115.84364331</v>
      </c>
      <c r="O40" s="38">
        <f>IF(O4&gt;Input_Output!$F$37+Input_Output!$F$12-1,0,(1-Input_Output!$F$34)*O9/(1+Input_Output!$F$31)^O4)+IF(O4&gt;Input_Output!$F$37+Input_Output!$F$14-1,0,(1-Input_Output!$F$34)*O10/(1+Input_Output!$F$31)^O4)</f>
        <v>740358139.14611006</v>
      </c>
      <c r="P40" s="38">
        <f>IF(P4&gt;Input_Output!$F$37+Input_Output!$F$12-1,0,(1-Input_Output!$F$34)*P9/(1+Input_Output!$F$31)^P4)+IF(P4&gt;Input_Output!$F$37+Input_Output!$F$14-1,0,(1-Input_Output!$F$34)*P10/(1+Input_Output!$F$31)^P4)</f>
        <v>661034052.80902672</v>
      </c>
      <c r="Q40" s="38">
        <f>IF(Q4&gt;Input_Output!$F$37+Input_Output!$F$12-1,0,(1-Input_Output!$F$34)*Q9/(1+Input_Output!$F$31)^Q4)+IF(Q4&gt;Input_Output!$F$37+Input_Output!$F$14-1,0,(1-Input_Output!$F$34)*Q10/(1+Input_Output!$F$31)^Q4)</f>
        <v>590208975.72234535</v>
      </c>
      <c r="R40" s="38">
        <f>IF(R4&gt;Input_Output!$F$37+Input_Output!$F$12-1,0,(1-Input_Output!$F$34)*R9/(1+Input_Output!$F$31)^R4)+IF(R4&gt;Input_Output!$F$37+Input_Output!$F$14-1,0,(1-Input_Output!$F$34)*R10/(1+Input_Output!$F$31)^R4)</f>
        <v>526972299.75209397</v>
      </c>
      <c r="S40" s="38">
        <f>IF(S4&gt;Input_Output!$F$37+Input_Output!$F$12-1,0,(1-Input_Output!$F$34)*S9/(1+Input_Output!$F$31)^S4)+IF(S4&gt;Input_Output!$F$37+Input_Output!$F$14-1,0,(1-Input_Output!$F$34)*S10/(1+Input_Output!$F$31)^S4)</f>
        <v>470510981.92151242</v>
      </c>
      <c r="T40" s="38">
        <f>IF(T4&gt;Input_Output!$F$37+Input_Output!$F$12-1,0,(1-Input_Output!$F$34)*T9/(1+Input_Output!$F$31)^T4)+IF(T4&gt;Input_Output!$F$37+Input_Output!$F$14-1,0,(1-Input_Output!$F$34)*T10/(1+Input_Output!$F$31)^T4)</f>
        <v>420099091.0013504</v>
      </c>
      <c r="U40" s="38">
        <f>IF(U4&gt;Input_Output!$F$37+Input_Output!$F$12-1,0,(1-Input_Output!$F$34)*U9/(1+Input_Output!$F$31)^U4)+IF(U4&gt;Input_Output!$F$37+Input_Output!$F$14-1,0,(1-Input_Output!$F$34)*U10/(1+Input_Output!$F$31)^U4)</f>
        <v>0</v>
      </c>
      <c r="V40" s="38">
        <f>IF(V4&gt;Input_Output!$F$37+Input_Output!$F$12-1,0,(1-Input_Output!$F$34)*V9/(1+Input_Output!$F$31)^V4)+IF(V4&gt;Input_Output!$F$37+Input_Output!$F$14-1,0,(1-Input_Output!$F$34)*V10/(1+Input_Output!$F$31)^V4)</f>
        <v>0</v>
      </c>
      <c r="W40" s="38">
        <f>IF(W4&gt;Input_Output!$F$37+Input_Output!$F$12-1,0,(1-Input_Output!$F$34)*W9/(1+Input_Output!$F$31)^W4)+IF(W4&gt;Input_Output!$F$37+Input_Output!$F$14-1,0,(1-Input_Output!$F$34)*W10/(1+Input_Output!$F$31)^W4)</f>
        <v>0</v>
      </c>
      <c r="X40" s="38">
        <f>IF(X4&gt;Input_Output!$F$37+Input_Output!$F$12-1,0,(1-Input_Output!$F$34)*X9/(1+Input_Output!$F$31)^X4)+IF(X4&gt;Input_Output!$F$37+Input_Output!$F$14-1,0,(1-Input_Output!$F$34)*X10/(1+Input_Output!$F$31)^X4)</f>
        <v>0</v>
      </c>
      <c r="Y40" s="38">
        <f>IF(Y4&gt;Input_Output!$F$37+Input_Output!$F$12-1,0,(1-Input_Output!$F$34)*Y9/(1+Input_Output!$F$31)^Y4)+IF(Y4&gt;Input_Output!$F$37+Input_Output!$F$14-1,0,(1-Input_Output!$F$34)*Y10/(1+Input_Output!$F$31)^Y4)</f>
        <v>0</v>
      </c>
      <c r="Z40" s="38">
        <f>IF(Z4&gt;Input_Output!$F$37+Input_Output!$F$12-1,0,(1-Input_Output!$F$34)*Z9/(1+Input_Output!$F$31)^Z4)+IF(Z4&gt;Input_Output!$F$37+Input_Output!$F$14-1,0,(1-Input_Output!$F$34)*Z10/(1+Input_Output!$F$31)^Z4)</f>
        <v>0</v>
      </c>
      <c r="AA40" s="38">
        <f>IF(AA4&gt;Input_Output!$F$37+Input_Output!$F$12-1,0,(1-Input_Output!$F$34)*AA9/(1+Input_Output!$F$31)^AA4)+IF(AA4&gt;Input_Output!$F$37+Input_Output!$F$14-1,0,(1-Input_Output!$F$34)*AA10/(1+Input_Output!$F$31)^AA4)</f>
        <v>0</v>
      </c>
      <c r="AB40" s="38">
        <f>IF(AB4&gt;Input_Output!$F$37+Input_Output!$F$12-1,0,(1-Input_Output!$F$34)*AB9/(1+Input_Output!$F$31)^AB4)+IF(AB4&gt;Input_Output!$F$37+Input_Output!$F$14-1,0,(1-Input_Output!$F$34)*AB10/(1+Input_Output!$F$31)^AB4)</f>
        <v>0</v>
      </c>
      <c r="AC40" s="38">
        <f>IF(AC4&gt;Input_Output!$F$37+Input_Output!$F$12-1,0,(1-Input_Output!$F$34)*AC9/(1+Input_Output!$F$31)^AC4)+IF(AC4&gt;Input_Output!$F$37+Input_Output!$F$14-1,0,(1-Input_Output!$F$34)*AC10/(1+Input_Output!$F$31)^AC4)</f>
        <v>0</v>
      </c>
      <c r="AD40" s="38">
        <f>IF(AD4&gt;Input_Output!$F$37+Input_Output!$F$12-1,0,(1-Input_Output!$F$34)*AD9/(1+Input_Output!$F$31)^AD4)+IF(AD4&gt;Input_Output!$F$37+Input_Output!$F$14-1,0,(1-Input_Output!$F$34)*AD10/(1+Input_Output!$F$31)^AD4)</f>
        <v>0</v>
      </c>
      <c r="AE40" s="38">
        <f>IF(AE4&gt;Input_Output!$F$37+Input_Output!$F$12-1,0,(1-Input_Output!$F$34)*AE9/(1+Input_Output!$F$31)^AE4)+IF(AE4&gt;Input_Output!$F$37+Input_Output!$F$14-1,0,(1-Input_Output!$F$34)*AE10/(1+Input_Output!$F$31)^AE4)</f>
        <v>0</v>
      </c>
      <c r="AF40" s="38">
        <f>IF(AF4&gt;Input_Output!$F$37+Input_Output!$F$12-1,0,(1-Input_Output!$F$34)*AF9/(1+Input_Output!$F$31)^AF4)+IF(AF4&gt;Input_Output!$F$37+Input_Output!$F$14-1,0,(1-Input_Output!$F$34)*AF10/(1+Input_Output!$F$31)^AF4)</f>
        <v>0</v>
      </c>
      <c r="AG40" s="38">
        <f>IF(AG4&gt;Input_Output!$F$37+Input_Output!$F$12-1,0,(1-Input_Output!$F$34)*AG9/(1+Input_Output!$F$31)^AG4)+IF(AG4&gt;Input_Output!$F$37+Input_Output!$F$14-1,0,(1-Input_Output!$F$34)*AG10/(1+Input_Output!$F$31)^AG4)</f>
        <v>0</v>
      </c>
      <c r="AH40" s="38">
        <f>IF(AH4&gt;Input_Output!$F$37+Input_Output!$F$12-1,0,(1-Input_Output!$F$34)*AH9/(1+Input_Output!$F$31)^AH4)+IF(AH4&gt;Input_Output!$F$37+Input_Output!$F$14-1,0,(1-Input_Output!$F$34)*AH10/(1+Input_Output!$F$31)^AH4)</f>
        <v>0</v>
      </c>
      <c r="AI40" s="38">
        <f>IF(AI4&gt;Input_Output!$F$37+Input_Output!$F$12-1,0,(1-Input_Output!$F$34)*AI9/(1+Input_Output!$F$31)^AI4)+IF(AI4&gt;Input_Output!$F$37+Input_Output!$F$14-1,0,(1-Input_Output!$F$34)*AI10/(1+Input_Output!$F$31)^AI4)</f>
        <v>0</v>
      </c>
      <c r="AJ40" s="38">
        <f>IF(AJ4&gt;Input_Output!$F$37+Input_Output!$F$12-1,0,(1-Input_Output!$F$34)*AJ9/(1+Input_Output!$F$31)^AJ4)+IF(AJ4&gt;Input_Output!$F$37+Input_Output!$F$14-1,0,(1-Input_Output!$F$34)*AJ10/(1+Input_Output!$F$31)^AJ4)</f>
        <v>0</v>
      </c>
    </row>
    <row r="41" spans="1:37" s="39" customFormat="1" ht="15.95" customHeight="1" x14ac:dyDescent="0.2">
      <c r="A41" s="114"/>
      <c r="B41" s="29"/>
      <c r="C41" s="131" t="s">
        <v>221</v>
      </c>
      <c r="D41" s="114"/>
      <c r="E41" s="128">
        <f>D60/(1+Input_Output!$F$31)^Cashflow!E4+F41+G41</f>
        <v>344718000</v>
      </c>
      <c r="F41" s="128">
        <f>D61/(1+Input_Output!$F$31)^Cashflow!F4</f>
        <v>234408239.99999997</v>
      </c>
      <c r="G41" s="128">
        <f>D62/(1+Input_Output!$F$31)^Cashflow!G4</f>
        <v>0</v>
      </c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</row>
    <row r="42" spans="1:37" ht="15.95" customHeight="1" thickBot="1" x14ac:dyDescent="0.25">
      <c r="B42" s="129"/>
      <c r="C42" s="130"/>
      <c r="D42" s="130"/>
    </row>
    <row r="43" spans="1:37" ht="15.95" customHeight="1" x14ac:dyDescent="0.2">
      <c r="A43" s="25"/>
      <c r="B43" s="127"/>
      <c r="C43" s="99" t="s">
        <v>196</v>
      </c>
      <c r="D43" s="126">
        <f>Input_Output!$F$15*Input_Output!$F$4*(Input_Output!$F$8)</f>
        <v>367699200</v>
      </c>
    </row>
    <row r="44" spans="1:37" ht="15.95" customHeight="1" x14ac:dyDescent="0.2">
      <c r="A44" s="25"/>
      <c r="B44" s="120"/>
      <c r="C44" s="9" t="s">
        <v>197</v>
      </c>
      <c r="D44" s="121">
        <f>Input_Output!$F$15*Input_Output!$F$4*(Input_Output!$F$9*(1+Input_Output!$F$29))</f>
        <v>875124096</v>
      </c>
    </row>
    <row r="45" spans="1:37" ht="15.95" customHeight="1" x14ac:dyDescent="0.2">
      <c r="A45" s="25"/>
      <c r="B45" s="120"/>
      <c r="C45" s="9" t="s">
        <v>198</v>
      </c>
      <c r="D45" s="121">
        <f>Input_Output!$F$15*Input_Output!$F$4*(Input_Output!$F$10*(1+Input_Output!$F$29)^2)</f>
        <v>0</v>
      </c>
    </row>
    <row r="46" spans="1:37" ht="15.95" customHeight="1" x14ac:dyDescent="0.3">
      <c r="B46" s="111" t="s">
        <v>62</v>
      </c>
      <c r="C46" s="58" t="s">
        <v>52</v>
      </c>
      <c r="D46" s="112">
        <f>SUM(D43:D45)</f>
        <v>1242823296</v>
      </c>
      <c r="E46" s="8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2"/>
    </row>
    <row r="47" spans="1:37" ht="15.95" customHeight="1" x14ac:dyDescent="0.2">
      <c r="B47" s="111"/>
      <c r="C47" s="133" t="s">
        <v>238</v>
      </c>
      <c r="D47" s="91">
        <f>(Input_Output!$F$32*Input_Output!$F$31+Input_Output!$F$33*Input_Output!$F$30)</f>
        <v>5.3499999999999992E-2</v>
      </c>
      <c r="E47" s="8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2"/>
    </row>
    <row r="48" spans="1:37" ht="15.95" customHeight="1" x14ac:dyDescent="0.2">
      <c r="B48" s="77" t="s">
        <v>80</v>
      </c>
      <c r="C48" s="59" t="s">
        <v>53</v>
      </c>
      <c r="D48" s="91">
        <f>(Input_Output!$F$32*Input_Output!$F$31+Input_Output!$F$33*Input_Output!$F$30*(1-Input_Output!$F$34))</f>
        <v>4.9124999999999995E-2</v>
      </c>
      <c r="E48" s="113"/>
      <c r="G48" s="115"/>
      <c r="H48" s="104"/>
      <c r="I48" s="104"/>
      <c r="AK48" s="2"/>
    </row>
    <row r="49" spans="2:37" ht="15.95" customHeight="1" x14ac:dyDescent="0.2">
      <c r="B49" s="77" t="s">
        <v>83</v>
      </c>
      <c r="C49" s="59" t="s">
        <v>82</v>
      </c>
      <c r="D49" s="94">
        <f>(SUM(F14:AJ14)+SUM(F15:AJ15)+SUM(F16:AJ16)+SUM(F8:AJ8)*Input_Output!$F$40/1000)/-SUM(F35:AJ35)</f>
        <v>2.6278570959163674</v>
      </c>
      <c r="E49" s="420"/>
      <c r="F49" s="102"/>
      <c r="G49" s="104"/>
      <c r="H49" s="104"/>
      <c r="I49" s="104"/>
      <c r="AK49" s="2"/>
    </row>
    <row r="50" spans="2:37" ht="15.95" customHeight="1" x14ac:dyDescent="0.2">
      <c r="B50" s="540" t="s">
        <v>76</v>
      </c>
      <c r="C50" s="132" t="s">
        <v>235</v>
      </c>
      <c r="D50" s="92">
        <f>IF(Input_Output!$F$14&lt;&gt;Input_Output!$F$12,Input_Output!$F$27*D43,Input_Output!F27*D46)</f>
        <v>0</v>
      </c>
      <c r="E50" s="6"/>
      <c r="F50" s="101"/>
      <c r="G50" s="104"/>
      <c r="H50" s="104"/>
      <c r="I50" s="104"/>
      <c r="AK50" s="2"/>
    </row>
    <row r="51" spans="2:37" ht="15.95" customHeight="1" x14ac:dyDescent="0.2">
      <c r="B51" s="542"/>
      <c r="C51" s="132" t="s">
        <v>236</v>
      </c>
      <c r="D51" s="92">
        <f>IF(Input_Output!$F$14&lt;&gt;Input_Output!$F$12,Input_Output!$F$27*D44,0)</f>
        <v>0</v>
      </c>
      <c r="E51" s="6"/>
      <c r="F51" s="101"/>
      <c r="G51" s="104"/>
      <c r="H51" s="104"/>
      <c r="I51" s="104"/>
      <c r="AK51" s="2"/>
    </row>
    <row r="52" spans="2:37" ht="15.95" customHeight="1" x14ac:dyDescent="0.2">
      <c r="B52" s="540" t="s">
        <v>1</v>
      </c>
      <c r="C52" s="132" t="s">
        <v>234</v>
      </c>
      <c r="D52" s="92">
        <f>IF(Input_Output!$F$22="yes",IF(Input_Output!$F$23*$D$50&gt;Input_Output!$F$24,Input_Output!$F$24,Input_Output!$F$23*$D$50),0)</f>
        <v>0</v>
      </c>
      <c r="E52"/>
      <c r="F52"/>
      <c r="G52"/>
      <c r="H52"/>
      <c r="AK52" s="2"/>
    </row>
    <row r="53" spans="2:37" ht="15.95" customHeight="1" x14ac:dyDescent="0.2">
      <c r="B53" s="542"/>
      <c r="C53" s="132" t="s">
        <v>237</v>
      </c>
      <c r="D53" s="92">
        <f>IF(Input_Output!$F$22="yes",IF(Input_Output!$F$23*$D$51&gt;Input_Output!$F$24,Input_Output!$F$24,Input_Output!$F$23*$D$51),0)</f>
        <v>0</v>
      </c>
      <c r="E53"/>
      <c r="F53"/>
      <c r="G53"/>
      <c r="H53"/>
      <c r="AK53" s="2"/>
    </row>
    <row r="54" spans="2:37" ht="15.95" customHeight="1" x14ac:dyDescent="0.2">
      <c r="B54" s="546" t="s">
        <v>72</v>
      </c>
      <c r="C54" s="132" t="s">
        <v>233</v>
      </c>
      <c r="D54" s="92">
        <f>(D52*Input_Output!$F$34)/(1+Cashflow!$D$48)^Input_Output!F12</f>
        <v>0</v>
      </c>
      <c r="E54"/>
      <c r="F54"/>
      <c r="G54" s="123"/>
      <c r="H54" s="110"/>
      <c r="I54" s="104"/>
      <c r="AK54" s="2"/>
    </row>
    <row r="55" spans="2:37" ht="15.95" customHeight="1" x14ac:dyDescent="0.2">
      <c r="B55" s="547"/>
      <c r="C55" s="132" t="s">
        <v>233</v>
      </c>
      <c r="D55" s="92">
        <f>(D53*Input_Output!$F$34)/(1+Cashflow!$D$48)^Input_Output!F14</f>
        <v>0</v>
      </c>
      <c r="E55"/>
      <c r="F55"/>
      <c r="G55" s="123"/>
      <c r="H55" s="110"/>
      <c r="I55" s="104"/>
      <c r="AK55" s="2"/>
    </row>
    <row r="56" spans="2:37" ht="15.95" customHeight="1" x14ac:dyDescent="0.2">
      <c r="B56" s="540" t="s">
        <v>3</v>
      </c>
      <c r="C56" s="103" t="s">
        <v>203</v>
      </c>
      <c r="D56" s="121">
        <f>D43*Input_Output!F$33-D54</f>
        <v>257389439.99999997</v>
      </c>
      <c r="E56"/>
      <c r="F56"/>
      <c r="G56" s="109"/>
      <c r="H56" s="110"/>
      <c r="I56" s="104"/>
      <c r="AK56" s="2"/>
    </row>
    <row r="57" spans="2:37" ht="15.95" customHeight="1" x14ac:dyDescent="0.2">
      <c r="B57" s="541"/>
      <c r="C57" s="9" t="s">
        <v>204</v>
      </c>
      <c r="D57" s="125">
        <f>D44*Input_Output!F$33-D55</f>
        <v>612586867.19999993</v>
      </c>
      <c r="E57"/>
      <c r="F57"/>
      <c r="G57" s="109"/>
      <c r="H57" s="110"/>
      <c r="I57" s="104"/>
      <c r="AK57" s="2"/>
    </row>
    <row r="58" spans="2:37" ht="15.95" customHeight="1" x14ac:dyDescent="0.2">
      <c r="B58" s="541"/>
      <c r="C58" s="9" t="s">
        <v>205</v>
      </c>
      <c r="D58" s="121">
        <f>D45*Input_Output!F$33</f>
        <v>0</v>
      </c>
      <c r="E58" s="3"/>
      <c r="AK58" s="2"/>
    </row>
    <row r="59" spans="2:37" ht="15.95" customHeight="1" x14ac:dyDescent="0.2">
      <c r="B59" s="542"/>
      <c r="C59" s="124" t="s">
        <v>206</v>
      </c>
      <c r="D59" s="112">
        <f>SUM(D56:D58)</f>
        <v>869976307.19999993</v>
      </c>
      <c r="E59" s="3"/>
      <c r="AK59" s="2"/>
    </row>
    <row r="60" spans="2:37" ht="15.95" customHeight="1" x14ac:dyDescent="0.2">
      <c r="B60" s="543" t="s">
        <v>4</v>
      </c>
      <c r="C60" s="103" t="s">
        <v>207</v>
      </c>
      <c r="D60" s="121">
        <f>Input_Output!F$32*D43</f>
        <v>110309760</v>
      </c>
      <c r="E60" s="3"/>
      <c r="AK60" s="2"/>
    </row>
    <row r="61" spans="2:37" ht="15.95" customHeight="1" x14ac:dyDescent="0.2">
      <c r="B61" s="544"/>
      <c r="C61" s="103" t="s">
        <v>208</v>
      </c>
      <c r="D61" s="121">
        <f>Input_Output!F$32*D44</f>
        <v>262537228.79999998</v>
      </c>
      <c r="E61" s="3"/>
      <c r="AK61" s="2"/>
    </row>
    <row r="62" spans="2:37" ht="15.95" customHeight="1" x14ac:dyDescent="0.2">
      <c r="B62" s="544"/>
      <c r="C62" s="103" t="s">
        <v>209</v>
      </c>
      <c r="D62" s="121">
        <f>Input_Output!F$32*D45</f>
        <v>0</v>
      </c>
      <c r="E62" s="3"/>
      <c r="AK62" s="2"/>
    </row>
    <row r="63" spans="2:37" ht="15.95" customHeight="1" thickBot="1" x14ac:dyDescent="0.25">
      <c r="B63" s="545"/>
      <c r="C63" s="75" t="s">
        <v>54</v>
      </c>
      <c r="D63" s="93">
        <f>SUM(D60:D62)</f>
        <v>372846988.79999995</v>
      </c>
      <c r="E63" s="46"/>
      <c r="F63" s="3"/>
    </row>
    <row r="64" spans="2:37" ht="15.95" customHeight="1" x14ac:dyDescent="0.2">
      <c r="B64" s="2"/>
      <c r="C64" s="2"/>
      <c r="D64" s="2"/>
      <c r="E64" s="46"/>
      <c r="F64" s="3"/>
    </row>
    <row r="65" spans="3:8" ht="15.95" customHeight="1" x14ac:dyDescent="0.2">
      <c r="C65" s="3"/>
      <c r="D65" s="3"/>
      <c r="E65" s="46"/>
      <c r="F65" s="3"/>
      <c r="H65" s="18"/>
    </row>
    <row r="66" spans="3:8" ht="15.95" customHeight="1" x14ac:dyDescent="0.2">
      <c r="C66" s="3"/>
      <c r="D66" s="3"/>
      <c r="E66" s="46"/>
      <c r="F66" s="3"/>
    </row>
    <row r="67" spans="3:8" ht="15.95" customHeight="1" x14ac:dyDescent="0.2">
      <c r="C67" s="3"/>
      <c r="D67" s="3"/>
      <c r="E67" s="46"/>
      <c r="F67" s="3"/>
      <c r="H67" s="18"/>
    </row>
    <row r="68" spans="3:8" ht="15.95" customHeight="1" x14ac:dyDescent="0.2">
      <c r="C68" s="3"/>
      <c r="D68" s="3"/>
      <c r="E68" s="46"/>
      <c r="F68" s="3"/>
    </row>
    <row r="69" spans="3:8" ht="15.95" customHeight="1" x14ac:dyDescent="0.2">
      <c r="C69" s="3"/>
      <c r="D69" s="3"/>
      <c r="E69" s="46"/>
      <c r="F69" s="3"/>
    </row>
    <row r="70" spans="3:8" ht="15.95" customHeight="1" x14ac:dyDescent="0.2">
      <c r="C70" s="3"/>
      <c r="D70" s="3"/>
      <c r="E70" s="46"/>
      <c r="F70" s="3"/>
    </row>
    <row r="71" spans="3:8" ht="15.95" customHeight="1" x14ac:dyDescent="0.2">
      <c r="C71" s="3"/>
      <c r="D71" s="3"/>
      <c r="E71" s="46"/>
      <c r="F71" s="3"/>
    </row>
    <row r="72" spans="3:8" ht="15.95" customHeight="1" x14ac:dyDescent="0.2">
      <c r="C72" s="3"/>
      <c r="D72" s="3"/>
      <c r="E72" s="46"/>
      <c r="F72" s="3"/>
    </row>
    <row r="73" spans="3:8" ht="15.95" customHeight="1" x14ac:dyDescent="0.2">
      <c r="C73" s="3"/>
      <c r="D73" s="3"/>
      <c r="E73" s="46"/>
      <c r="F73" s="3"/>
    </row>
    <row r="74" spans="3:8" ht="15.95" customHeight="1" x14ac:dyDescent="0.2">
      <c r="C74" s="3"/>
      <c r="D74" s="3"/>
      <c r="E74" s="46"/>
      <c r="F74" s="3"/>
    </row>
    <row r="75" spans="3:8" ht="15.95" customHeight="1" x14ac:dyDescent="0.2">
      <c r="F75" s="3"/>
    </row>
  </sheetData>
  <sheetProtection algorithmName="SHA-512" hashValue="av9QG3bVqsPv7fL5sHlWalUNUaDkEA5ki914EP8c0RZBdcoyKSYd/FLOWoeT68SzxN80R+ogzwoDp2xP7wQ3Sw==" saltValue="F9MgaamQFEWMyouw9D6wnA==" spinCount="100000" sheet="1" objects="1" scenarios="1"/>
  <mergeCells count="5">
    <mergeCell ref="B56:B59"/>
    <mergeCell ref="B60:B63"/>
    <mergeCell ref="B54:B55"/>
    <mergeCell ref="B52:B53"/>
    <mergeCell ref="B50:B51"/>
  </mergeCells>
  <phoneticPr fontId="0" type="noConversion"/>
  <pageMargins left="0.38" right="0.27" top="1" bottom="1" header="0.5" footer="0.5"/>
  <pageSetup paperSize="9" scale="67" orientation="landscape" r:id="rId1"/>
  <headerFooter alignWithMargins="0">
    <oddFooter>&amp;L&amp;D&amp;RVersie 2003.1</oddFooter>
  </headerFooter>
  <colBreaks count="1" manualBreakCount="1">
    <brk id="16" max="1048575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8</vt:i4>
      </vt:variant>
    </vt:vector>
  </HeadingPairs>
  <TitlesOfParts>
    <vt:vector size="14" baseType="lpstr">
      <vt:lpstr> Colofon en Instructies</vt:lpstr>
      <vt:lpstr>Project</vt:lpstr>
      <vt:lpstr>Year independent</vt:lpstr>
      <vt:lpstr>Year dependent</vt:lpstr>
      <vt:lpstr>Input_Output</vt:lpstr>
      <vt:lpstr>Cashflow</vt:lpstr>
      <vt:lpstr>Input_Output!Afdrukbereik</vt:lpstr>
      <vt:lpstr>'Year dependent'!Afdrukbereik</vt:lpstr>
      <vt:lpstr>'Year independent'!Afdrukbereik</vt:lpstr>
      <vt:lpstr>Cashflow!Afdruktitels</vt:lpstr>
      <vt:lpstr>Currency</vt:lpstr>
      <vt:lpstr>FullLoadHours</vt:lpstr>
      <vt:lpstr>LicencePeriod</vt:lpstr>
      <vt:lpstr>MaxFullLoadHrs</vt:lpstr>
    </vt:vector>
  </TitlesOfParts>
  <Company>ECN Beleidsstudies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van Stralen</dc:creator>
  <cp:lastModifiedBy>Oerlemans, ir. R.H.J. (Ruud)</cp:lastModifiedBy>
  <cp:lastPrinted>2009-01-30T09:16:30Z</cp:lastPrinted>
  <dcterms:created xsi:type="dcterms:W3CDTF">2003-03-17T12:29:30Z</dcterms:created>
  <dcterms:modified xsi:type="dcterms:W3CDTF">2022-10-26T06:39:19Z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bde8109-f994-4a60-a1d3-5c95e2ff3620_Enabled">
    <vt:lpwstr>true</vt:lpwstr>
  </property>
  <property fmtid="{D5CDD505-2E9C-101B-9397-08002B2CF9AE}" pid="3" name="MSIP_Label_4bde8109-f994-4a60-a1d3-5c95e2ff3620_SetDate">
    <vt:lpwstr>2022-10-26T06:37:30Z</vt:lpwstr>
  </property>
  <property fmtid="{D5CDD505-2E9C-101B-9397-08002B2CF9AE}" pid="4" name="MSIP_Label_4bde8109-f994-4a60-a1d3-5c95e2ff3620_Method">
    <vt:lpwstr>Privileged</vt:lpwstr>
  </property>
  <property fmtid="{D5CDD505-2E9C-101B-9397-08002B2CF9AE}" pid="5" name="MSIP_Label_4bde8109-f994-4a60-a1d3-5c95e2ff3620_Name">
    <vt:lpwstr>FLPubliek</vt:lpwstr>
  </property>
  <property fmtid="{D5CDD505-2E9C-101B-9397-08002B2CF9AE}" pid="6" name="MSIP_Label_4bde8109-f994-4a60-a1d3-5c95e2ff3620_SiteId">
    <vt:lpwstr>1321633e-f6b9-44e2-a44f-59b9d264ecb7</vt:lpwstr>
  </property>
  <property fmtid="{D5CDD505-2E9C-101B-9397-08002B2CF9AE}" pid="7" name="MSIP_Label_4bde8109-f994-4a60-a1d3-5c95e2ff3620_ActionId">
    <vt:lpwstr>91bd55ae-17c3-42b4-a36c-7ebe4805965a</vt:lpwstr>
  </property>
  <property fmtid="{D5CDD505-2E9C-101B-9397-08002B2CF9AE}" pid="8" name="MSIP_Label_4bde8109-f994-4a60-a1d3-5c95e2ff3620_ContentBits">
    <vt:lpwstr>0</vt:lpwstr>
  </property>
</Properties>
</file>