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https://onedrive.ez.cloud-wp.nl/personal/ToetenelS/documents/Desktop/"/>
    </mc:Choice>
  </mc:AlternateContent>
  <xr:revisionPtr revIDLastSave="0" documentId="8_{DB131898-371B-42F8-85F4-A54DD21021DD}" xr6:coauthVersionLast="47" xr6:coauthVersionMax="47" xr10:uidLastSave="{00000000-0000-0000-0000-000000000000}"/>
  <bookViews>
    <workbookView showHorizontalScroll="0" showVerticalScroll="0" xWindow="3036" yWindow="3036" windowWidth="30960" windowHeight="12204" xr2:uid="{A8692CB1-26A4-4E7F-B062-30A3E03E799E}"/>
  </bookViews>
  <sheets>
    <sheet name="Stoommodel" sheetId="3" r:id="rId1"/>
    <sheet name="Instructie" sheetId="5" r:id="rId2"/>
    <sheet name="Tabellen" sheetId="4" state="veryHidden" r:id="rId3"/>
  </sheets>
  <definedNames>
    <definedName name="aardgasverbruik">Stoommodel!#REF!</definedName>
    <definedName name="_xlnm.Print_Area" localSheetId="0">Stoommodel!$A$2:$R$47</definedName>
    <definedName name="conden_ret">Stoommodel!#REF!</definedName>
    <definedName name="conden_ret_temp">Stoommodel!#REF!</definedName>
    <definedName name="druk">Tabellen!$A$6:$A$46</definedName>
    <definedName name="Hi_aardgas">Stoommodel!#REF!</definedName>
    <definedName name="ketelcap">Stoommodel!#REF!</definedName>
    <definedName name="ontgasser_temp">Stoommodel!#REF!</definedName>
    <definedName name="rendement">Tabellen!$O$5:$X$50</definedName>
    <definedName name="rg_temp">Stoommodel!#REF!</definedName>
    <definedName name="rg_temp_eco">Stoommodel!#REF!</definedName>
    <definedName name="rg_temp_koeler">Stoommodel!#REF!</definedName>
    <definedName name="rg_temp_rgc">Stoommodel!#REF!</definedName>
    <definedName name="spuiverlies">Stoommodel!#REF!</definedName>
    <definedName name="stilst_verlies">Stoommodel!#REF!</definedName>
    <definedName name="stoomdruk">Stoommodel!#REF!</definedName>
    <definedName name="stoomtabel_d">Tabellen!$A$6:$F$46</definedName>
    <definedName name="stoomtabel_t">Tabellen!$H$6:$M$156</definedName>
    <definedName name="stoomtemp" localSheetId="0">Stoommodel!#REF!</definedName>
    <definedName name="stoomtemp">#REF!</definedName>
    <definedName name="temp_rookgas">Tabellen!$O$5:$O$50</definedName>
    <definedName name="temp_suppl">Stoommodel!#REF!</definedName>
    <definedName name="temperatuur">Tabellen!$H$6:$H$156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 i="3" l="1"/>
  <c r="G37" i="3" l="1"/>
  <c r="U15" i="3"/>
  <c r="I15" i="3"/>
  <c r="U18" i="3"/>
  <c r="U16" i="3" l="1"/>
  <c r="U14" i="3"/>
  <c r="U17" i="3" l="1"/>
  <c r="U13" i="3"/>
  <c r="U23" i="3" s="1"/>
  <c r="L20" i="3"/>
  <c r="U4" i="3"/>
  <c r="U5" i="3"/>
  <c r="L11" i="3"/>
  <c r="L16" i="3"/>
  <c r="G25" i="3" l="1"/>
  <c r="U21" i="3"/>
  <c r="U22" i="3" s="1"/>
  <c r="G7" i="3" l="1"/>
  <c r="U25" i="3" l="1"/>
  <c r="U35" i="3"/>
  <c r="C30" i="3" s="1"/>
  <c r="U6" i="3"/>
  <c r="N11" i="3"/>
  <c r="E14" i="3"/>
  <c r="I14" i="3"/>
  <c r="E15" i="3"/>
  <c r="D17" i="3"/>
  <c r="I18" i="3"/>
  <c r="E19" i="3"/>
  <c r="N19" i="3"/>
  <c r="O20" i="3"/>
  <c r="U24" i="3"/>
  <c r="M25" i="3"/>
  <c r="U26" i="3"/>
  <c r="I29" i="3"/>
  <c r="U29" i="3"/>
  <c r="U30" i="3"/>
  <c r="U31" i="3"/>
  <c r="U33" i="3"/>
  <c r="U34" i="3"/>
</calcChain>
</file>

<file path=xl/sharedStrings.xml><?xml version="1.0" encoding="utf-8"?>
<sst xmlns="http://schemas.openxmlformats.org/spreadsheetml/2006/main" count="138" uniqueCount="85">
  <si>
    <t>ton/h</t>
  </si>
  <si>
    <t>kg/h</t>
  </si>
  <si>
    <t>Tin</t>
  </si>
  <si>
    <t>°C</t>
  </si>
  <si>
    <t>m3/h</t>
  </si>
  <si>
    <t>////////</t>
  </si>
  <si>
    <t>Tout</t>
  </si>
  <si>
    <t>\\\\\\\\</t>
  </si>
  <si>
    <t>°C       ECO</t>
  </si>
  <si>
    <t xml:space="preserve">°C  </t>
  </si>
  <si>
    <t>bar(g)</t>
  </si>
  <si>
    <t>/////////////</t>
  </si>
  <si>
    <t>Gas input</t>
  </si>
  <si>
    <t>\\\\\\\\\\\\\</t>
  </si>
  <si>
    <t>Economiser</t>
  </si>
  <si>
    <t>JA</t>
  </si>
  <si>
    <t>m³/y</t>
  </si>
  <si>
    <t>MW</t>
  </si>
  <si>
    <t>kJ/kg</t>
  </si>
  <si>
    <t>ton/j</t>
  </si>
  <si>
    <t>Spui</t>
  </si>
  <si>
    <t>Ontgasser stoom</t>
  </si>
  <si>
    <t>Suppletie water</t>
  </si>
  <si>
    <t>Stoomtabel</t>
  </si>
  <si>
    <t>Druk</t>
  </si>
  <si>
    <t>temp</t>
  </si>
  <si>
    <t>h'</t>
  </si>
  <si>
    <t>h"</t>
  </si>
  <si>
    <t>rho'</t>
  </si>
  <si>
    <t>rho"</t>
  </si>
  <si>
    <t>kg/m3</t>
  </si>
  <si>
    <t>GJ</t>
  </si>
  <si>
    <t>druk</t>
  </si>
  <si>
    <t>Schoorsteenverlies</t>
  </si>
  <si>
    <t>Suppletiewater</t>
  </si>
  <si>
    <t>Energiebalans</t>
  </si>
  <si>
    <t>Massabalans</t>
  </si>
  <si>
    <t>Energie in</t>
  </si>
  <si>
    <t>Stilstand verlies</t>
  </si>
  <si>
    <t>Spui verlies</t>
  </si>
  <si>
    <t>Nuttige warmte</t>
  </si>
  <si>
    <t>Stookrendement</t>
  </si>
  <si>
    <t>Luvo/ rookgascondensor</t>
  </si>
  <si>
    <t>LET OP: condensaat tank &gt;85°C</t>
  </si>
  <si>
    <t>Condensaat</t>
  </si>
  <si>
    <t>Ontgasserpluim</t>
  </si>
  <si>
    <t>Stoomproductie</t>
  </si>
  <si>
    <t>rookgastemp</t>
  </si>
  <si>
    <t>zuurstofpercentage</t>
  </si>
  <si>
    <t>Spui koeler</t>
  </si>
  <si>
    <t>Condensor</t>
  </si>
  <si>
    <t>Spuiwater koeler</t>
  </si>
  <si>
    <t>Besparing</t>
  </si>
  <si>
    <t>Ruimte temperatuur</t>
  </si>
  <si>
    <t>Condities ketelhuis + brander</t>
  </si>
  <si>
    <t>t/j</t>
  </si>
  <si>
    <t>Stoomketel</t>
  </si>
  <si>
    <t>Capaciteit</t>
  </si>
  <si>
    <t>t.o.v. suppletie</t>
  </si>
  <si>
    <t>NEE</t>
  </si>
  <si>
    <t>Ontgasser</t>
  </si>
  <si>
    <t>Stoomdruk</t>
  </si>
  <si>
    <t>Stoomtemperatuur</t>
  </si>
  <si>
    <t>Stilstandsverlies</t>
  </si>
  <si>
    <t>Spuitank</t>
  </si>
  <si>
    <t>Brander capaciteit</t>
  </si>
  <si>
    <t>100°C</t>
  </si>
  <si>
    <t>O2 percentage rookgassen</t>
  </si>
  <si>
    <t>Draaiuren stoomketel</t>
  </si>
  <si>
    <t>Instructie</t>
  </si>
  <si>
    <t>Energie besparingsopties</t>
  </si>
  <si>
    <t>suppletiewater mengtank</t>
  </si>
  <si>
    <t>Aardgas toevoer</t>
  </si>
  <si>
    <t>m³/t</t>
  </si>
  <si>
    <t>Licht blauwe velden zijn invulvelden</t>
  </si>
  <si>
    <t>Er zijn drie mogelijke energie besparingsopties:
  - Economiser
  - Rookgascondensor
  - Spuiwaterkoeler</t>
  </si>
  <si>
    <t>De werking van een standaard ontgasser is gewaarborgd als het suppletie water kouder is dan 85°C.</t>
  </si>
  <si>
    <t>Door het jaarlijks aardgasverbruik in te vullen wordt het stoomverbruik, massa- en energiebalans berekend.</t>
  </si>
  <si>
    <r>
      <t xml:space="preserve">Het stoommodel maakt gebruik van iteratieve berekeningen. Deze kunt u aanzetten door:
- </t>
    </r>
    <r>
      <rPr>
        <i/>
        <sz val="12"/>
        <color theme="1"/>
        <rFont val="Calibri"/>
        <family val="2"/>
      </rPr>
      <t>Bestand, Opties, Formules, Iteratieve berekening inschakelen</t>
    </r>
    <r>
      <rPr>
        <sz val="12"/>
        <color theme="1"/>
        <rFont val="Calibri"/>
        <family val="2"/>
      </rPr>
      <t xml:space="preserve"> aanvinken</t>
    </r>
  </si>
  <si>
    <t>Onder energie besparingsopties kunnen drie warmteterugopties worden aan of uitgezet. Bij het aanzetten wordt deze optie zichtbaar. Door temperaturen aan te passen van de rookgassen na warmteterugwinning, wordt de aardgasbesparing herberekend van deze optie.</t>
  </si>
  <si>
    <t xml:space="preserve">Indien de temperatuur in de suppletietank hoger is dan 85°C dan verschijnt er een melding dat dit het geval is.
Het rekenprogramma blijft wel rekenen met de betreffende berekende suppletiewater temperatuur. Dit kan mogelijk leiden tot foutieve waarden zijn. </t>
  </si>
  <si>
    <t>Rookgas verlies (stoomketel)</t>
  </si>
  <si>
    <t>Flash stoom spuitank</t>
  </si>
  <si>
    <t>20 °C</t>
  </si>
  <si>
    <t>Rendement (onderwaarde)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</si>
</sst>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
    <numFmt numFmtId="165" formatCode="0.0%"/>
    <numFmt numFmtId="166" formatCode="0.0"/>
    <numFmt numFmtId="167" formatCode="#,##0.00000"/>
    <numFmt numFmtId="168" formatCode="General_)"/>
    <numFmt numFmtId="169" formatCode="#,###\ &quot;Nm3&quot;"/>
  </numFmts>
  <fonts count="14" x14ac:knownFonts="1">
    <font>
      <sz val="11"/>
      <color theme="1"/>
      <name val="Calibri"/>
      <family val="2"/>
    </font>
    <font>
      <sz val="10"/>
      <name val="Arial"/>
      <family val="2"/>
    </font>
    <font>
      <sz val="10"/>
      <color theme="0"/>
      <name val="Arial"/>
      <family val="2"/>
    </font>
    <font>
      <b/>
      <sz val="10"/>
      <name val="Arial"/>
      <family val="2"/>
    </font>
    <font>
      <sz val="10"/>
      <color rgb="FFFF0000"/>
      <name val="Arial"/>
      <family val="2"/>
    </font>
    <font>
      <b/>
      <sz val="12"/>
      <color indexed="10"/>
      <name val="Arial"/>
      <family val="2"/>
    </font>
    <font>
      <i/>
      <sz val="10"/>
      <name val="Arial"/>
      <family val="2"/>
    </font>
    <font>
      <sz val="10"/>
      <color theme="3" tint="0.39997558519241921"/>
      <name val="Comic Sans MS"/>
      <family val="4"/>
    </font>
    <font>
      <sz val="11"/>
      <name val="Calibri"/>
      <family val="2"/>
      <scheme val="minor"/>
    </font>
    <font>
      <sz val="12"/>
      <name val="Helv"/>
    </font>
    <font>
      <sz val="11"/>
      <color theme="1"/>
      <name val="Calibri"/>
      <family val="2"/>
      <scheme val="minor"/>
    </font>
    <font>
      <b/>
      <sz val="12"/>
      <color theme="1"/>
      <name val="Calibri"/>
      <family val="2"/>
    </font>
    <font>
      <sz val="12"/>
      <color theme="1"/>
      <name val="Calibri"/>
      <family val="2"/>
    </font>
    <font>
      <i/>
      <sz val="12"/>
      <color theme="1"/>
      <name val="Calibri"/>
      <family val="2"/>
    </font>
  </fonts>
  <fills count="14">
    <fill>
      <patternFill patternType="none"/>
    </fill>
    <fill>
      <patternFill patternType="gray125"/>
    </fill>
    <fill>
      <patternFill patternType="solid">
        <fgColor indexed="41"/>
        <bgColor indexed="64"/>
      </patternFill>
    </fill>
    <fill>
      <gradientFill degree="90">
        <stop position="0">
          <color theme="4" tint="0.59999389629810485"/>
        </stop>
        <stop position="1">
          <color theme="4" tint="0.80001220740379042"/>
        </stop>
      </gradientFill>
    </fill>
    <fill>
      <gradientFill degree="90">
        <stop position="0">
          <color theme="4" tint="0.80001220740379042"/>
        </stop>
        <stop position="1">
          <color theme="0"/>
        </stop>
      </gradientFill>
    </fill>
    <fill>
      <gradientFill degree="90">
        <stop position="0">
          <color theme="0"/>
        </stop>
        <stop position="1">
          <color theme="6" tint="0.80001220740379042"/>
        </stop>
      </gradientFill>
    </fill>
    <fill>
      <patternFill patternType="solid">
        <fgColor rgb="FFCCFFFF"/>
        <bgColor auto="1"/>
      </patternFill>
    </fill>
    <fill>
      <gradientFill degree="90">
        <stop position="0">
          <color theme="6" tint="0.80001220740379042"/>
        </stop>
        <stop position="1">
          <color theme="6" tint="0.59999389629810485"/>
        </stop>
      </gradientFill>
    </fill>
    <fill>
      <gradientFill degree="90">
        <stop position="0">
          <color theme="4" tint="0.40000610370189521"/>
        </stop>
        <stop position="1">
          <color theme="4" tint="0.59999389629810485"/>
        </stop>
      </gradientFill>
    </fill>
    <fill>
      <patternFill patternType="solid">
        <fgColor rgb="FFFFC000"/>
        <bgColor indexed="64"/>
      </patternFill>
    </fill>
    <fill>
      <gradientFill degree="90">
        <stop position="0">
          <color theme="6" tint="0.59999389629810485"/>
        </stop>
        <stop position="1">
          <color theme="6" tint="0.80001220740379042"/>
        </stop>
      </gradientFill>
    </fill>
    <fill>
      <gradientFill degree="90">
        <stop position="0">
          <color theme="6" tint="0.80001220740379042"/>
        </stop>
        <stop position="0.5">
          <color theme="0"/>
        </stop>
        <stop position="1">
          <color theme="6" tint="0.80001220740379042"/>
        </stop>
      </gradientFill>
    </fill>
    <fill>
      <gradientFill degree="90">
        <stop position="0">
          <color theme="6" tint="0.59999389629810485"/>
        </stop>
        <stop position="1">
          <color theme="6" tint="0.40000610370189521"/>
        </stop>
      </gradientFill>
    </fill>
    <fill>
      <patternFill patternType="solid">
        <fgColor rgb="FFCCFFFF"/>
        <bgColor indexed="64"/>
      </patternFill>
    </fill>
  </fills>
  <borders count="44">
    <border>
      <left/>
      <right/>
      <top/>
      <bottom/>
      <diagonal/>
    </border>
    <border>
      <left/>
      <right/>
      <top style="medium">
        <color indexed="64"/>
      </top>
      <bottom/>
      <diagonal/>
    </border>
    <border>
      <left style="medium">
        <color indexed="64"/>
      </left>
      <right/>
      <top/>
      <bottom/>
      <diagonal/>
    </border>
    <border>
      <left style="thick">
        <color indexed="10"/>
      </left>
      <right style="thick">
        <color indexed="10"/>
      </right>
      <top style="medium">
        <color indexed="8"/>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style="thick">
        <color indexed="10"/>
      </right>
      <top/>
      <bottom style="medium">
        <color indexed="8"/>
      </bottom>
      <diagonal/>
    </border>
    <border>
      <left style="thick">
        <color indexed="10"/>
      </left>
      <right/>
      <top/>
      <bottom/>
      <diagonal/>
    </border>
    <border>
      <left/>
      <right style="thick">
        <color indexed="10"/>
      </right>
      <top/>
      <bottom/>
      <diagonal/>
    </border>
    <border>
      <left style="thick">
        <color indexed="10"/>
      </left>
      <right style="thick">
        <color indexed="10"/>
      </right>
      <top/>
      <bottom/>
      <diagonal/>
    </border>
    <border>
      <left style="medium">
        <color indexed="64"/>
      </left>
      <right/>
      <top style="medium">
        <color indexed="64"/>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medium">
        <color indexed="8"/>
      </top>
      <bottom/>
      <diagonal/>
    </border>
    <border>
      <left style="medium">
        <color auto="1"/>
      </left>
      <right/>
      <top style="medium">
        <color auto="1"/>
      </top>
      <bottom/>
      <diagonal/>
    </border>
    <border>
      <left/>
      <right/>
      <top/>
      <bottom style="medium">
        <color indexed="8"/>
      </bottom>
      <diagonal/>
    </border>
    <border>
      <left/>
      <right style="medium">
        <color auto="1"/>
      </right>
      <top/>
      <bottom/>
      <diagonal/>
    </border>
    <border>
      <left/>
      <right/>
      <top/>
      <bottom style="medium">
        <color indexed="64"/>
      </bottom>
      <diagonal/>
    </border>
    <border>
      <left style="medium">
        <color indexed="8"/>
      </left>
      <right/>
      <top/>
      <bottom/>
      <diagonal/>
    </border>
    <border>
      <left style="medium">
        <color auto="1"/>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thick">
        <color indexed="64"/>
      </bottom>
      <diagonal/>
    </border>
    <border>
      <left style="thick">
        <color indexed="64"/>
      </left>
      <right style="thick">
        <color indexed="64"/>
      </right>
      <top/>
      <bottom style="thick">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diagonal/>
    </border>
    <border>
      <left style="medium">
        <color auto="1"/>
      </left>
      <right/>
      <top/>
      <bottom style="medium">
        <color auto="1"/>
      </bottom>
      <diagonal/>
    </border>
    <border>
      <left/>
      <right style="medium">
        <color auto="1"/>
      </right>
      <top/>
      <bottom style="medium">
        <color indexed="64"/>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s>
  <cellStyleXfs count="5">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8" fontId="9" fillId="0" borderId="0"/>
  </cellStyleXfs>
  <cellXfs count="194">
    <xf numFmtId="0" fontId="0" fillId="0" borderId="0" xfId="0"/>
    <xf numFmtId="0" fontId="1" fillId="0" borderId="0" xfId="1"/>
    <xf numFmtId="0" fontId="1" fillId="0" borderId="37" xfId="1" applyBorder="1"/>
    <xf numFmtId="0" fontId="1" fillId="0" borderId="36" xfId="1" applyBorder="1"/>
    <xf numFmtId="0" fontId="1" fillId="2" borderId="35" xfId="1" applyFill="1" applyBorder="1" applyProtection="1">
      <protection locked="0"/>
    </xf>
    <xf numFmtId="3" fontId="1" fillId="0" borderId="37" xfId="1" applyNumberFormat="1" applyBorder="1"/>
    <xf numFmtId="3" fontId="1" fillId="0" borderId="35" xfId="1" applyNumberFormat="1" applyBorder="1"/>
    <xf numFmtId="0" fontId="1" fillId="0" borderId="35" xfId="1" applyBorder="1"/>
    <xf numFmtId="0" fontId="5" fillId="0" borderId="0" xfId="1" applyFont="1" applyAlignment="1">
      <alignment horizontal="left"/>
    </xf>
    <xf numFmtId="165" fontId="1" fillId="0" borderId="0" xfId="1" applyNumberFormat="1"/>
    <xf numFmtId="3" fontId="1" fillId="0" borderId="0" xfId="1" applyNumberFormat="1"/>
    <xf numFmtId="0" fontId="1" fillId="0" borderId="1" xfId="1" applyBorder="1"/>
    <xf numFmtId="164" fontId="1" fillId="0" borderId="1" xfId="1" applyNumberFormat="1" applyBorder="1"/>
    <xf numFmtId="0" fontId="1" fillId="0" borderId="21" xfId="1" applyBorder="1"/>
    <xf numFmtId="0" fontId="1" fillId="2" borderId="0" xfId="1" applyFill="1" applyProtection="1">
      <protection locked="0"/>
    </xf>
    <xf numFmtId="0" fontId="1" fillId="0" borderId="0" xfId="1" applyAlignment="1">
      <alignment horizontal="right"/>
    </xf>
    <xf numFmtId="1" fontId="1" fillId="0" borderId="0" xfId="1" applyNumberFormat="1"/>
    <xf numFmtId="0" fontId="1" fillId="0" borderId="3" xfId="1" quotePrefix="1" applyBorder="1"/>
    <xf numFmtId="0" fontId="1" fillId="3" borderId="4" xfId="1" applyFill="1" applyBorder="1"/>
    <xf numFmtId="0" fontId="1" fillId="3" borderId="5" xfId="1" applyFill="1" applyBorder="1"/>
    <xf numFmtId="0" fontId="1" fillId="3" borderId="6" xfId="1" applyFill="1" applyBorder="1"/>
    <xf numFmtId="0" fontId="1" fillId="0" borderId="7" xfId="1" applyBorder="1"/>
    <xf numFmtId="3" fontId="1" fillId="0" borderId="21" xfId="1" applyNumberFormat="1" applyBorder="1" applyAlignment="1">
      <alignment horizontal="left"/>
    </xf>
    <xf numFmtId="4" fontId="1" fillId="0" borderId="0" xfId="1" applyNumberFormat="1"/>
    <xf numFmtId="0" fontId="1" fillId="4" borderId="8" xfId="1" applyFill="1" applyBorder="1"/>
    <xf numFmtId="0" fontId="1" fillId="4" borderId="0" xfId="1" applyFill="1"/>
    <xf numFmtId="0" fontId="1" fillId="4" borderId="9" xfId="1" applyFill="1" applyBorder="1"/>
    <xf numFmtId="0" fontId="1" fillId="0" borderId="10" xfId="1" applyBorder="1"/>
    <xf numFmtId="164" fontId="1" fillId="0" borderId="21" xfId="1" applyNumberFormat="1" applyBorder="1"/>
    <xf numFmtId="0" fontId="1" fillId="0" borderId="11" xfId="1" applyBorder="1"/>
    <xf numFmtId="0" fontId="1" fillId="5" borderId="8" xfId="1" applyFill="1" applyBorder="1"/>
    <xf numFmtId="3" fontId="1" fillId="6" borderId="0" xfId="1" applyNumberFormat="1" applyFill="1" applyProtection="1">
      <protection locked="0"/>
    </xf>
    <xf numFmtId="0" fontId="1" fillId="5" borderId="0" xfId="1" applyFill="1"/>
    <xf numFmtId="0" fontId="1" fillId="5" borderId="9" xfId="1" applyFill="1" applyBorder="1"/>
    <xf numFmtId="3" fontId="1" fillId="2" borderId="8" xfId="1" applyNumberFormat="1" applyFill="1" applyBorder="1" applyProtection="1">
      <protection locked="0"/>
    </xf>
    <xf numFmtId="0" fontId="2" fillId="0" borderId="0" xfId="1" applyFont="1"/>
    <xf numFmtId="0" fontId="1" fillId="7" borderId="12" xfId="1" applyFill="1" applyBorder="1"/>
    <xf numFmtId="0" fontId="1" fillId="7" borderId="13" xfId="1" applyFill="1" applyBorder="1"/>
    <xf numFmtId="0" fontId="1" fillId="7" borderId="14" xfId="1" applyFill="1" applyBorder="1"/>
    <xf numFmtId="166" fontId="1" fillId="0" borderId="0" xfId="1" applyNumberFormat="1"/>
    <xf numFmtId="0" fontId="1" fillId="0" borderId="15" xfId="1" applyBorder="1"/>
    <xf numFmtId="0" fontId="1" fillId="0" borderId="17" xfId="1" applyBorder="1"/>
    <xf numFmtId="2" fontId="1" fillId="0" borderId="21" xfId="1" applyNumberFormat="1" applyBorder="1"/>
    <xf numFmtId="9" fontId="1" fillId="0" borderId="0" xfId="1" applyNumberFormat="1"/>
    <xf numFmtId="164" fontId="3" fillId="0" borderId="0" xfId="1" applyNumberFormat="1" applyFont="1"/>
    <xf numFmtId="0" fontId="3" fillId="0" borderId="0" xfId="1" applyFont="1"/>
    <xf numFmtId="3" fontId="1" fillId="0" borderId="21" xfId="1" applyNumberFormat="1" applyBorder="1" applyAlignment="1">
      <alignment horizontal="right"/>
    </xf>
    <xf numFmtId="0" fontId="1" fillId="0" borderId="21" xfId="1" applyBorder="1" applyAlignment="1">
      <alignment horizontal="right"/>
    </xf>
    <xf numFmtId="166" fontId="3" fillId="0" borderId="0" xfId="1" applyNumberFormat="1" applyFont="1"/>
    <xf numFmtId="0" fontId="1" fillId="0" borderId="18" xfId="1" applyBorder="1"/>
    <xf numFmtId="0" fontId="1" fillId="0" borderId="19" xfId="1" applyBorder="1"/>
    <xf numFmtId="0" fontId="1" fillId="0" borderId="20" xfId="1" applyBorder="1" applyAlignment="1">
      <alignment horizontal="right"/>
    </xf>
    <xf numFmtId="9" fontId="1" fillId="0" borderId="21" xfId="1" applyNumberFormat="1" applyBorder="1" applyAlignment="1">
      <alignment horizontal="left"/>
    </xf>
    <xf numFmtId="9" fontId="1" fillId="2" borderId="0" xfId="1" applyNumberFormat="1" applyFill="1" applyProtection="1">
      <protection locked="0"/>
    </xf>
    <xf numFmtId="10" fontId="1" fillId="0" borderId="0" xfId="1" applyNumberFormat="1"/>
    <xf numFmtId="0" fontId="1" fillId="0" borderId="20" xfId="1" applyBorder="1"/>
    <xf numFmtId="164" fontId="1" fillId="0" borderId="21" xfId="1" applyNumberFormat="1" applyBorder="1" applyAlignment="1">
      <alignment horizontal="left"/>
    </xf>
    <xf numFmtId="9" fontId="0" fillId="0" borderId="0" xfId="2" applyFont="1" applyBorder="1"/>
    <xf numFmtId="165" fontId="1" fillId="0" borderId="8" xfId="1" applyNumberFormat="1" applyBorder="1"/>
    <xf numFmtId="3" fontId="1" fillId="0" borderId="21" xfId="1" applyNumberFormat="1" applyBorder="1"/>
    <xf numFmtId="0" fontId="1" fillId="8" borderId="22" xfId="1" applyFill="1" applyBorder="1"/>
    <xf numFmtId="0" fontId="1" fillId="8" borderId="23" xfId="1" applyFill="1" applyBorder="1"/>
    <xf numFmtId="0" fontId="1" fillId="8" borderId="24" xfId="1" applyFill="1" applyBorder="1"/>
    <xf numFmtId="0" fontId="1" fillId="0" borderId="5" xfId="1" applyBorder="1"/>
    <xf numFmtId="0" fontId="1" fillId="0" borderId="9" xfId="1" applyBorder="1"/>
    <xf numFmtId="2" fontId="1" fillId="0" borderId="0" xfId="1" applyNumberFormat="1"/>
    <xf numFmtId="165" fontId="0" fillId="0" borderId="0" xfId="2" applyNumberFormat="1" applyFont="1" applyFill="1" applyBorder="1"/>
    <xf numFmtId="0" fontId="1" fillId="3" borderId="25" xfId="1" applyFill="1" applyBorder="1"/>
    <xf numFmtId="0" fontId="1" fillId="3" borderId="0" xfId="1" applyFill="1"/>
    <xf numFmtId="0" fontId="1" fillId="3" borderId="26" xfId="1" applyFill="1" applyBorder="1"/>
    <xf numFmtId="0" fontId="1" fillId="0" borderId="13" xfId="1" applyBorder="1"/>
    <xf numFmtId="0" fontId="1" fillId="0" borderId="14" xfId="1" applyBorder="1"/>
    <xf numFmtId="0" fontId="1" fillId="9" borderId="27" xfId="1" applyFill="1" applyBorder="1"/>
    <xf numFmtId="0" fontId="1" fillId="9" borderId="28" xfId="1" applyFill="1" applyBorder="1"/>
    <xf numFmtId="0" fontId="1" fillId="4" borderId="25" xfId="1" applyFill="1" applyBorder="1"/>
    <xf numFmtId="0" fontId="1" fillId="4" borderId="26" xfId="1" applyFill="1" applyBorder="1"/>
    <xf numFmtId="0" fontId="1" fillId="9" borderId="29" xfId="1" applyFill="1" applyBorder="1"/>
    <xf numFmtId="0" fontId="1" fillId="9" borderId="30" xfId="1" applyFill="1" applyBorder="1"/>
    <xf numFmtId="0" fontId="1" fillId="5" borderId="25" xfId="1" applyFill="1" applyBorder="1"/>
    <xf numFmtId="0" fontId="1" fillId="5" borderId="26" xfId="1" applyFill="1" applyBorder="1"/>
    <xf numFmtId="0" fontId="1" fillId="10" borderId="4" xfId="1" applyFill="1" applyBorder="1"/>
    <xf numFmtId="0" fontId="1" fillId="10" borderId="5" xfId="1" applyFill="1" applyBorder="1"/>
    <xf numFmtId="0" fontId="1" fillId="10" borderId="6" xfId="1" applyFill="1" applyBorder="1"/>
    <xf numFmtId="3" fontId="3" fillId="0" borderId="0" xfId="1" applyNumberFormat="1" applyFont="1"/>
    <xf numFmtId="0" fontId="1" fillId="9" borderId="31" xfId="1" applyFill="1" applyBorder="1"/>
    <xf numFmtId="3" fontId="1" fillId="7" borderId="25" xfId="1" applyNumberFormat="1" applyFill="1" applyBorder="1"/>
    <xf numFmtId="3" fontId="1" fillId="7" borderId="0" xfId="1" applyNumberFormat="1" applyFill="1"/>
    <xf numFmtId="3" fontId="1" fillId="7" borderId="26" xfId="1" applyNumberFormat="1" applyFill="1" applyBorder="1"/>
    <xf numFmtId="3" fontId="1" fillId="11" borderId="8" xfId="1" applyNumberFormat="1" applyFill="1" applyBorder="1"/>
    <xf numFmtId="0" fontId="1" fillId="11" borderId="9" xfId="1" applyFill="1" applyBorder="1"/>
    <xf numFmtId="0" fontId="1" fillId="0" borderId="28" xfId="1" applyBorder="1"/>
    <xf numFmtId="0" fontId="1" fillId="12" borderId="32" xfId="1" applyFill="1" applyBorder="1"/>
    <xf numFmtId="0" fontId="1" fillId="12" borderId="33" xfId="1" applyFill="1" applyBorder="1"/>
    <xf numFmtId="0" fontId="1" fillId="12" borderId="34" xfId="1" applyFill="1" applyBorder="1"/>
    <xf numFmtId="9" fontId="0" fillId="0" borderId="0" xfId="2" applyFont="1"/>
    <xf numFmtId="167" fontId="1" fillId="0" borderId="0" xfId="1" applyNumberFormat="1"/>
    <xf numFmtId="3" fontId="0" fillId="0" borderId="0" xfId="2" applyNumberFormat="1" applyFont="1" applyFill="1" applyBorder="1"/>
    <xf numFmtId="3" fontId="1" fillId="0" borderId="19" xfId="1" applyNumberFormat="1" applyBorder="1"/>
    <xf numFmtId="2" fontId="1" fillId="0" borderId="19" xfId="1" applyNumberFormat="1" applyBorder="1"/>
    <xf numFmtId="164" fontId="1" fillId="0" borderId="0" xfId="1" applyNumberFormat="1"/>
    <xf numFmtId="165" fontId="1" fillId="0" borderId="0" xfId="2" applyNumberFormat="1" applyFont="1" applyFill="1" applyBorder="1"/>
    <xf numFmtId="165" fontId="0" fillId="0" borderId="0" xfId="2" applyNumberFormat="1" applyFont="1"/>
    <xf numFmtId="10" fontId="1" fillId="0" borderId="0" xfId="1" applyNumberFormat="1" applyAlignment="1">
      <alignment horizontal="center"/>
    </xf>
    <xf numFmtId="0" fontId="1" fillId="0" borderId="0" xfId="1" applyAlignment="1">
      <alignment horizontal="center"/>
    </xf>
    <xf numFmtId="0" fontId="1" fillId="0" borderId="15" xfId="1" quotePrefix="1" applyBorder="1"/>
    <xf numFmtId="4" fontId="0" fillId="0" borderId="0" xfId="2" applyNumberFormat="1" applyFont="1" applyFill="1" applyBorder="1"/>
    <xf numFmtId="3" fontId="4" fillId="0" borderId="0" xfId="1" applyNumberFormat="1" applyFont="1"/>
    <xf numFmtId="165" fontId="6" fillId="0" borderId="0" xfId="2" applyNumberFormat="1" applyFont="1" applyFill="1" applyBorder="1"/>
    <xf numFmtId="3" fontId="3" fillId="0" borderId="0" xfId="2" applyNumberFormat="1" applyFont="1" applyFill="1" applyBorder="1"/>
    <xf numFmtId="3" fontId="1" fillId="0" borderId="0" xfId="1" applyNumberFormat="1" applyAlignment="1">
      <alignment horizontal="center"/>
    </xf>
    <xf numFmtId="165" fontId="0" fillId="0" borderId="0" xfId="2" applyNumberFormat="1" applyFont="1" applyBorder="1"/>
    <xf numFmtId="1" fontId="1" fillId="0" borderId="0" xfId="1" quotePrefix="1" applyNumberFormat="1"/>
    <xf numFmtId="0" fontId="1" fillId="0" borderId="0" xfId="1" applyBorder="1"/>
    <xf numFmtId="0" fontId="1" fillId="0" borderId="0" xfId="1" applyFill="1" applyBorder="1"/>
    <xf numFmtId="0" fontId="3" fillId="0" borderId="0" xfId="1" applyFont="1" applyFill="1" applyBorder="1"/>
    <xf numFmtId="3" fontId="1" fillId="0" borderId="0" xfId="1" applyNumberFormat="1" applyFill="1" applyBorder="1"/>
    <xf numFmtId="3" fontId="6" fillId="0" borderId="0" xfId="1" applyNumberFormat="1" applyFont="1" applyFill="1" applyBorder="1"/>
    <xf numFmtId="3" fontId="3" fillId="0" borderId="0" xfId="1" applyNumberFormat="1" applyFont="1" applyFill="1" applyBorder="1"/>
    <xf numFmtId="10" fontId="3" fillId="0" borderId="0" xfId="2" applyNumberFormat="1" applyFont="1" applyFill="1" applyBorder="1"/>
    <xf numFmtId="0" fontId="7" fillId="0" borderId="0" xfId="1" applyFont="1" applyFill="1" applyBorder="1"/>
    <xf numFmtId="164" fontId="1" fillId="0" borderId="0" xfId="1" applyNumberFormat="1" applyFill="1" applyBorder="1"/>
    <xf numFmtId="4" fontId="1" fillId="0" borderId="0" xfId="1" applyNumberFormat="1" applyFill="1" applyBorder="1"/>
    <xf numFmtId="0" fontId="1" fillId="0" borderId="0" xfId="1" applyFont="1"/>
    <xf numFmtId="165" fontId="1" fillId="0" borderId="0" xfId="1" applyNumberFormat="1" applyFill="1" applyBorder="1"/>
    <xf numFmtId="3" fontId="1" fillId="0" borderId="0" xfId="1" applyNumberFormat="1" applyFont="1" applyBorder="1"/>
    <xf numFmtId="3" fontId="1" fillId="0" borderId="35" xfId="1" applyNumberFormat="1" applyFill="1" applyBorder="1"/>
    <xf numFmtId="0" fontId="1" fillId="0" borderId="35" xfId="1" applyFill="1" applyBorder="1"/>
    <xf numFmtId="3" fontId="1" fillId="0" borderId="35" xfId="1" applyNumberFormat="1" applyFont="1" applyBorder="1"/>
    <xf numFmtId="0" fontId="1" fillId="0" borderId="35" xfId="1" applyFont="1" applyBorder="1"/>
    <xf numFmtId="0" fontId="1" fillId="0" borderId="37" xfId="1" applyFill="1" applyBorder="1"/>
    <xf numFmtId="0" fontId="8" fillId="0" borderId="0" xfId="0" applyFont="1"/>
    <xf numFmtId="0" fontId="8" fillId="0" borderId="35" xfId="0" applyFont="1" applyBorder="1"/>
    <xf numFmtId="9" fontId="8" fillId="0" borderId="35" xfId="0" applyNumberFormat="1" applyFont="1" applyBorder="1"/>
    <xf numFmtId="10" fontId="8" fillId="0" borderId="35" xfId="0" applyNumberFormat="1" applyFont="1" applyBorder="1"/>
    <xf numFmtId="4" fontId="8" fillId="0" borderId="35" xfId="4" applyNumberFormat="1" applyFont="1" applyBorder="1"/>
    <xf numFmtId="4" fontId="8" fillId="0" borderId="35" xfId="0" applyNumberFormat="1" applyFont="1" applyBorder="1"/>
    <xf numFmtId="4" fontId="8" fillId="0" borderId="35" xfId="0" applyNumberFormat="1" applyFont="1" applyBorder="1" applyProtection="1">
      <protection locked="0"/>
    </xf>
    <xf numFmtId="4" fontId="8" fillId="0" borderId="35" xfId="3" applyNumberFormat="1" applyFont="1" applyFill="1" applyBorder="1" applyAlignment="1"/>
    <xf numFmtId="4" fontId="8" fillId="0" borderId="35" xfId="4" applyNumberFormat="1" applyFont="1" applyBorder="1" applyProtection="1">
      <protection locked="0"/>
    </xf>
    <xf numFmtId="4" fontId="8" fillId="0" borderId="35" xfId="4" quotePrefix="1" applyNumberFormat="1" applyFont="1" applyBorder="1" applyProtection="1">
      <protection locked="0"/>
    </xf>
    <xf numFmtId="0" fontId="10" fillId="0" borderId="0" xfId="0" applyFont="1"/>
    <xf numFmtId="0" fontId="10" fillId="0" borderId="35" xfId="0" applyFont="1" applyBorder="1"/>
    <xf numFmtId="4" fontId="10" fillId="0" borderId="35" xfId="0" applyNumberFormat="1" applyFont="1" applyBorder="1"/>
    <xf numFmtId="0" fontId="1" fillId="0" borderId="0" xfId="1" applyBorder="1" applyAlignment="1">
      <alignment horizontal="right"/>
    </xf>
    <xf numFmtId="165" fontId="1" fillId="0" borderId="0" xfId="1" applyNumberFormat="1" applyBorder="1"/>
    <xf numFmtId="0" fontId="1" fillId="0" borderId="0" xfId="1" applyFill="1" applyBorder="1" applyAlignment="1">
      <alignment horizontal="right"/>
    </xf>
    <xf numFmtId="0" fontId="1" fillId="0" borderId="38" xfId="1" applyFill="1" applyBorder="1"/>
    <xf numFmtId="0" fontId="1" fillId="0" borderId="9" xfId="1" quotePrefix="1" applyFill="1" applyBorder="1" applyAlignment="1">
      <alignment horizontal="left"/>
    </xf>
    <xf numFmtId="0" fontId="1" fillId="0" borderId="10" xfId="1" quotePrefix="1" applyFill="1" applyBorder="1"/>
    <xf numFmtId="3" fontId="1" fillId="0" borderId="9" xfId="1" applyNumberFormat="1" applyBorder="1" applyAlignment="1">
      <alignment horizontal="left"/>
    </xf>
    <xf numFmtId="166" fontId="1" fillId="0" borderId="35" xfId="1" applyNumberFormat="1" applyFill="1" applyBorder="1"/>
    <xf numFmtId="165" fontId="1" fillId="0" borderId="35" xfId="1" applyNumberFormat="1" applyFill="1" applyBorder="1"/>
    <xf numFmtId="0" fontId="1" fillId="0" borderId="39" xfId="1" applyBorder="1"/>
    <xf numFmtId="3" fontId="1" fillId="0" borderId="2" xfId="1" applyNumberFormat="1" applyBorder="1"/>
    <xf numFmtId="0" fontId="1" fillId="0" borderId="40" xfId="1" applyBorder="1"/>
    <xf numFmtId="0" fontId="1" fillId="0" borderId="2" xfId="1" applyBorder="1"/>
    <xf numFmtId="4" fontId="10" fillId="0" borderId="0" xfId="0" applyNumberFormat="1" applyFont="1"/>
    <xf numFmtId="4" fontId="0" fillId="0" borderId="0" xfId="2" applyNumberFormat="1" applyFont="1"/>
    <xf numFmtId="164" fontId="1" fillId="0" borderId="36" xfId="1" applyNumberFormat="1" applyFill="1" applyBorder="1"/>
    <xf numFmtId="3" fontId="1" fillId="0" borderId="37" xfId="1" applyNumberFormat="1" applyFill="1" applyBorder="1"/>
    <xf numFmtId="4" fontId="0" fillId="0" borderId="35" xfId="0" applyNumberFormat="1" applyBorder="1"/>
    <xf numFmtId="0" fontId="1" fillId="0" borderId="36" xfId="1" applyFill="1" applyBorder="1"/>
    <xf numFmtId="0" fontId="3" fillId="0" borderId="0" xfId="1" applyFont="1" applyBorder="1"/>
    <xf numFmtId="0" fontId="1" fillId="6" borderId="0" xfId="1" applyFill="1" applyProtection="1">
      <protection locked="0"/>
    </xf>
    <xf numFmtId="165" fontId="1" fillId="6" borderId="33" xfId="1" applyNumberFormat="1" applyFill="1" applyBorder="1" applyProtection="1">
      <protection locked="0"/>
    </xf>
    <xf numFmtId="0" fontId="1" fillId="0" borderId="41" xfId="1" applyBorder="1"/>
    <xf numFmtId="0" fontId="1" fillId="0" borderId="42" xfId="1" applyBorder="1"/>
    <xf numFmtId="164" fontId="1" fillId="0" borderId="0" xfId="1" applyNumberFormat="1" applyBorder="1" applyAlignment="1">
      <alignment horizontal="left"/>
    </xf>
    <xf numFmtId="166" fontId="1" fillId="0" borderId="0" xfId="1" applyNumberFormat="1" applyBorder="1" applyAlignment="1">
      <alignment horizontal="left"/>
    </xf>
    <xf numFmtId="9" fontId="1" fillId="2" borderId="0" xfId="1" applyNumberFormat="1" applyFill="1" applyBorder="1" applyProtection="1">
      <protection locked="0"/>
    </xf>
    <xf numFmtId="0" fontId="1" fillId="2" borderId="16" xfId="1" applyFill="1" applyBorder="1" applyProtection="1">
      <protection locked="0"/>
    </xf>
    <xf numFmtId="0" fontId="1" fillId="11" borderId="0" xfId="1" applyFill="1" applyBorder="1"/>
    <xf numFmtId="0" fontId="1" fillId="0" borderId="18" xfId="1" applyFill="1" applyBorder="1"/>
    <xf numFmtId="0" fontId="1" fillId="0" borderId="43" xfId="1" applyBorder="1"/>
    <xf numFmtId="0" fontId="3" fillId="0" borderId="43" xfId="1" applyFont="1" applyFill="1" applyBorder="1"/>
    <xf numFmtId="0" fontId="1" fillId="0" borderId="43" xfId="1" applyFill="1" applyBorder="1"/>
    <xf numFmtId="0" fontId="1" fillId="0" borderId="43" xfId="1" applyFill="1" applyBorder="1" applyAlignment="1">
      <alignment horizontal="center"/>
    </xf>
    <xf numFmtId="0" fontId="1" fillId="0" borderId="40" xfId="1" applyFill="1" applyBorder="1"/>
    <xf numFmtId="0" fontId="1" fillId="0" borderId="0" xfId="1" applyFill="1" applyBorder="1" applyAlignment="1" applyProtection="1">
      <alignment horizontal="left"/>
    </xf>
    <xf numFmtId="1" fontId="1" fillId="0" borderId="0" xfId="1" applyNumberFormat="1" applyFill="1" applyBorder="1" applyProtection="1"/>
    <xf numFmtId="0" fontId="1" fillId="0" borderId="0" xfId="1" applyFill="1" applyBorder="1" applyAlignment="1" applyProtection="1">
      <alignment horizontal="right"/>
    </xf>
    <xf numFmtId="169" fontId="1" fillId="13" borderId="0" xfId="1" applyNumberFormat="1" applyFill="1" applyProtection="1">
      <protection locked="0"/>
    </xf>
    <xf numFmtId="0" fontId="0" fillId="0" borderId="0" xfId="0" quotePrefix="1" applyAlignment="1">
      <alignment wrapText="1"/>
    </xf>
    <xf numFmtId="0" fontId="11" fillId="0" borderId="35" xfId="0" applyFont="1" applyBorder="1" applyAlignment="1">
      <alignment vertical="top" wrapText="1"/>
    </xf>
    <xf numFmtId="0" fontId="12" fillId="0" borderId="35" xfId="0" quotePrefix="1" applyFont="1" applyBorder="1" applyAlignment="1">
      <alignment vertical="top" wrapText="1"/>
    </xf>
    <xf numFmtId="0" fontId="12" fillId="0" borderId="35" xfId="0" applyFont="1" applyFill="1" applyBorder="1" applyAlignment="1">
      <alignment vertical="top" wrapText="1"/>
    </xf>
    <xf numFmtId="3" fontId="1" fillId="2" borderId="35" xfId="1" applyNumberFormat="1" applyFill="1" applyBorder="1" applyAlignment="1" applyProtection="1">
      <alignment horizontal="right"/>
      <protection locked="0"/>
    </xf>
    <xf numFmtId="165" fontId="1" fillId="2" borderId="35" xfId="1" applyNumberFormat="1" applyFill="1" applyBorder="1" applyAlignment="1" applyProtection="1">
      <alignment horizontal="right"/>
      <protection locked="0"/>
    </xf>
    <xf numFmtId="0" fontId="1" fillId="0" borderId="0" xfId="1" applyFont="1" applyFill="1"/>
    <xf numFmtId="0" fontId="2" fillId="0" borderId="0" xfId="1" applyFont="1" applyFill="1"/>
    <xf numFmtId="0" fontId="1" fillId="0" borderId="0" xfId="1" applyFill="1"/>
    <xf numFmtId="0" fontId="1" fillId="0" borderId="35" xfId="1" applyFill="1" applyBorder="1" applyAlignment="1" applyProtection="1">
      <alignment horizontal="right"/>
    </xf>
    <xf numFmtId="3" fontId="1" fillId="0" borderId="16" xfId="1" applyNumberFormat="1" applyBorder="1" applyAlignment="1">
      <alignment horizontal="center"/>
    </xf>
    <xf numFmtId="3" fontId="1" fillId="0" borderId="41" xfId="1" applyNumberFormat="1" applyBorder="1" applyAlignment="1">
      <alignment horizontal="center"/>
    </xf>
  </cellXfs>
  <cellStyles count="5">
    <cellStyle name="Komma 2" xfId="3" xr:uid="{08D040B3-CCB9-4C04-A163-F74DAEA28574}"/>
    <cellStyle name="Procent 2" xfId="2" xr:uid="{C71ADFF1-EB29-45A1-8715-1A6427B8B429}"/>
    <cellStyle name="Standaard" xfId="0" builtinId="0"/>
    <cellStyle name="Standaard 2" xfId="1" xr:uid="{1238B230-A319-4EDE-B804-51F6A26D8617}"/>
    <cellStyle name="Standaard_menggas kort" xfId="4" xr:uid="{6271F7B4-C92B-4629-ADCF-A1210723BB58}"/>
  </cellStyles>
  <dxfs count="25">
    <dxf>
      <font>
        <color theme="0"/>
      </font>
    </dxf>
    <dxf>
      <font>
        <color theme="0"/>
      </font>
    </dxf>
    <dxf>
      <font>
        <condense val="0"/>
        <extend val="0"/>
        <color indexed="9"/>
      </font>
      <border>
        <bottom/>
      </border>
    </dxf>
    <dxf>
      <border>
        <bottom/>
      </border>
    </dxf>
    <dxf>
      <border>
        <left/>
        <top/>
        <bottom/>
      </border>
    </dxf>
    <dxf>
      <border>
        <left/>
      </border>
    </dxf>
    <dxf>
      <border>
        <left/>
        <right/>
        <top/>
        <bottom/>
      </border>
    </dxf>
    <dxf>
      <font>
        <condense val="0"/>
        <extend val="0"/>
        <color indexed="9"/>
      </font>
    </dxf>
    <dxf>
      <font>
        <condense val="0"/>
        <extend val="0"/>
        <color indexed="9"/>
      </font>
      <fill>
        <patternFill patternType="solid"/>
      </fill>
      <border>
        <top/>
        <bottom/>
      </border>
    </dxf>
    <dxf>
      <border>
        <right/>
        <vertical/>
        <horizontal/>
      </border>
    </dxf>
    <dxf>
      <border>
        <left/>
        <vertical/>
        <horizontal/>
      </border>
    </dxf>
    <dxf>
      <border>
        <top/>
        <bottom/>
      </border>
    </dxf>
    <dxf>
      <font>
        <condense val="0"/>
        <extend val="0"/>
        <color indexed="9"/>
      </font>
      <fill>
        <patternFill>
          <bgColor indexed="9"/>
        </patternFill>
      </fill>
    </dxf>
    <dxf>
      <font>
        <condense val="0"/>
        <extend val="0"/>
        <color indexed="9"/>
      </font>
      <fill>
        <patternFill>
          <bgColor indexed="9"/>
        </patternFill>
      </fill>
    </dxf>
    <dxf>
      <font>
        <condense val="0"/>
        <extend val="0"/>
        <color indexed="9"/>
      </font>
    </dxf>
    <dxf>
      <font>
        <b val="0"/>
        <i val="0"/>
        <condense val="0"/>
        <extend val="0"/>
        <color indexed="9"/>
      </font>
    </dxf>
    <dxf>
      <font>
        <condense val="0"/>
        <extend val="0"/>
        <color indexed="9"/>
      </font>
      <fill>
        <patternFill patternType="solid"/>
      </fill>
      <border>
        <top/>
        <bottom/>
      </border>
    </dxf>
    <dxf>
      <font>
        <condense val="0"/>
        <extend val="0"/>
        <color auto="1"/>
      </font>
      <border>
        <top/>
        <bottom/>
      </border>
    </dxf>
    <dxf>
      <font>
        <condense val="0"/>
        <extend val="0"/>
        <color indexed="9"/>
      </font>
      <border>
        <top/>
        <bottom/>
      </border>
    </dxf>
    <dxf>
      <font>
        <condense val="0"/>
        <extend val="0"/>
        <color indexed="9"/>
      </font>
      <fill>
        <patternFill patternType="solid">
          <fgColor indexed="64"/>
        </patternFill>
      </fill>
      <border>
        <top/>
        <bottom/>
      </border>
    </dxf>
    <dxf>
      <font>
        <color theme="0"/>
      </font>
      <fill>
        <patternFill>
          <bgColor theme="0"/>
        </patternFill>
      </fill>
    </dxf>
    <dxf>
      <font>
        <condense val="0"/>
        <extend val="0"/>
        <color indexed="9"/>
      </font>
      <fill>
        <patternFill patternType="solid">
          <fgColor indexed="64"/>
          <bgColor theme="0"/>
        </patternFill>
      </fill>
      <border>
        <top/>
        <bottom/>
      </border>
    </dxf>
    <dxf>
      <font>
        <condense val="0"/>
        <extend val="0"/>
        <color indexed="9"/>
      </font>
      <fill>
        <patternFill patternType="solid">
          <fgColor indexed="64"/>
        </patternFill>
      </fill>
      <border>
        <top/>
        <bottom/>
      </border>
    </dxf>
    <dxf>
      <font>
        <color rgb="FFFF0000"/>
      </font>
      <fill>
        <patternFill>
          <bgColor rgb="FFFFFF00"/>
        </patternFill>
      </fill>
    </dxf>
    <dxf>
      <font>
        <color rgb="FFFF0000"/>
      </font>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13</xdr:col>
      <xdr:colOff>0</xdr:colOff>
      <xdr:row>13</xdr:row>
      <xdr:rowOff>0</xdr:rowOff>
    </xdr:from>
    <xdr:to>
      <xdr:col>13</xdr:col>
      <xdr:colOff>0</xdr:colOff>
      <xdr:row>22</xdr:row>
      <xdr:rowOff>171450</xdr:rowOff>
    </xdr:to>
    <xdr:sp macro="" textlink="">
      <xdr:nvSpPr>
        <xdr:cNvPr id="2" name="Line 11">
          <a:extLst>
            <a:ext uri="{FF2B5EF4-FFF2-40B4-BE49-F238E27FC236}">
              <a16:creationId xmlns:a16="http://schemas.microsoft.com/office/drawing/2014/main" id="{A758F504-82C7-4CDC-9BAC-C4BF7C6471AE}"/>
            </a:ext>
          </a:extLst>
        </xdr:cNvPr>
        <xdr:cNvSpPr>
          <a:spLocks noChangeShapeType="1"/>
        </xdr:cNvSpPr>
      </xdr:nvSpPr>
      <xdr:spPr bwMode="auto">
        <a:xfrm flipV="1">
          <a:off x="10172700" y="3219450"/>
          <a:ext cx="0" cy="16859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0</xdr:rowOff>
    </xdr:from>
    <xdr:to>
      <xdr:col>7</xdr:col>
      <xdr:colOff>0</xdr:colOff>
      <xdr:row>15</xdr:row>
      <xdr:rowOff>0</xdr:rowOff>
    </xdr:to>
    <xdr:sp macro="" textlink="">
      <xdr:nvSpPr>
        <xdr:cNvPr id="3" name="Line 13">
          <a:extLst>
            <a:ext uri="{FF2B5EF4-FFF2-40B4-BE49-F238E27FC236}">
              <a16:creationId xmlns:a16="http://schemas.microsoft.com/office/drawing/2014/main" id="{CC5D8835-0831-4EA1-A9C4-4E541D25E884}"/>
            </a:ext>
          </a:extLst>
        </xdr:cNvPr>
        <xdr:cNvSpPr>
          <a:spLocks noChangeShapeType="1"/>
        </xdr:cNvSpPr>
      </xdr:nvSpPr>
      <xdr:spPr bwMode="auto">
        <a:xfrm>
          <a:off x="6619875" y="2876550"/>
          <a:ext cx="0" cy="6762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24</xdr:row>
      <xdr:rowOff>169334</xdr:rowOff>
    </xdr:from>
    <xdr:to>
      <xdr:col>16</xdr:col>
      <xdr:colOff>201083</xdr:colOff>
      <xdr:row>25</xdr:row>
      <xdr:rowOff>1</xdr:rowOff>
    </xdr:to>
    <xdr:sp macro="" textlink="">
      <xdr:nvSpPr>
        <xdr:cNvPr id="4" name="Line 14">
          <a:extLst>
            <a:ext uri="{FF2B5EF4-FFF2-40B4-BE49-F238E27FC236}">
              <a16:creationId xmlns:a16="http://schemas.microsoft.com/office/drawing/2014/main" id="{0704DC16-DAD2-485F-8EE7-0A8DD2DB1C88}"/>
            </a:ext>
          </a:extLst>
        </xdr:cNvPr>
        <xdr:cNvSpPr>
          <a:spLocks noChangeShapeType="1"/>
        </xdr:cNvSpPr>
      </xdr:nvSpPr>
      <xdr:spPr bwMode="auto">
        <a:xfrm flipV="1">
          <a:off x="10001250" y="4222751"/>
          <a:ext cx="825500" cy="1058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xdr:row>
      <xdr:rowOff>9525</xdr:rowOff>
    </xdr:from>
    <xdr:to>
      <xdr:col>5</xdr:col>
      <xdr:colOff>0</xdr:colOff>
      <xdr:row>7</xdr:row>
      <xdr:rowOff>9525</xdr:rowOff>
    </xdr:to>
    <xdr:sp macro="" textlink="">
      <xdr:nvSpPr>
        <xdr:cNvPr id="5" name="Line 17">
          <a:extLst>
            <a:ext uri="{FF2B5EF4-FFF2-40B4-BE49-F238E27FC236}">
              <a16:creationId xmlns:a16="http://schemas.microsoft.com/office/drawing/2014/main" id="{78E544EE-F43B-4EFE-9BCF-552892021EC0}"/>
            </a:ext>
          </a:extLst>
        </xdr:cNvPr>
        <xdr:cNvSpPr>
          <a:spLocks noChangeShapeType="1"/>
        </xdr:cNvSpPr>
      </xdr:nvSpPr>
      <xdr:spPr bwMode="auto">
        <a:xfrm>
          <a:off x="5286375" y="1676400"/>
          <a:ext cx="0" cy="523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26</xdr:row>
      <xdr:rowOff>0</xdr:rowOff>
    </xdr:from>
    <xdr:to>
      <xdr:col>8</xdr:col>
      <xdr:colOff>0</xdr:colOff>
      <xdr:row>30</xdr:row>
      <xdr:rowOff>9525</xdr:rowOff>
    </xdr:to>
    <xdr:sp macro="" textlink="">
      <xdr:nvSpPr>
        <xdr:cNvPr id="6" name="Line 18">
          <a:extLst>
            <a:ext uri="{FF2B5EF4-FFF2-40B4-BE49-F238E27FC236}">
              <a16:creationId xmlns:a16="http://schemas.microsoft.com/office/drawing/2014/main" id="{99D1E223-F44A-4206-968D-F9BA1614D9BA}"/>
            </a:ext>
          </a:extLst>
        </xdr:cNvPr>
        <xdr:cNvSpPr>
          <a:spLocks noChangeShapeType="1"/>
        </xdr:cNvSpPr>
      </xdr:nvSpPr>
      <xdr:spPr bwMode="auto">
        <a:xfrm flipH="1">
          <a:off x="7124700" y="5457825"/>
          <a:ext cx="0" cy="695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13</xdr:row>
      <xdr:rowOff>0</xdr:rowOff>
    </xdr:from>
    <xdr:to>
      <xdr:col>5</xdr:col>
      <xdr:colOff>9525</xdr:colOff>
      <xdr:row>20</xdr:row>
      <xdr:rowOff>0</xdr:rowOff>
    </xdr:to>
    <xdr:sp macro="" textlink="">
      <xdr:nvSpPr>
        <xdr:cNvPr id="7" name="Line 63">
          <a:extLst>
            <a:ext uri="{FF2B5EF4-FFF2-40B4-BE49-F238E27FC236}">
              <a16:creationId xmlns:a16="http://schemas.microsoft.com/office/drawing/2014/main" id="{DB3AB4F4-7F55-4B52-A7E0-D40E191FC99B}"/>
            </a:ext>
          </a:extLst>
        </xdr:cNvPr>
        <xdr:cNvSpPr>
          <a:spLocks noChangeShapeType="1"/>
        </xdr:cNvSpPr>
      </xdr:nvSpPr>
      <xdr:spPr bwMode="auto">
        <a:xfrm flipH="1" flipV="1">
          <a:off x="5295900" y="3219450"/>
          <a:ext cx="0" cy="1171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xdr:colOff>
      <xdr:row>9</xdr:row>
      <xdr:rowOff>0</xdr:rowOff>
    </xdr:from>
    <xdr:to>
      <xdr:col>3</xdr:col>
      <xdr:colOff>657225</xdr:colOff>
      <xdr:row>9</xdr:row>
      <xdr:rowOff>0</xdr:rowOff>
    </xdr:to>
    <xdr:sp macro="" textlink="">
      <xdr:nvSpPr>
        <xdr:cNvPr id="8" name="Line 115">
          <a:extLst>
            <a:ext uri="{FF2B5EF4-FFF2-40B4-BE49-F238E27FC236}">
              <a16:creationId xmlns:a16="http://schemas.microsoft.com/office/drawing/2014/main" id="{73C38DCB-7881-463E-A35F-069E3CA596A2}"/>
            </a:ext>
          </a:extLst>
        </xdr:cNvPr>
        <xdr:cNvSpPr>
          <a:spLocks noChangeShapeType="1"/>
        </xdr:cNvSpPr>
      </xdr:nvSpPr>
      <xdr:spPr bwMode="auto">
        <a:xfrm>
          <a:off x="4143375" y="2543175"/>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8</xdr:col>
      <xdr:colOff>0</xdr:colOff>
      <xdr:row>30</xdr:row>
      <xdr:rowOff>0</xdr:rowOff>
    </xdr:to>
    <xdr:sp macro="" textlink="">
      <xdr:nvSpPr>
        <xdr:cNvPr id="9" name="Line 116">
          <a:extLst>
            <a:ext uri="{FF2B5EF4-FFF2-40B4-BE49-F238E27FC236}">
              <a16:creationId xmlns:a16="http://schemas.microsoft.com/office/drawing/2014/main" id="{FA0EE656-FBD3-46EF-9BFF-83CF0F897FDE}"/>
            </a:ext>
          </a:extLst>
        </xdr:cNvPr>
        <xdr:cNvSpPr>
          <a:spLocks noChangeShapeType="1"/>
        </xdr:cNvSpPr>
      </xdr:nvSpPr>
      <xdr:spPr bwMode="auto">
        <a:xfrm flipH="1">
          <a:off x="6619875" y="6143625"/>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85725</xdr:colOff>
      <xdr:row>22</xdr:row>
      <xdr:rowOff>76200</xdr:rowOff>
    </xdr:from>
    <xdr:to>
      <xdr:col>2</xdr:col>
      <xdr:colOff>0</xdr:colOff>
      <xdr:row>22</xdr:row>
      <xdr:rowOff>85725</xdr:rowOff>
    </xdr:to>
    <xdr:sp macro="" textlink="">
      <xdr:nvSpPr>
        <xdr:cNvPr id="10" name="Line 118">
          <a:extLst>
            <a:ext uri="{FF2B5EF4-FFF2-40B4-BE49-F238E27FC236}">
              <a16:creationId xmlns:a16="http://schemas.microsoft.com/office/drawing/2014/main" id="{903FC726-8C3C-414E-9EC1-0918D3C9149F}"/>
            </a:ext>
          </a:extLst>
        </xdr:cNvPr>
        <xdr:cNvSpPr>
          <a:spLocks noChangeShapeType="1"/>
        </xdr:cNvSpPr>
      </xdr:nvSpPr>
      <xdr:spPr bwMode="auto">
        <a:xfrm flipV="1">
          <a:off x="1123950" y="3819525"/>
          <a:ext cx="933450" cy="95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17</xdr:row>
      <xdr:rowOff>9525</xdr:rowOff>
    </xdr:from>
    <xdr:to>
      <xdr:col>7</xdr:col>
      <xdr:colOff>0</xdr:colOff>
      <xdr:row>19</xdr:row>
      <xdr:rowOff>161925</xdr:rowOff>
    </xdr:to>
    <xdr:sp macro="" textlink="">
      <xdr:nvSpPr>
        <xdr:cNvPr id="11" name="Line 121">
          <a:extLst>
            <a:ext uri="{FF2B5EF4-FFF2-40B4-BE49-F238E27FC236}">
              <a16:creationId xmlns:a16="http://schemas.microsoft.com/office/drawing/2014/main" id="{D88F0A12-EA34-4C90-9BEE-053BB6EB16F6}"/>
            </a:ext>
          </a:extLst>
        </xdr:cNvPr>
        <xdr:cNvSpPr>
          <a:spLocks noChangeShapeType="1"/>
        </xdr:cNvSpPr>
      </xdr:nvSpPr>
      <xdr:spPr bwMode="auto">
        <a:xfrm>
          <a:off x="6619875" y="3895725"/>
          <a:ext cx="0" cy="4857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11906</xdr:colOff>
      <xdr:row>12</xdr:row>
      <xdr:rowOff>66675</xdr:rowOff>
    </xdr:from>
    <xdr:to>
      <xdr:col>5</xdr:col>
      <xdr:colOff>11906</xdr:colOff>
      <xdr:row>16</xdr:row>
      <xdr:rowOff>66675</xdr:rowOff>
    </xdr:to>
    <xdr:sp macro="" textlink="">
      <xdr:nvSpPr>
        <xdr:cNvPr id="12" name="Line 122">
          <a:extLst>
            <a:ext uri="{FF2B5EF4-FFF2-40B4-BE49-F238E27FC236}">
              <a16:creationId xmlns:a16="http://schemas.microsoft.com/office/drawing/2014/main" id="{1C8A376A-A66E-4606-98C9-4B6D78F106A2}"/>
            </a:ext>
          </a:extLst>
        </xdr:cNvPr>
        <xdr:cNvSpPr>
          <a:spLocks noChangeShapeType="1"/>
        </xdr:cNvSpPr>
      </xdr:nvSpPr>
      <xdr:spPr bwMode="auto">
        <a:xfrm flipV="1">
          <a:off x="5298281" y="3114675"/>
          <a:ext cx="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228600</xdr:colOff>
      <xdr:row>32</xdr:row>
      <xdr:rowOff>0</xdr:rowOff>
    </xdr:from>
    <xdr:to>
      <xdr:col>6</xdr:col>
      <xdr:colOff>228600</xdr:colOff>
      <xdr:row>35</xdr:row>
      <xdr:rowOff>133350</xdr:rowOff>
    </xdr:to>
    <xdr:sp macro="" textlink="">
      <xdr:nvSpPr>
        <xdr:cNvPr id="13" name="Line 124">
          <a:extLst>
            <a:ext uri="{FF2B5EF4-FFF2-40B4-BE49-F238E27FC236}">
              <a16:creationId xmlns:a16="http://schemas.microsoft.com/office/drawing/2014/main" id="{797340B3-7D4F-4DE4-8DF0-9B96793D7000}"/>
            </a:ext>
          </a:extLst>
        </xdr:cNvPr>
        <xdr:cNvSpPr>
          <a:spLocks noChangeShapeType="1"/>
        </xdr:cNvSpPr>
      </xdr:nvSpPr>
      <xdr:spPr bwMode="auto">
        <a:xfrm>
          <a:off x="6343650" y="6477000"/>
          <a:ext cx="0" cy="6477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114300</xdr:colOff>
      <xdr:row>5</xdr:row>
      <xdr:rowOff>28575</xdr:rowOff>
    </xdr:from>
    <xdr:to>
      <xdr:col>6</xdr:col>
      <xdr:colOff>123825</xdr:colOff>
      <xdr:row>6</xdr:row>
      <xdr:rowOff>152400</xdr:rowOff>
    </xdr:to>
    <xdr:sp macro="" textlink="">
      <xdr:nvSpPr>
        <xdr:cNvPr id="14" name="Line 373">
          <a:extLst>
            <a:ext uri="{FF2B5EF4-FFF2-40B4-BE49-F238E27FC236}">
              <a16:creationId xmlns:a16="http://schemas.microsoft.com/office/drawing/2014/main" id="{E8C4ADE9-2A33-47B9-8F50-E4D1430ED775}"/>
            </a:ext>
          </a:extLst>
        </xdr:cNvPr>
        <xdr:cNvSpPr>
          <a:spLocks noChangeShapeType="1"/>
        </xdr:cNvSpPr>
      </xdr:nvSpPr>
      <xdr:spPr bwMode="auto">
        <a:xfrm flipH="1" flipV="1">
          <a:off x="6229350" y="1866900"/>
          <a:ext cx="95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163569</xdr:colOff>
      <xdr:row>4</xdr:row>
      <xdr:rowOff>135816</xdr:rowOff>
    </xdr:from>
    <xdr:to>
      <xdr:col>10</xdr:col>
      <xdr:colOff>179505</xdr:colOff>
      <xdr:row>21</xdr:row>
      <xdr:rowOff>2359</xdr:rowOff>
    </xdr:to>
    <xdr:cxnSp macro="">
      <xdr:nvCxnSpPr>
        <xdr:cNvPr id="15" name="Rechte verbindingslijn 14">
          <a:extLst>
            <a:ext uri="{FF2B5EF4-FFF2-40B4-BE49-F238E27FC236}">
              <a16:creationId xmlns:a16="http://schemas.microsoft.com/office/drawing/2014/main" id="{969DB12F-3C67-4626-A1E3-BAC641297BAC}"/>
            </a:ext>
          </a:extLst>
        </xdr:cNvPr>
        <xdr:cNvCxnSpPr/>
      </xdr:nvCxnSpPr>
      <xdr:spPr bwMode="auto">
        <a:xfrm>
          <a:off x="8783694" y="1802691"/>
          <a:ext cx="15936" cy="276214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21</xdr:row>
      <xdr:rowOff>0</xdr:rowOff>
    </xdr:from>
    <xdr:to>
      <xdr:col>10</xdr:col>
      <xdr:colOff>190500</xdr:colOff>
      <xdr:row>21</xdr:row>
      <xdr:rowOff>0</xdr:rowOff>
    </xdr:to>
    <xdr:cxnSp macro="">
      <xdr:nvCxnSpPr>
        <xdr:cNvPr id="16" name="Rechte verbindingslijn 15">
          <a:extLst>
            <a:ext uri="{FF2B5EF4-FFF2-40B4-BE49-F238E27FC236}">
              <a16:creationId xmlns:a16="http://schemas.microsoft.com/office/drawing/2014/main" id="{39CEC9BD-118C-4DE5-B899-D40F6A929D74}"/>
            </a:ext>
          </a:extLst>
        </xdr:cNvPr>
        <xdr:cNvCxnSpPr/>
      </xdr:nvCxnSpPr>
      <xdr:spPr bwMode="auto">
        <a:xfrm>
          <a:off x="7848600" y="4562475"/>
          <a:ext cx="9620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lgDash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76200</xdr:colOff>
      <xdr:row>22</xdr:row>
      <xdr:rowOff>114300</xdr:rowOff>
    </xdr:from>
    <xdr:to>
      <xdr:col>2</xdr:col>
      <xdr:colOff>409575</xdr:colOff>
      <xdr:row>24</xdr:row>
      <xdr:rowOff>95250</xdr:rowOff>
    </xdr:to>
    <xdr:sp macro="" textlink="">
      <xdr:nvSpPr>
        <xdr:cNvPr id="17" name="Ovaal 16">
          <a:extLst>
            <a:ext uri="{FF2B5EF4-FFF2-40B4-BE49-F238E27FC236}">
              <a16:creationId xmlns:a16="http://schemas.microsoft.com/office/drawing/2014/main" id="{30327A95-FECB-44D9-B113-A0E3B54C5DFE}"/>
            </a:ext>
          </a:extLst>
        </xdr:cNvPr>
        <xdr:cNvSpPr/>
      </xdr:nvSpPr>
      <xdr:spPr bwMode="auto">
        <a:xfrm>
          <a:off x="3648075" y="4848225"/>
          <a:ext cx="333375" cy="342900"/>
        </a:xfrm>
        <a:prstGeom prst="ellipse">
          <a:avLst/>
        </a:prstGeom>
        <a:solidFill>
          <a:schemeClr val="bg1">
            <a:lumMod val="50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lang="nl-NL" sz="1100"/>
        </a:p>
      </xdr:txBody>
    </xdr:sp>
    <xdr:clientData/>
  </xdr:twoCellAnchor>
  <xdr:twoCellAnchor>
    <xdr:from>
      <xdr:col>9</xdr:col>
      <xdr:colOff>733187</xdr:colOff>
      <xdr:row>1</xdr:row>
      <xdr:rowOff>153647</xdr:rowOff>
    </xdr:from>
    <xdr:to>
      <xdr:col>11</xdr:col>
      <xdr:colOff>60636</xdr:colOff>
      <xdr:row>4</xdr:row>
      <xdr:rowOff>97703</xdr:rowOff>
    </xdr:to>
    <xdr:sp macro="" textlink="">
      <xdr:nvSpPr>
        <xdr:cNvPr id="18" name="Wolk 17">
          <a:extLst>
            <a:ext uri="{FF2B5EF4-FFF2-40B4-BE49-F238E27FC236}">
              <a16:creationId xmlns:a16="http://schemas.microsoft.com/office/drawing/2014/main" id="{8BD25DAA-E166-4EC5-97A0-6F4DCBE49EEB}"/>
            </a:ext>
          </a:extLst>
        </xdr:cNvPr>
        <xdr:cNvSpPr/>
      </xdr:nvSpPr>
      <xdr:spPr bwMode="auto">
        <a:xfrm rot="5400000">
          <a:off x="8554471" y="1304913"/>
          <a:ext cx="477456" cy="441874"/>
        </a:xfrm>
        <a:prstGeom prst="cloud">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lang="nl-NL" sz="1100"/>
        </a:p>
      </xdr:txBody>
    </xdr:sp>
    <xdr:clientData/>
  </xdr:twoCellAnchor>
  <xdr:twoCellAnchor>
    <xdr:from>
      <xdr:col>11</xdr:col>
      <xdr:colOff>228600</xdr:colOff>
      <xdr:row>1</xdr:row>
      <xdr:rowOff>52668</xdr:rowOff>
    </xdr:from>
    <xdr:to>
      <xdr:col>12</xdr:col>
      <xdr:colOff>266700</xdr:colOff>
      <xdr:row>3</xdr:row>
      <xdr:rowOff>155762</xdr:rowOff>
    </xdr:to>
    <xdr:sp macro="" textlink="">
      <xdr:nvSpPr>
        <xdr:cNvPr id="19" name="Wolk 18">
          <a:extLst>
            <a:ext uri="{FF2B5EF4-FFF2-40B4-BE49-F238E27FC236}">
              <a16:creationId xmlns:a16="http://schemas.microsoft.com/office/drawing/2014/main" id="{35CE6D4F-4469-4B32-882C-28564F05B9EE}"/>
            </a:ext>
          </a:extLst>
        </xdr:cNvPr>
        <xdr:cNvSpPr/>
      </xdr:nvSpPr>
      <xdr:spPr bwMode="auto">
        <a:xfrm>
          <a:off x="9182100" y="1186143"/>
          <a:ext cx="647700" cy="465044"/>
        </a:xfrm>
        <a:prstGeom prst="cloud">
          <a:avLst/>
        </a:prstGeom>
        <a:solidFill>
          <a:schemeClr val="bg1">
            <a:lumMod val="7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lang="nl-NL" sz="1100"/>
        </a:p>
      </xdr:txBody>
    </xdr:sp>
    <xdr:clientData/>
  </xdr:twoCellAnchor>
  <xdr:twoCellAnchor>
    <xdr:from>
      <xdr:col>13</xdr:col>
      <xdr:colOff>699574</xdr:colOff>
      <xdr:row>21</xdr:row>
      <xdr:rowOff>77390</xdr:rowOff>
    </xdr:from>
    <xdr:to>
      <xdr:col>13</xdr:col>
      <xdr:colOff>702469</xdr:colOff>
      <xdr:row>22</xdr:row>
      <xdr:rowOff>175374</xdr:rowOff>
    </xdr:to>
    <xdr:sp macro="" textlink="">
      <xdr:nvSpPr>
        <xdr:cNvPr id="20" name="Line 11">
          <a:extLst>
            <a:ext uri="{FF2B5EF4-FFF2-40B4-BE49-F238E27FC236}">
              <a16:creationId xmlns:a16="http://schemas.microsoft.com/office/drawing/2014/main" id="{18A157F0-08D7-4881-8BB9-2A8FB4599081}"/>
            </a:ext>
          </a:extLst>
        </xdr:cNvPr>
        <xdr:cNvSpPr>
          <a:spLocks noChangeShapeType="1"/>
        </xdr:cNvSpPr>
      </xdr:nvSpPr>
      <xdr:spPr bwMode="auto">
        <a:xfrm flipV="1">
          <a:off x="9377907" y="3601640"/>
          <a:ext cx="2895" cy="267317"/>
        </a:xfrm>
        <a:prstGeom prst="line">
          <a:avLst/>
        </a:prstGeom>
        <a:noFill/>
        <a:ln w="19050">
          <a:solidFill>
            <a:srgbClr xmlns:mc="http://schemas.openxmlformats.org/markup-compatibility/2006" xmlns:a14="http://schemas.microsoft.com/office/drawing/2010/main" val="000000" mc:Ignorable="a14" a14:legacySpreadsheetColorIndex="64"/>
          </a:solidFill>
          <a:round/>
          <a:headEnd type="triangle" w="med" len="med"/>
          <a:tailEnd/>
        </a:ln>
        <a:extLst>
          <a:ext uri="{909E8E84-426E-40DD-AFC4-6F175D3DCCD1}">
            <a14:hiddenFill xmlns:a14="http://schemas.microsoft.com/office/drawing/2010/main">
              <a:noFill/>
            </a14:hiddenFill>
          </a:ext>
        </a:extLst>
      </xdr:spPr>
      <xdr:txBody>
        <a:bodyPr/>
        <a:lstStyle/>
        <a:p>
          <a:endParaRPr lang="nl-NL"/>
        </a:p>
      </xdr:txBody>
    </xdr:sp>
    <xdr:clientData/>
  </xdr:twoCellAnchor>
  <xdr:twoCellAnchor editAs="oneCell">
    <xdr:from>
      <xdr:col>0</xdr:col>
      <xdr:colOff>328083</xdr:colOff>
      <xdr:row>1</xdr:row>
      <xdr:rowOff>105833</xdr:rowOff>
    </xdr:from>
    <xdr:to>
      <xdr:col>3</xdr:col>
      <xdr:colOff>222250</xdr:colOff>
      <xdr:row>6</xdr:row>
      <xdr:rowOff>18577</xdr:rowOff>
    </xdr:to>
    <xdr:pic>
      <xdr:nvPicPr>
        <xdr:cNvPr id="22" name="Afbeelding 21">
          <a:extLst>
            <a:ext uri="{FF2B5EF4-FFF2-40B4-BE49-F238E27FC236}">
              <a16:creationId xmlns:a16="http://schemas.microsoft.com/office/drawing/2014/main" id="{A276B147-6261-4074-870A-F2946EA1B4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8083" y="264583"/>
          <a:ext cx="2434167" cy="780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4476750</xdr:colOff>
      <xdr:row>0</xdr:row>
      <xdr:rowOff>123825</xdr:rowOff>
    </xdr:from>
    <xdr:to>
      <xdr:col>2</xdr:col>
      <xdr:colOff>19050</xdr:colOff>
      <xdr:row>1</xdr:row>
      <xdr:rowOff>898525</xdr:rowOff>
    </xdr:to>
    <xdr:pic>
      <xdr:nvPicPr>
        <xdr:cNvPr id="3" name="Afbeelding 2">
          <a:extLst>
            <a:ext uri="{FF2B5EF4-FFF2-40B4-BE49-F238E27FC236}">
              <a16:creationId xmlns:a16="http://schemas.microsoft.com/office/drawing/2014/main" id="{518AF1EF-659B-442D-AB94-F99DF77F15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14875" y="123825"/>
          <a:ext cx="3009900" cy="96520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33785-48EF-4636-823A-BA283B985784}">
  <sheetPr codeName="Blad1">
    <pageSetUpPr fitToPage="1"/>
  </sheetPr>
  <dimension ref="A1:AO87"/>
  <sheetViews>
    <sheetView showGridLines="0" showRowColHeaders="0" tabSelected="1" zoomScaleNormal="100" workbookViewId="0">
      <selection activeCell="A23" sqref="A23"/>
    </sheetView>
  </sheetViews>
  <sheetFormatPr defaultColWidth="0" defaultRowHeight="13.2" zeroHeight="1" x14ac:dyDescent="0.25"/>
  <cols>
    <col min="1" max="1" width="15.5546875" style="1" customWidth="1"/>
    <col min="2" max="2" width="15.33203125" style="1" customWidth="1"/>
    <col min="3" max="3" width="7.33203125" style="1" customWidth="1"/>
    <col min="4" max="4" width="8.33203125" style="1" customWidth="1"/>
    <col min="5" max="5" width="10.109375" style="1" customWidth="1"/>
    <col min="6" max="6" width="12.44140625" style="1" bestFit="1" customWidth="1"/>
    <col min="7" max="8" width="7.5546875" style="1" customWidth="1"/>
    <col min="9" max="9" width="10.6640625" style="1" customWidth="1"/>
    <col min="10" max="10" width="11.6640625" style="1" customWidth="1"/>
    <col min="11" max="11" width="5" style="1" customWidth="1"/>
    <col min="12" max="13" width="9.109375" style="1" customWidth="1"/>
    <col min="14" max="14" width="10.5546875" style="1" customWidth="1"/>
    <col min="15" max="15" width="9.109375" style="1" customWidth="1"/>
    <col min="16" max="16" width="9.33203125" style="1" customWidth="1"/>
    <col min="17" max="17" width="3.109375" style="1" customWidth="1"/>
    <col min="18" max="18" width="2.5546875" style="1" customWidth="1"/>
    <col min="19" max="19" width="21.6640625" style="1" customWidth="1"/>
    <col min="20" max="20" width="13.5546875" style="1" customWidth="1"/>
    <col min="21" max="21" width="14.33203125" style="1" customWidth="1"/>
    <col min="22" max="22" width="13.6640625" style="1" customWidth="1"/>
    <col min="23" max="23" width="11.44140625" style="1" customWidth="1"/>
    <col min="24" max="24" width="3.44140625" style="1" customWidth="1"/>
    <col min="25" max="25" width="11.5546875" style="1" hidden="1" customWidth="1"/>
    <col min="26" max="31" width="9.109375" style="1" hidden="1" customWidth="1"/>
    <col min="32" max="32" width="11.5546875" style="1" hidden="1" customWidth="1"/>
    <col min="33" max="34" width="9.109375" style="1" hidden="1" customWidth="1"/>
    <col min="35" max="35" width="11.88671875" style="1" hidden="1" customWidth="1"/>
    <col min="36" max="37" width="9.109375" style="1" hidden="1" customWidth="1"/>
    <col min="38" max="38" width="11" style="1" hidden="1" customWidth="1"/>
    <col min="39" max="40" width="9.109375" style="1" hidden="1" customWidth="1"/>
    <col min="41" max="41" width="11" style="1" hidden="1" customWidth="1"/>
    <col min="42" max="16384" width="9.109375" style="1" hidden="1"/>
  </cols>
  <sheetData>
    <row r="1" spans="1:26" x14ac:dyDescent="0.25">
      <c r="A1" s="113"/>
      <c r="B1" s="113"/>
      <c r="C1" s="113"/>
    </row>
    <row r="2" spans="1:26" ht="15.6" x14ac:dyDescent="0.3">
      <c r="F2" s="8"/>
    </row>
    <row r="3" spans="1:26" ht="12.75" customHeight="1" x14ac:dyDescent="0.25">
      <c r="J3" s="9"/>
      <c r="O3" s="10"/>
      <c r="S3" s="45" t="s">
        <v>70</v>
      </c>
      <c r="U3" s="1" t="s">
        <v>52</v>
      </c>
    </row>
    <row r="4" spans="1:26" ht="13.8" thickBot="1" x14ac:dyDescent="0.3">
      <c r="O4" s="10"/>
      <c r="S4" s="2" t="s">
        <v>14</v>
      </c>
      <c r="T4" s="4" t="s">
        <v>15</v>
      </c>
      <c r="U4" s="5">
        <f>IF(T4="JA",(U15-U14)*U18,0)</f>
        <v>100465.44696282478</v>
      </c>
      <c r="V4" s="7" t="s">
        <v>16</v>
      </c>
    </row>
    <row r="5" spans="1:26" ht="13.8" thickBot="1" x14ac:dyDescent="0.3">
      <c r="F5" s="11"/>
      <c r="G5" s="11"/>
      <c r="H5" s="11"/>
      <c r="I5" s="11"/>
      <c r="J5" s="11"/>
      <c r="K5" s="11"/>
      <c r="L5" s="11"/>
      <c r="M5" s="11"/>
      <c r="N5" s="11"/>
      <c r="O5" s="12"/>
      <c r="P5" s="165"/>
      <c r="Q5" s="166"/>
      <c r="R5" s="13"/>
      <c r="S5" s="2" t="s">
        <v>50</v>
      </c>
      <c r="T5" s="4" t="s">
        <v>59</v>
      </c>
      <c r="U5" s="5">
        <f>IF(T5="JA",(U16-U15)*U18,0)</f>
        <v>0</v>
      </c>
      <c r="V5" s="7" t="s">
        <v>16</v>
      </c>
    </row>
    <row r="6" spans="1:26" ht="13.8" thickTop="1" x14ac:dyDescent="0.25">
      <c r="G6" s="14">
        <v>4</v>
      </c>
      <c r="H6" s="1" t="s">
        <v>1</v>
      </c>
      <c r="I6" s="145"/>
      <c r="J6" s="178"/>
      <c r="K6" s="146"/>
      <c r="L6" s="179"/>
      <c r="M6" s="144"/>
      <c r="R6" s="13"/>
      <c r="S6" s="2" t="s">
        <v>51</v>
      </c>
      <c r="T6" s="4" t="s">
        <v>59</v>
      </c>
      <c r="U6" s="5">
        <f ca="1">+U25/31.65*1000+C30*E15</f>
        <v>0</v>
      </c>
      <c r="V6" s="7" t="s">
        <v>16</v>
      </c>
    </row>
    <row r="7" spans="1:26" ht="13.8" thickBot="1" x14ac:dyDescent="0.3">
      <c r="G7" s="16">
        <f>-B38</f>
        <v>0</v>
      </c>
      <c r="H7" s="1" t="s">
        <v>19</v>
      </c>
      <c r="I7" s="180"/>
      <c r="J7" s="147"/>
      <c r="K7" s="148"/>
      <c r="L7" s="123"/>
      <c r="M7" s="112"/>
      <c r="R7" s="13"/>
    </row>
    <row r="8" spans="1:26" ht="13.8" thickTop="1" x14ac:dyDescent="0.25">
      <c r="E8" s="18"/>
      <c r="F8" s="19"/>
      <c r="G8" s="19"/>
      <c r="H8" s="20"/>
      <c r="I8" s="143"/>
      <c r="J8" s="149"/>
      <c r="K8" s="27"/>
      <c r="L8" s="144"/>
      <c r="M8" s="112"/>
      <c r="R8" s="22"/>
      <c r="S8" s="45" t="s">
        <v>54</v>
      </c>
    </row>
    <row r="9" spans="1:26" ht="13.8" thickBot="1" x14ac:dyDescent="0.3">
      <c r="C9" s="10"/>
      <c r="E9" s="24"/>
      <c r="F9" s="25" t="s">
        <v>60</v>
      </c>
      <c r="G9" s="25"/>
      <c r="H9" s="26"/>
      <c r="K9" s="27"/>
      <c r="R9" s="28"/>
      <c r="S9" s="2" t="s">
        <v>67</v>
      </c>
      <c r="T9" s="3"/>
      <c r="U9" s="187">
        <v>0.03</v>
      </c>
    </row>
    <row r="10" spans="1:26" x14ac:dyDescent="0.25">
      <c r="B10" s="49"/>
      <c r="C10" s="29"/>
      <c r="D10" s="11"/>
      <c r="E10" s="30"/>
      <c r="F10" s="31">
        <v>105</v>
      </c>
      <c r="G10" s="32" t="s">
        <v>3</v>
      </c>
      <c r="H10" s="33"/>
      <c r="K10" s="27"/>
      <c r="L10" s="34">
        <v>50</v>
      </c>
      <c r="M10" s="1" t="s">
        <v>3</v>
      </c>
      <c r="N10" s="35" t="s">
        <v>43</v>
      </c>
      <c r="R10" s="13"/>
      <c r="S10" s="2" t="s">
        <v>53</v>
      </c>
      <c r="T10" s="3"/>
      <c r="U10" s="191" t="s">
        <v>83</v>
      </c>
    </row>
    <row r="11" spans="1:26" ht="13.8" thickBot="1" x14ac:dyDescent="0.3">
      <c r="B11" s="49"/>
      <c r="C11" s="13"/>
      <c r="E11" s="36"/>
      <c r="F11" s="37"/>
      <c r="G11" s="37"/>
      <c r="H11" s="38"/>
      <c r="J11" s="15" t="s">
        <v>50</v>
      </c>
      <c r="K11" s="27"/>
      <c r="L11" s="9">
        <f>+U16-U15</f>
        <v>0</v>
      </c>
      <c r="N11" s="16">
        <f ca="1">+J36+(U25*1000/U30/4.2)</f>
        <v>15</v>
      </c>
      <c r="O11" s="1" t="s">
        <v>3</v>
      </c>
      <c r="R11" s="13"/>
      <c r="S11" s="2" t="s">
        <v>68</v>
      </c>
      <c r="T11" s="3"/>
      <c r="U11" s="186">
        <v>8760</v>
      </c>
    </row>
    <row r="12" spans="1:26" ht="13.8" thickTop="1" x14ac:dyDescent="0.25">
      <c r="B12" s="49"/>
      <c r="C12" s="13"/>
      <c r="K12" s="17" t="s">
        <v>5</v>
      </c>
      <c r="L12" s="40"/>
      <c r="M12" s="40"/>
      <c r="N12" s="192"/>
      <c r="O12" s="193"/>
      <c r="P12" s="166"/>
      <c r="R12" s="13"/>
    </row>
    <row r="13" spans="1:26" ht="13.8" thickBot="1" x14ac:dyDescent="0.3">
      <c r="B13" s="49"/>
      <c r="C13" s="13"/>
      <c r="H13" s="10"/>
      <c r="I13" s="10"/>
      <c r="K13" s="21" t="s">
        <v>7</v>
      </c>
      <c r="L13" s="41"/>
      <c r="M13" s="41"/>
      <c r="N13" s="42"/>
      <c r="O13" s="112"/>
      <c r="P13" s="49"/>
      <c r="R13" s="13"/>
      <c r="S13" s="129" t="s">
        <v>65</v>
      </c>
      <c r="T13" s="161"/>
      <c r="U13" s="150">
        <f>G23*(VLOOKUP(G24,stoomtabel_d,4,0)-VLOOKUP(105,stoomtabel_t,3,0))/3600/U14</f>
        <v>7.1398556700520963</v>
      </c>
      <c r="V13" s="126" t="s">
        <v>17</v>
      </c>
      <c r="X13" s="43"/>
      <c r="Y13" s="43"/>
      <c r="Z13" s="16"/>
    </row>
    <row r="14" spans="1:26" x14ac:dyDescent="0.25">
      <c r="B14" s="49"/>
      <c r="C14" s="13"/>
      <c r="E14" s="83">
        <f ca="1">+E19-D17</f>
        <v>32866.262178698016</v>
      </c>
      <c r="F14" s="45" t="s">
        <v>55</v>
      </c>
      <c r="I14" s="10">
        <f ca="1">+E19+I29</f>
        <v>39999.60743218389</v>
      </c>
      <c r="J14" s="1" t="s">
        <v>55</v>
      </c>
      <c r="K14" s="27"/>
      <c r="N14" s="46"/>
      <c r="O14" s="167"/>
      <c r="P14" s="49"/>
      <c r="R14" s="13"/>
      <c r="S14" s="129" t="s">
        <v>84</v>
      </c>
      <c r="T14" s="161"/>
      <c r="U14" s="151">
        <f>VLOOKUP(L19,rendement,U9*2*100,0)/100</f>
        <v>0.910559189434061</v>
      </c>
      <c r="V14" s="126"/>
      <c r="X14" s="10"/>
      <c r="Y14" s="10"/>
    </row>
    <row r="15" spans="1:26" ht="13.8" thickBot="1" x14ac:dyDescent="0.3">
      <c r="B15" s="49"/>
      <c r="C15" s="153"/>
      <c r="E15" s="44">
        <f ca="1">+U18/E14</f>
        <v>91.279013831527948</v>
      </c>
      <c r="F15" s="45" t="s">
        <v>73</v>
      </c>
      <c r="H15" s="15" t="s">
        <v>2</v>
      </c>
      <c r="I15" s="39">
        <f>+F10</f>
        <v>105</v>
      </c>
      <c r="J15" s="15" t="s">
        <v>8</v>
      </c>
      <c r="K15" s="27"/>
      <c r="L15" s="34">
        <v>140</v>
      </c>
      <c r="M15" s="1" t="s">
        <v>3</v>
      </c>
      <c r="N15" s="47"/>
      <c r="O15" s="168"/>
      <c r="P15" s="49"/>
      <c r="R15" s="13"/>
      <c r="S15" s="129" t="s">
        <v>14</v>
      </c>
      <c r="T15" s="161"/>
      <c r="U15" s="151">
        <f>IF(T4="JA",VLOOKUP(L15,rendement,U9*2*100,0)/100,U14)</f>
        <v>0.94404767175500259</v>
      </c>
      <c r="V15" s="126"/>
      <c r="X15" s="10"/>
      <c r="Y15" s="10"/>
    </row>
    <row r="16" spans="1:26" x14ac:dyDescent="0.25">
      <c r="B16" s="49"/>
      <c r="C16" s="13"/>
      <c r="E16" s="48"/>
      <c r="F16" s="45"/>
      <c r="G16" s="49"/>
      <c r="H16" s="40"/>
      <c r="I16" s="40"/>
      <c r="J16" s="40"/>
      <c r="K16" s="17" t="s">
        <v>5</v>
      </c>
      <c r="L16" s="9">
        <f>+U15-U14</f>
        <v>3.3488482320941593E-2</v>
      </c>
      <c r="M16" s="15"/>
      <c r="N16" s="13"/>
      <c r="O16" s="112"/>
      <c r="P16" s="49"/>
      <c r="R16" s="13"/>
      <c r="S16" s="129" t="s">
        <v>42</v>
      </c>
      <c r="T16" s="161"/>
      <c r="U16" s="151">
        <f>IF(T5="JA",VLOOKUP(L10,rendement,U9*2*100,0)/100,U15)</f>
        <v>0.94404767175500259</v>
      </c>
      <c r="V16" s="126"/>
      <c r="X16" s="10"/>
      <c r="Y16" s="10"/>
      <c r="Z16" s="10"/>
    </row>
    <row r="17" spans="1:26" ht="13.8" thickBot="1" x14ac:dyDescent="0.3">
      <c r="B17" s="154"/>
      <c r="C17" s="152"/>
      <c r="D17" s="10">
        <f ca="1">U31-U35</f>
        <v>4516.5485055859835</v>
      </c>
      <c r="E17" s="50" t="s">
        <v>55</v>
      </c>
      <c r="G17" s="49"/>
      <c r="H17" s="50"/>
      <c r="I17" s="41"/>
      <c r="J17" s="41"/>
      <c r="K17" s="21" t="s">
        <v>7</v>
      </c>
      <c r="N17" s="13"/>
      <c r="O17" s="112" t="s">
        <v>44</v>
      </c>
      <c r="P17" s="49"/>
      <c r="R17" s="13"/>
      <c r="S17" s="129" t="s">
        <v>33</v>
      </c>
      <c r="T17" s="161"/>
      <c r="U17" s="151">
        <f>(1-U14)-IF(T4="JA",U15-U14,0)-IF(T5="JA",U16-U15,0)</f>
        <v>5.5952328244997407E-2</v>
      </c>
      <c r="V17" s="126"/>
    </row>
    <row r="18" spans="1:26" ht="13.8" thickBot="1" x14ac:dyDescent="0.3">
      <c r="B18" s="29"/>
      <c r="C18" s="39"/>
      <c r="D18" s="11"/>
      <c r="H18" s="51" t="s">
        <v>6</v>
      </c>
      <c r="I18" s="39">
        <f ca="1">IF(ISERROR(L16*U21*1000/(VLOOKUP(I15,stoomtabel_t,3,0)/I15*I14)+I15),120,L16*U21*1000/(VLOOKUP(I15,stoomtabel_t,3,0)/I15*I14)+I15)</f>
        <v>123.96099031224405</v>
      </c>
      <c r="J18" s="1" t="s">
        <v>9</v>
      </c>
      <c r="K18" s="27"/>
      <c r="N18" s="52"/>
      <c r="O18" s="169">
        <v>0.3</v>
      </c>
      <c r="P18" s="49"/>
      <c r="R18" s="13"/>
      <c r="S18" s="129" t="s">
        <v>12</v>
      </c>
      <c r="T18" s="161"/>
      <c r="U18" s="125">
        <f>+A23</f>
        <v>3000000</v>
      </c>
      <c r="V18" s="126" t="s">
        <v>4</v>
      </c>
      <c r="X18" s="54"/>
      <c r="Y18" s="54"/>
      <c r="Z18" s="54"/>
    </row>
    <row r="19" spans="1:26" x14ac:dyDescent="0.25">
      <c r="B19" s="155"/>
      <c r="E19" s="10">
        <f ca="1">+U34</f>
        <v>37382.810684284006</v>
      </c>
      <c r="F19" s="1" t="s">
        <v>55</v>
      </c>
      <c r="H19" s="55"/>
      <c r="K19" s="27"/>
      <c r="L19" s="34">
        <v>210</v>
      </c>
      <c r="M19" s="1" t="s">
        <v>3</v>
      </c>
      <c r="N19" s="56">
        <f ca="1">IF(T5="NEE",N11,L11*U21*1000/(4.2*U30)+N11)</f>
        <v>15</v>
      </c>
      <c r="O19" s="170">
        <v>90</v>
      </c>
      <c r="P19" s="49" t="s">
        <v>3</v>
      </c>
      <c r="R19" s="13"/>
      <c r="S19" s="112"/>
      <c r="T19" s="112"/>
      <c r="X19" s="10"/>
      <c r="Y19" s="10"/>
      <c r="Z19" s="10"/>
    </row>
    <row r="20" spans="1:26" ht="13.8" thickBot="1" x14ac:dyDescent="0.3">
      <c r="B20" s="155"/>
      <c r="C20" s="16"/>
      <c r="E20" s="39"/>
      <c r="H20" s="55"/>
      <c r="K20" s="27"/>
      <c r="L20" s="58">
        <f>+U14</f>
        <v>0.910559189434061</v>
      </c>
      <c r="N20" s="22"/>
      <c r="O20" s="59">
        <f ca="1">+U29</f>
        <v>10655.429677979368</v>
      </c>
      <c r="P20" s="49" t="s">
        <v>55</v>
      </c>
      <c r="R20" s="13"/>
      <c r="S20" s="162" t="s">
        <v>35</v>
      </c>
      <c r="T20" s="112"/>
    </row>
    <row r="21" spans="1:26" ht="13.8" thickTop="1" x14ac:dyDescent="0.25">
      <c r="B21" s="155"/>
      <c r="E21" s="60" t="s">
        <v>56</v>
      </c>
      <c r="F21" s="61"/>
      <c r="G21" s="61"/>
      <c r="H21" s="61"/>
      <c r="I21" s="62"/>
      <c r="J21" s="63"/>
      <c r="K21" s="64"/>
      <c r="L21" s="65"/>
      <c r="N21" s="13"/>
      <c r="O21" s="13"/>
      <c r="P21" s="49"/>
      <c r="R21" s="13"/>
      <c r="S21" s="2" t="s">
        <v>37</v>
      </c>
      <c r="T21" s="3"/>
      <c r="U21" s="125">
        <f>+U18*31.65/1000</f>
        <v>94950</v>
      </c>
      <c r="V21" s="126" t="s">
        <v>31</v>
      </c>
    </row>
    <row r="22" spans="1:26" ht="13.8" thickBot="1" x14ac:dyDescent="0.3">
      <c r="A22" s="1" t="s">
        <v>72</v>
      </c>
      <c r="B22" s="112"/>
      <c r="E22" s="67"/>
      <c r="F22" s="68"/>
      <c r="G22" s="68"/>
      <c r="H22" s="68"/>
      <c r="I22" s="69"/>
      <c r="J22" s="70"/>
      <c r="K22" s="71"/>
      <c r="N22" s="13"/>
      <c r="O22" s="13"/>
      <c r="P22" s="49"/>
      <c r="R22" s="13"/>
      <c r="S22" s="2" t="s">
        <v>81</v>
      </c>
      <c r="T22" s="3"/>
      <c r="U22" s="6">
        <f>-(1-U14)*U21</f>
        <v>-8492.4049632359074</v>
      </c>
      <c r="V22" s="126" t="s">
        <v>31</v>
      </c>
    </row>
    <row r="23" spans="1:26" ht="14.4" thickTop="1" thickBot="1" x14ac:dyDescent="0.3">
      <c r="A23" s="181">
        <v>3000000</v>
      </c>
      <c r="B23" s="112"/>
      <c r="C23" s="72"/>
      <c r="D23" s="73"/>
      <c r="E23" s="74" t="s">
        <v>57</v>
      </c>
      <c r="F23" s="25"/>
      <c r="G23" s="163">
        <v>10</v>
      </c>
      <c r="H23" s="25" t="s">
        <v>0</v>
      </c>
      <c r="I23" s="75"/>
      <c r="N23" s="112"/>
      <c r="O23" s="112"/>
      <c r="P23" s="49"/>
      <c r="R23" s="13"/>
      <c r="S23" s="2" t="s">
        <v>38</v>
      </c>
      <c r="T23" s="3"/>
      <c r="U23" s="127">
        <f>-U11*G26*U13*3600/1000</f>
        <v>-1125.8124420538147</v>
      </c>
      <c r="V23" s="128" t="s">
        <v>31</v>
      </c>
    </row>
    <row r="24" spans="1:26" ht="14.4" thickTop="1" thickBot="1" x14ac:dyDescent="0.3">
      <c r="A24" s="113"/>
      <c r="B24" s="155"/>
      <c r="C24" s="76"/>
      <c r="D24" s="77"/>
      <c r="E24" s="78" t="s">
        <v>61</v>
      </c>
      <c r="F24" s="32"/>
      <c r="G24" s="163">
        <v>10</v>
      </c>
      <c r="H24" s="32" t="s">
        <v>10</v>
      </c>
      <c r="I24" s="79"/>
      <c r="M24" s="80" t="s">
        <v>71</v>
      </c>
      <c r="N24" s="81"/>
      <c r="O24" s="82"/>
      <c r="P24" s="49"/>
      <c r="R24" s="13"/>
      <c r="S24" s="2" t="s">
        <v>39</v>
      </c>
      <c r="T24" s="3"/>
      <c r="U24" s="125">
        <f ca="1">-U33*(VLOOKUP(G24,stoomtabel_d,3,0)-VLOOKUP(I18,stoomtabel_t,3))/1000</f>
        <v>-692.54179900652173</v>
      </c>
      <c r="V24" s="126" t="s">
        <v>31</v>
      </c>
      <c r="W24" s="23"/>
    </row>
    <row r="25" spans="1:26" ht="14.4" thickTop="1" thickBot="1" x14ac:dyDescent="0.3">
      <c r="A25" s="113"/>
      <c r="B25" s="155"/>
      <c r="C25" s="84"/>
      <c r="E25" s="85" t="s">
        <v>62</v>
      </c>
      <c r="F25" s="86"/>
      <c r="G25" s="86">
        <f>VLOOKUP(G24,stoomtabel_d,2,0)</f>
        <v>184.06967567794567</v>
      </c>
      <c r="H25" s="86" t="s">
        <v>3</v>
      </c>
      <c r="I25" s="87"/>
      <c r="M25" s="88">
        <f ca="1">+O18*O19+(1-O18)*N19</f>
        <v>37.5</v>
      </c>
      <c r="N25" s="171" t="s">
        <v>3</v>
      </c>
      <c r="O25" s="89"/>
      <c r="P25" s="112"/>
      <c r="Q25" s="112"/>
      <c r="R25" s="13"/>
      <c r="S25" s="2" t="s">
        <v>49</v>
      </c>
      <c r="T25" s="3"/>
      <c r="U25" s="6">
        <f>IF(T6="JA",U33*(VLOOKUP(0,stoomtabel_d,3,0)-VLOOKUP(G37,stoomtabel_t,3,0))/1000,0)</f>
        <v>0</v>
      </c>
      <c r="V25" s="126" t="s">
        <v>31</v>
      </c>
      <c r="W25" s="23"/>
    </row>
    <row r="26" spans="1:26" ht="14.4" thickTop="1" thickBot="1" x14ac:dyDescent="0.3">
      <c r="A26" s="113"/>
      <c r="B26" s="155"/>
      <c r="C26" s="90"/>
      <c r="E26" s="91" t="s">
        <v>63</v>
      </c>
      <c r="F26" s="92"/>
      <c r="G26" s="164">
        <v>5.0000000000000001E-3</v>
      </c>
      <c r="H26" s="92"/>
      <c r="I26" s="93"/>
      <c r="M26" s="36"/>
      <c r="N26" s="37"/>
      <c r="O26" s="38"/>
      <c r="P26" s="112"/>
      <c r="Q26" s="112"/>
      <c r="S26" s="2" t="s">
        <v>40</v>
      </c>
      <c r="T26" s="3"/>
      <c r="U26" s="6">
        <f ca="1">IF(ISERROR(+U21+U22+U24+U23),100000,+U21+U22+U24+U23)</f>
        <v>84639.240795703765</v>
      </c>
      <c r="V26" s="7" t="s">
        <v>31</v>
      </c>
      <c r="W26" s="10"/>
    </row>
    <row r="27" spans="1:26" ht="13.8" thickTop="1" x14ac:dyDescent="0.25">
      <c r="A27" s="113"/>
      <c r="B27" s="155"/>
      <c r="I27" s="1" t="s">
        <v>20</v>
      </c>
      <c r="N27" s="112"/>
      <c r="O27" s="112"/>
      <c r="P27" s="49"/>
      <c r="S27" s="112"/>
      <c r="T27" s="112"/>
      <c r="W27" s="10"/>
    </row>
    <row r="28" spans="1:26" ht="13.8" thickBot="1" x14ac:dyDescent="0.3">
      <c r="B28" s="155"/>
      <c r="C28" s="10"/>
      <c r="D28" s="16"/>
      <c r="I28" s="53">
        <v>0.1</v>
      </c>
      <c r="J28" s="1" t="s">
        <v>58</v>
      </c>
      <c r="N28" s="112"/>
      <c r="O28" s="112"/>
      <c r="P28" s="49"/>
      <c r="Q28" s="39"/>
      <c r="S28" s="162" t="s">
        <v>36</v>
      </c>
      <c r="T28" s="112"/>
      <c r="W28" s="10"/>
    </row>
    <row r="29" spans="1:26" ht="13.8" thickTop="1" x14ac:dyDescent="0.25">
      <c r="B29" s="155"/>
      <c r="C29" s="16"/>
      <c r="F29" s="18" t="s">
        <v>64</v>
      </c>
      <c r="G29" s="20"/>
      <c r="I29" s="10">
        <f ca="1">U33</f>
        <v>2616.7967478998803</v>
      </c>
      <c r="J29" s="1" t="s">
        <v>55</v>
      </c>
      <c r="N29" s="112"/>
      <c r="O29" s="112"/>
      <c r="P29" s="49"/>
      <c r="Q29" s="95"/>
      <c r="S29" s="2" t="s">
        <v>44</v>
      </c>
      <c r="T29" s="3"/>
      <c r="U29" s="6">
        <f ca="1">IF(ISERROR(+O18*(SUM(U32:U34)-U31)),1000,+O18*(SUM(U32:U34)-U31))</f>
        <v>10655.429677979369</v>
      </c>
      <c r="V29" s="128" t="s">
        <v>19</v>
      </c>
      <c r="W29" s="10"/>
    </row>
    <row r="30" spans="1:26" ht="13.8" thickBot="1" x14ac:dyDescent="0.3">
      <c r="B30" s="152"/>
      <c r="C30" s="97">
        <f>+U35</f>
        <v>0</v>
      </c>
      <c r="D30" s="98" t="s">
        <v>55</v>
      </c>
      <c r="E30" s="50"/>
      <c r="F30" s="24" t="s">
        <v>66</v>
      </c>
      <c r="G30" s="26"/>
      <c r="H30" s="41"/>
      <c r="I30" s="99"/>
      <c r="N30" s="112"/>
      <c r="O30" s="112"/>
      <c r="P30" s="49"/>
      <c r="Q30" s="16"/>
      <c r="S30" s="2" t="s">
        <v>34</v>
      </c>
      <c r="T30" s="158"/>
      <c r="U30" s="6">
        <f ca="1">IF(ISERROR((1-O18)*(SUM(U32:U34)-U31)),1000,(1-O18)*(SUM(U32:U34)-U31))</f>
        <v>24862.669248618527</v>
      </c>
      <c r="V30" s="128" t="s">
        <v>19</v>
      </c>
    </row>
    <row r="31" spans="1:26" x14ac:dyDescent="0.25">
      <c r="C31" s="39"/>
      <c r="F31" s="30"/>
      <c r="G31" s="33"/>
      <c r="I31" s="16"/>
      <c r="N31" s="112"/>
      <c r="O31" s="112"/>
      <c r="P31" s="49"/>
      <c r="S31" s="2" t="s">
        <v>21</v>
      </c>
      <c r="T31" s="3"/>
      <c r="U31" s="6">
        <f ca="1">((U29+U30)*(VLOOKUP(F10,stoomtabel_t,3,0)-O18*VLOOKUP(O19,stoomtabel_t,3,0)-(1-O18)*VLOOKUP(N19,stoomtabel_t,3)))/(VLOOKUP(F10,stoomtabel_t,4,0)-VLOOKUP(F10,stoomtabel_t,3,0))+U32</f>
        <v>4516.5485055859845</v>
      </c>
      <c r="V31" s="128" t="s">
        <v>19</v>
      </c>
      <c r="W31" s="10"/>
    </row>
    <row r="32" spans="1:26" ht="15" thickBot="1" x14ac:dyDescent="0.35">
      <c r="F32" s="36"/>
      <c r="G32" s="38"/>
      <c r="I32" s="101"/>
      <c r="L32" s="113"/>
      <c r="M32" s="113"/>
      <c r="N32" s="121"/>
      <c r="O32" s="113"/>
      <c r="P32" s="172"/>
      <c r="Q32" s="113"/>
      <c r="S32" s="159" t="s">
        <v>45</v>
      </c>
      <c r="T32" s="158"/>
      <c r="U32" s="6">
        <f>G6*U11/1000</f>
        <v>35.04</v>
      </c>
      <c r="V32" s="128" t="s">
        <v>19</v>
      </c>
    </row>
    <row r="33" spans="1:23" ht="14.4" thickTop="1" thickBot="1" x14ac:dyDescent="0.3">
      <c r="A33" s="113"/>
      <c r="B33" s="113"/>
      <c r="C33" s="113"/>
      <c r="I33" s="15"/>
      <c r="J33" s="16"/>
      <c r="K33" s="173"/>
      <c r="L33" s="174"/>
      <c r="M33" s="175"/>
      <c r="N33" s="176"/>
      <c r="O33" s="176"/>
      <c r="P33" s="177"/>
      <c r="Q33" s="113"/>
      <c r="S33" s="2" t="s">
        <v>20</v>
      </c>
      <c r="T33" s="3"/>
      <c r="U33" s="6">
        <f ca="1">U34*I28*(1-O18)</f>
        <v>2616.7967478998803</v>
      </c>
      <c r="V33" s="128" t="s">
        <v>19</v>
      </c>
      <c r="W33" s="10"/>
    </row>
    <row r="34" spans="1:23" ht="14.4" x14ac:dyDescent="0.3">
      <c r="A34" s="188"/>
      <c r="B34" s="115"/>
      <c r="C34" s="120"/>
      <c r="E34" s="10"/>
      <c r="G34" s="104" t="s">
        <v>11</v>
      </c>
      <c r="H34" s="11"/>
      <c r="I34" s="11"/>
      <c r="J34" s="11"/>
      <c r="K34" s="112"/>
      <c r="L34" s="113"/>
      <c r="M34" s="113"/>
      <c r="N34" s="115"/>
      <c r="O34" s="66"/>
      <c r="P34" s="115"/>
      <c r="Q34" s="66"/>
      <c r="S34" s="2" t="s">
        <v>46</v>
      </c>
      <c r="T34" s="3"/>
      <c r="U34" s="6">
        <f ca="1">+U26/(VLOOKUP(G24,stoomtabel_d,4,0)-VLOOKUP(I18,stoomtabel_t,3))*1000</f>
        <v>37382.810684284006</v>
      </c>
      <c r="V34" s="128" t="s">
        <v>19</v>
      </c>
      <c r="W34" s="10"/>
    </row>
    <row r="35" spans="1:23" ht="15" thickBot="1" x14ac:dyDescent="0.35">
      <c r="A35" s="189"/>
      <c r="B35" s="190"/>
      <c r="C35" s="120"/>
      <c r="G35" s="41" t="s">
        <v>13</v>
      </c>
      <c r="H35" s="50"/>
      <c r="I35" s="1" t="s">
        <v>22</v>
      </c>
      <c r="L35" s="113"/>
      <c r="M35" s="113"/>
      <c r="N35" s="115"/>
      <c r="O35" s="66"/>
      <c r="P35" s="115"/>
      <c r="Q35" s="66"/>
      <c r="S35" s="2" t="s">
        <v>82</v>
      </c>
      <c r="T35" s="3"/>
      <c r="U35" s="6">
        <f>IF(T6="JA",(VLOOKUP(G24,stoomtabel_d,3,0)-VLOOKUP(0,stoomtabel_d,3,0))/(VLOOKUP(0,stoomtabel_d,4,0)-VLOOKUP(0,stoomtabel_d,3,0))*U33,0)</f>
        <v>0</v>
      </c>
      <c r="V35" s="128" t="s">
        <v>19</v>
      </c>
      <c r="W35" s="54"/>
    </row>
    <row r="36" spans="1:23" ht="14.4" x14ac:dyDescent="0.3">
      <c r="A36" s="189"/>
      <c r="B36" s="190"/>
      <c r="C36" s="120"/>
      <c r="D36" s="10"/>
      <c r="I36" s="15" t="s">
        <v>2</v>
      </c>
      <c r="J36" s="14">
        <v>15</v>
      </c>
      <c r="K36" s="1" t="s">
        <v>3</v>
      </c>
      <c r="L36" s="113"/>
      <c r="M36" s="113"/>
      <c r="N36" s="115"/>
      <c r="O36" s="66"/>
      <c r="P36" s="113"/>
      <c r="Q36" s="113"/>
      <c r="W36" s="66"/>
    </row>
    <row r="37" spans="1:23" ht="14.4" x14ac:dyDescent="0.3">
      <c r="B37" s="115"/>
      <c r="C37" s="120"/>
      <c r="D37" s="10"/>
      <c r="G37" s="10">
        <f>IF(T6="JA",+J36+30,100)</f>
        <v>100</v>
      </c>
      <c r="H37" s="1" t="s">
        <v>3</v>
      </c>
      <c r="L37" s="113"/>
      <c r="M37" s="113"/>
      <c r="N37" s="115"/>
      <c r="O37" s="66"/>
      <c r="P37" s="115"/>
      <c r="Q37" s="66"/>
      <c r="W37" s="96"/>
    </row>
    <row r="38" spans="1:23" ht="14.4" x14ac:dyDescent="0.3">
      <c r="B38" s="123"/>
      <c r="C38" s="120"/>
      <c r="E38" s="23"/>
      <c r="G38" s="10"/>
      <c r="L38" s="113"/>
      <c r="M38" s="113"/>
      <c r="N38" s="115"/>
      <c r="O38" s="66"/>
      <c r="P38" s="115"/>
      <c r="Q38" s="66"/>
      <c r="U38" s="10"/>
      <c r="V38" s="100"/>
    </row>
    <row r="39" spans="1:23" ht="14.4" hidden="1" x14ac:dyDescent="0.3">
      <c r="L39" s="113"/>
      <c r="M39" s="113"/>
      <c r="N39" s="115"/>
      <c r="O39" s="66"/>
      <c r="P39" s="113"/>
      <c r="Q39" s="113"/>
      <c r="T39" s="9"/>
      <c r="U39" s="10"/>
      <c r="V39" s="100"/>
    </row>
    <row r="40" spans="1:23" hidden="1" x14ac:dyDescent="0.25">
      <c r="L40" s="113"/>
      <c r="M40" s="113"/>
      <c r="N40" s="115"/>
      <c r="O40" s="113"/>
      <c r="P40" s="113"/>
      <c r="Q40" s="113"/>
      <c r="T40" s="9"/>
      <c r="U40" s="43"/>
      <c r="V40" s="102"/>
      <c r="W40" s="10"/>
    </row>
    <row r="41" spans="1:23" ht="14.4" hidden="1" x14ac:dyDescent="0.3">
      <c r="L41" s="113"/>
      <c r="M41" s="113"/>
      <c r="N41" s="115"/>
      <c r="O41" s="66"/>
      <c r="P41" s="115"/>
      <c r="Q41" s="113"/>
      <c r="S41" s="103"/>
      <c r="U41" s="103"/>
      <c r="V41" s="102"/>
      <c r="W41" s="10"/>
    </row>
    <row r="42" spans="1:23" ht="14.4" hidden="1" x14ac:dyDescent="0.3">
      <c r="J42" s="124"/>
      <c r="K42" s="122"/>
      <c r="L42" s="113"/>
      <c r="M42" s="113"/>
      <c r="N42" s="115"/>
      <c r="O42" s="66"/>
      <c r="P42" s="115"/>
      <c r="Q42" s="113"/>
      <c r="S42" s="10"/>
      <c r="T42" s="10"/>
      <c r="U42" s="10"/>
      <c r="V42" s="105"/>
    </row>
    <row r="43" spans="1:23" ht="14.4" hidden="1" x14ac:dyDescent="0.3">
      <c r="G43" s="101"/>
      <c r="H43" s="101"/>
      <c r="L43" s="113"/>
      <c r="M43" s="113"/>
      <c r="N43" s="115"/>
      <c r="O43" s="66"/>
      <c r="P43" s="115"/>
      <c r="Q43" s="66"/>
      <c r="S43" s="10"/>
      <c r="T43" s="23"/>
      <c r="U43" s="10"/>
      <c r="V43" s="23"/>
      <c r="W43" s="10"/>
    </row>
    <row r="44" spans="1:23" hidden="1" x14ac:dyDescent="0.25">
      <c r="F44" s="10"/>
      <c r="L44" s="113"/>
      <c r="M44" s="113"/>
      <c r="N44" s="115"/>
      <c r="O44" s="100"/>
      <c r="P44" s="116"/>
      <c r="Q44" s="107"/>
      <c r="R44" s="100"/>
      <c r="S44" s="10"/>
      <c r="T44" s="23"/>
      <c r="U44" s="10"/>
      <c r="V44" s="23"/>
    </row>
    <row r="45" spans="1:23" ht="14.4" hidden="1" x14ac:dyDescent="0.3">
      <c r="J45" s="10"/>
      <c r="L45" s="113"/>
      <c r="M45" s="113"/>
      <c r="N45" s="115"/>
      <c r="O45" s="100"/>
      <c r="P45" s="117"/>
      <c r="Q45" s="66"/>
      <c r="S45" s="10"/>
      <c r="T45" s="23"/>
      <c r="U45" s="10"/>
      <c r="W45" s="10"/>
    </row>
    <row r="46" spans="1:23" ht="14.4" hidden="1" x14ac:dyDescent="0.3">
      <c r="J46" s="10"/>
      <c r="L46" s="113"/>
      <c r="M46" s="113"/>
      <c r="N46" s="115"/>
      <c r="O46" s="100"/>
      <c r="P46" s="117"/>
      <c r="Q46" s="66"/>
      <c r="S46" s="10"/>
      <c r="T46" s="23"/>
      <c r="U46" s="106"/>
      <c r="V46" s="10"/>
    </row>
    <row r="47" spans="1:23" ht="14.4" hidden="1" x14ac:dyDescent="0.3">
      <c r="F47" s="9"/>
      <c r="H47" s="101"/>
      <c r="I47" s="157"/>
      <c r="L47" s="113"/>
      <c r="M47" s="113"/>
      <c r="N47" s="115"/>
      <c r="O47" s="100"/>
      <c r="P47" s="115"/>
      <c r="Q47" s="100"/>
      <c r="R47" s="100"/>
      <c r="S47" s="10"/>
      <c r="U47" s="10"/>
    </row>
    <row r="48" spans="1:23" ht="14.4" hidden="1" x14ac:dyDescent="0.3">
      <c r="L48" s="114"/>
      <c r="M48" s="114"/>
      <c r="N48" s="108"/>
      <c r="O48" s="66"/>
      <c r="P48" s="113"/>
      <c r="Q48" s="113"/>
      <c r="S48" s="10"/>
      <c r="U48" s="10"/>
    </row>
    <row r="49" spans="8:22" hidden="1" x14ac:dyDescent="0.25">
      <c r="L49" s="113"/>
      <c r="M49" s="113"/>
      <c r="N49" s="115"/>
      <c r="O49" s="113"/>
      <c r="P49" s="113"/>
      <c r="Q49" s="113"/>
      <c r="S49" s="10"/>
      <c r="T49" s="10"/>
      <c r="U49" s="10"/>
      <c r="V49" s="10"/>
    </row>
    <row r="50" spans="8:22" hidden="1" x14ac:dyDescent="0.25">
      <c r="H50" s="103"/>
      <c r="I50" s="103"/>
      <c r="L50" s="114"/>
      <c r="M50" s="113"/>
      <c r="N50" s="118"/>
      <c r="O50" s="113"/>
      <c r="P50" s="113"/>
      <c r="Q50" s="113"/>
      <c r="S50" s="10"/>
      <c r="T50" s="10"/>
      <c r="U50" s="10"/>
      <c r="V50" s="10"/>
    </row>
    <row r="51" spans="8:22" ht="16.2" hidden="1" x14ac:dyDescent="0.4">
      <c r="H51" s="109"/>
      <c r="I51" s="109"/>
      <c r="L51" s="114"/>
      <c r="M51" s="119"/>
      <c r="N51" s="113"/>
      <c r="O51" s="117"/>
      <c r="P51" s="113"/>
      <c r="Q51" s="113"/>
      <c r="S51" s="10"/>
      <c r="T51" s="23"/>
      <c r="U51" s="10"/>
    </row>
    <row r="52" spans="8:22" hidden="1" x14ac:dyDescent="0.25">
      <c r="H52" s="109"/>
      <c r="I52" s="103"/>
      <c r="S52" s="10"/>
      <c r="U52" s="10"/>
    </row>
    <row r="53" spans="8:22" hidden="1" x14ac:dyDescent="0.25">
      <c r="H53" s="109"/>
      <c r="I53" s="103"/>
      <c r="O53" s="10"/>
    </row>
    <row r="54" spans="8:22" ht="14.4" hidden="1" x14ac:dyDescent="0.3">
      <c r="L54" s="57"/>
      <c r="O54" s="10"/>
    </row>
    <row r="55" spans="8:22" hidden="1" x14ac:dyDescent="0.25">
      <c r="O55" s="10"/>
    </row>
    <row r="56" spans="8:22" ht="14.4" hidden="1" x14ac:dyDescent="0.3">
      <c r="H56" s="109"/>
      <c r="I56" s="103"/>
      <c r="L56" s="45"/>
      <c r="N56" s="10"/>
      <c r="O56" s="83"/>
      <c r="P56" s="45"/>
      <c r="Q56" s="110"/>
    </row>
    <row r="57" spans="8:22" ht="14.4" hidden="1" x14ac:dyDescent="0.3">
      <c r="H57" s="109"/>
      <c r="I57" s="103"/>
      <c r="Q57" s="110"/>
      <c r="S57" s="9"/>
    </row>
    <row r="58" spans="8:22" hidden="1" x14ac:dyDescent="0.25">
      <c r="H58" s="109"/>
      <c r="I58" s="103"/>
      <c r="J58" s="111"/>
    </row>
    <row r="59" spans="8:22" hidden="1" x14ac:dyDescent="0.25">
      <c r="H59" s="109"/>
      <c r="I59" s="103"/>
      <c r="Q59" s="45"/>
    </row>
    <row r="60" spans="8:22" hidden="1" x14ac:dyDescent="0.25">
      <c r="H60" s="109"/>
      <c r="I60" s="103"/>
    </row>
    <row r="61" spans="8:22" hidden="1" x14ac:dyDescent="0.25">
      <c r="H61" s="109"/>
      <c r="I61" s="103"/>
      <c r="L61" s="16"/>
      <c r="N61" s="10"/>
    </row>
    <row r="62" spans="8:22" ht="14.4" hidden="1" x14ac:dyDescent="0.3">
      <c r="N62" s="94"/>
    </row>
    <row r="63" spans="8:22" hidden="1" x14ac:dyDescent="0.25">
      <c r="K63" s="9"/>
      <c r="L63" s="16"/>
    </row>
    <row r="65" s="1" customFormat="1" hidden="1" x14ac:dyDescent="0.25"/>
    <row r="66" s="1" customFormat="1" hidden="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row r="79" s="1" customFormat="1" hidden="1" x14ac:dyDescent="0.25"/>
    <row r="80"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sheetData>
  <sheetProtection algorithmName="SHA-512" hashValue="tPhDU86N4vpzfNJgHlVI9CFLSaRDtRgUChBMTQ31Q1lLgU5pZQk1x1H3LxLpE9XBhC45XuEBFdGB/BGd2kQWUA==" saltValue="rDrJ19NSj4Hzg4J6cHLyYw==" spinCount="100000" sheet="1" objects="1" scenarios="1" selectLockedCells="1"/>
  <mergeCells count="1">
    <mergeCell ref="N12:O12"/>
  </mergeCells>
  <conditionalFormatting sqref="N19">
    <cfRule type="expression" dxfId="24" priority="5">
      <formula>#REF!&gt;=100</formula>
    </cfRule>
  </conditionalFormatting>
  <conditionalFormatting sqref="N10">
    <cfRule type="expression" dxfId="23" priority="29">
      <formula>$M$25&gt;85</formula>
    </cfRule>
  </conditionalFormatting>
  <conditionalFormatting sqref="K7:K8">
    <cfRule type="expression" dxfId="22" priority="38" stopIfTrue="1">
      <formula>#REF!="NEE"</formula>
    </cfRule>
  </conditionalFormatting>
  <conditionalFormatting sqref="I6:J8">
    <cfRule type="expression" dxfId="21" priority="39" stopIfTrue="1">
      <formula>#REF!="NEE"</formula>
    </cfRule>
  </conditionalFormatting>
  <conditionalFormatting sqref="L7 L6:M6">
    <cfRule type="expression" dxfId="20" priority="40" stopIfTrue="1">
      <formula>#REF!="NEE"</formula>
    </cfRule>
  </conditionalFormatting>
  <conditionalFormatting sqref="K12:K13">
    <cfRule type="expression" dxfId="19" priority="83" stopIfTrue="1">
      <formula>$T$5="NEE"</formula>
    </cfRule>
  </conditionalFormatting>
  <conditionalFormatting sqref="L12:L13 M13">
    <cfRule type="expression" dxfId="18" priority="84" stopIfTrue="1">
      <formula>$T$5="NEE"</formula>
    </cfRule>
  </conditionalFormatting>
  <conditionalFormatting sqref="M12">
    <cfRule type="expression" dxfId="17" priority="86" stopIfTrue="1">
      <formula>$T$5="NEE"</formula>
    </cfRule>
  </conditionalFormatting>
  <conditionalFormatting sqref="I16:K17">
    <cfRule type="expression" dxfId="16" priority="87" stopIfTrue="1">
      <formula>$T$4="NEE"</formula>
    </cfRule>
  </conditionalFormatting>
  <conditionalFormatting sqref="J11">
    <cfRule type="expression" dxfId="15" priority="88" stopIfTrue="1">
      <formula>$T$5="NEE"</formula>
    </cfRule>
  </conditionalFormatting>
  <conditionalFormatting sqref="H15:J15 H18:J18">
    <cfRule type="expression" dxfId="14" priority="89" stopIfTrue="1">
      <formula>$T$4="NEE"</formula>
    </cfRule>
  </conditionalFormatting>
  <conditionalFormatting sqref="L15:M16">
    <cfRule type="expression" dxfId="13" priority="91" stopIfTrue="1">
      <formula>$T$4="NEE"</formula>
    </cfRule>
  </conditionalFormatting>
  <conditionalFormatting sqref="L10:M11">
    <cfRule type="expression" dxfId="12" priority="92" stopIfTrue="1">
      <formula>$T$5="NEE"</formula>
    </cfRule>
  </conditionalFormatting>
  <conditionalFormatting sqref="H16:H17">
    <cfRule type="expression" dxfId="11" priority="93" stopIfTrue="1">
      <formula>$T$4="NEE"</formula>
    </cfRule>
  </conditionalFormatting>
  <conditionalFormatting sqref="N12:N13">
    <cfRule type="expression" dxfId="10" priority="94">
      <formula>$T$5="JA"</formula>
    </cfRule>
  </conditionalFormatting>
  <conditionalFormatting sqref="G16:G17">
    <cfRule type="expression" dxfId="9" priority="95">
      <formula>$T$4="JA"</formula>
    </cfRule>
  </conditionalFormatting>
  <conditionalFormatting sqref="G34:H35">
    <cfRule type="expression" dxfId="8" priority="96" stopIfTrue="1">
      <formula>$T$6="NEE"</formula>
    </cfRule>
  </conditionalFormatting>
  <conditionalFormatting sqref="I33:K33">
    <cfRule type="expression" dxfId="7" priority="97" stopIfTrue="1">
      <formula>$T$6="NEE"</formula>
    </cfRule>
  </conditionalFormatting>
  <conditionalFormatting sqref="I34:J34">
    <cfRule type="expression" dxfId="6" priority="98" stopIfTrue="1">
      <formula>$T$6="NEE"</formula>
    </cfRule>
  </conditionalFormatting>
  <conditionalFormatting sqref="N27:N29 A33">
    <cfRule type="expression" dxfId="5" priority="99" stopIfTrue="1">
      <formula>$T$6="NEE"</formula>
    </cfRule>
  </conditionalFormatting>
  <conditionalFormatting sqref="B10:B30">
    <cfRule type="expression" dxfId="4" priority="101" stopIfTrue="1">
      <formula>$T$6="NEE"</formula>
    </cfRule>
  </conditionalFormatting>
  <conditionalFormatting sqref="E30">
    <cfRule type="expression" dxfId="3" priority="102" stopIfTrue="1">
      <formula>$T$6="NEE"</formula>
    </cfRule>
  </conditionalFormatting>
  <conditionalFormatting sqref="C30:D31">
    <cfRule type="expression" dxfId="2" priority="103" stopIfTrue="1">
      <formula>$T$6="NEE"</formula>
    </cfRule>
  </conditionalFormatting>
  <conditionalFormatting sqref="S15:U15">
    <cfRule type="expression" dxfId="1" priority="3">
      <formula>$T$4="NEE"</formula>
    </cfRule>
  </conditionalFormatting>
  <conditionalFormatting sqref="S16:U16">
    <cfRule type="expression" dxfId="0" priority="1">
      <formula>$T$5="NEE"</formula>
    </cfRule>
  </conditionalFormatting>
  <dataValidations count="7">
    <dataValidation type="decimal" operator="greaterThan" allowBlank="1" showInputMessage="1" showErrorMessage="1" error="groter dan water temp in!" sqref="L6" xr:uid="{7F418FB4-18F2-4D23-9139-22E81FA7A624}">
      <formula1>J6</formula1>
    </dataValidation>
    <dataValidation type="list" allowBlank="1" showInputMessage="1" showErrorMessage="1" sqref="B9 T4:T6" xr:uid="{A7E248E3-D6C2-4691-9CB8-F56688B5583C}">
      <formula1>"JA,NEE"</formula1>
    </dataValidation>
    <dataValidation type="list" allowBlank="1" showInputMessage="1" showErrorMessage="1" sqref="G24" xr:uid="{66AEFE10-8355-4F5D-ABAB-681F3233F269}">
      <formula1>druk</formula1>
    </dataValidation>
    <dataValidation type="list" allowBlank="1" showInputMessage="1" showErrorMessage="1" sqref="U9" xr:uid="{8EEA98CD-7AF8-4017-9F7B-4238F0357D4E}">
      <mc:AlternateContent xmlns:x12ac="http://schemas.microsoft.com/office/spreadsheetml/2011/1/ac" xmlns:mc="http://schemas.openxmlformats.org/markup-compatibility/2006">
        <mc:Choice Requires="x12ac">
          <x12ac:list>1%,"1,5%",2%,"2,5%",3%,"3,5%",4%,"4,5%",5%</x12ac:list>
        </mc:Choice>
        <mc:Fallback>
          <formula1>"1%,1,5%,2%,2,5%,3%,3,5%,4%,4,5%,5%"</formula1>
        </mc:Fallback>
      </mc:AlternateContent>
    </dataValidation>
    <dataValidation type="list" allowBlank="1" showInputMessage="1" showErrorMessage="1" sqref="L10 L19 L15" xr:uid="{76688A5B-0B96-464E-8C44-5A9858CB5ADC}">
      <formula1>temp_rookgas</formula1>
    </dataValidation>
    <dataValidation type="whole" allowBlank="1" showInputMessage="1" showErrorMessage="1" sqref="J36" xr:uid="{023FF216-69E8-4F79-809D-98A208C9686B}">
      <formula1>1</formula1>
      <formula2>100</formula2>
    </dataValidation>
    <dataValidation type="whole" allowBlank="1" showInputMessage="1" showErrorMessage="1" sqref="O19" xr:uid="{5EAEF679-D10F-4749-A48F-6DB1A771EA26}">
      <formula1>0</formula1>
      <formula2>100</formula2>
    </dataValidation>
  </dataValidations>
  <pageMargins left="0.75" right="0.75" top="1" bottom="1" header="0.5" footer="0.5"/>
  <pageSetup paperSize="9" scale="73"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15BE7-B55F-4363-83E8-E718BD9C1B7E}">
  <sheetPr codeName="Blad3"/>
  <dimension ref="B2:K13"/>
  <sheetViews>
    <sheetView showGridLines="0" showRowColHeaders="0" workbookViewId="0">
      <selection activeCell="B10" sqref="B10"/>
    </sheetView>
  </sheetViews>
  <sheetFormatPr defaultRowHeight="14.4" x14ac:dyDescent="0.3"/>
  <cols>
    <col min="1" max="1" width="3.5546875" customWidth="1"/>
    <col min="2" max="2" width="112" customWidth="1"/>
  </cols>
  <sheetData>
    <row r="2" spans="2:11" ht="92.25" customHeight="1" x14ac:dyDescent="0.3"/>
    <row r="3" spans="2:11" ht="15.6" x14ac:dyDescent="0.3">
      <c r="B3" s="183" t="s">
        <v>69</v>
      </c>
    </row>
    <row r="4" spans="2:11" ht="15.6" x14ac:dyDescent="0.3">
      <c r="B4" s="184" t="s">
        <v>74</v>
      </c>
    </row>
    <row r="5" spans="2:11" ht="31.2" x14ac:dyDescent="0.3">
      <c r="B5" s="184" t="s">
        <v>78</v>
      </c>
    </row>
    <row r="6" spans="2:11" ht="15.6" x14ac:dyDescent="0.3">
      <c r="B6" s="184"/>
    </row>
    <row r="7" spans="2:11" ht="15.6" x14ac:dyDescent="0.3">
      <c r="B7" s="185" t="s">
        <v>77</v>
      </c>
    </row>
    <row r="8" spans="2:11" ht="15.6" x14ac:dyDescent="0.3">
      <c r="B8" s="185"/>
    </row>
    <row r="9" spans="2:11" ht="46.8" x14ac:dyDescent="0.3">
      <c r="B9" s="184" t="s">
        <v>79</v>
      </c>
    </row>
    <row r="10" spans="2:11" ht="62.4" x14ac:dyDescent="0.3">
      <c r="B10" s="184" t="s">
        <v>75</v>
      </c>
    </row>
    <row r="11" spans="2:11" ht="15.6" x14ac:dyDescent="0.3">
      <c r="B11" s="184"/>
    </row>
    <row r="12" spans="2:11" ht="15.6" x14ac:dyDescent="0.3">
      <c r="B12" s="184" t="s">
        <v>76</v>
      </c>
    </row>
    <row r="13" spans="2:11" ht="46.8" x14ac:dyDescent="0.3">
      <c r="B13" s="184" t="s">
        <v>80</v>
      </c>
      <c r="C13" s="182"/>
      <c r="D13" s="182"/>
      <c r="E13" s="182"/>
      <c r="F13" s="182"/>
      <c r="G13" s="182"/>
      <c r="H13" s="182"/>
      <c r="I13" s="182"/>
      <c r="J13" s="182"/>
      <c r="K13" s="182"/>
    </row>
  </sheetData>
  <sheetProtection algorithmName="SHA-512" hashValue="O+vUN6sWHtTNu9xc7D5p5Wjq63K/VY8BXapk458z0TlZ5nhcPx1zkzWTjO/hBla0tkU0LiLMWTv+vx+UbrTQvw==" saltValue="kmYBGI9iDFfa5gBmZiaWmg==" spinCount="100000" sheet="1" objects="1" scenarios="1" selectLockedCell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EE0FA-AC99-4A78-B76E-2777A33F8D90}">
  <sheetPr codeName="Blad2"/>
  <dimension ref="A2:X156"/>
  <sheetViews>
    <sheetView workbookViewId="0">
      <selection activeCell="C6" sqref="C6"/>
    </sheetView>
  </sheetViews>
  <sheetFormatPr defaultRowHeight="14.4" x14ac:dyDescent="0.3"/>
  <cols>
    <col min="15" max="15" width="13" customWidth="1"/>
  </cols>
  <sheetData>
    <row r="2" spans="1:24" x14ac:dyDescent="0.3">
      <c r="A2" s="130" t="s">
        <v>23</v>
      </c>
      <c r="B2" s="140"/>
      <c r="C2" s="140"/>
      <c r="D2" s="140"/>
      <c r="E2" s="140"/>
      <c r="F2" s="140"/>
      <c r="G2" s="140"/>
      <c r="H2" s="140" t="s">
        <v>23</v>
      </c>
      <c r="I2" s="140"/>
      <c r="J2" s="140"/>
      <c r="K2" s="140"/>
      <c r="L2" s="140"/>
      <c r="M2" s="140"/>
      <c r="N2" s="140"/>
      <c r="O2" s="140" t="s">
        <v>41</v>
      </c>
    </row>
    <row r="3" spans="1:24" x14ac:dyDescent="0.3">
      <c r="O3" t="s">
        <v>47</v>
      </c>
      <c r="P3" s="140" t="s">
        <v>48</v>
      </c>
      <c r="Q3" s="140"/>
      <c r="R3" s="140"/>
      <c r="S3" s="140"/>
      <c r="T3" s="140"/>
      <c r="U3" s="140"/>
      <c r="V3" s="140"/>
      <c r="W3" s="140"/>
      <c r="X3" s="140"/>
    </row>
    <row r="4" spans="1:24" x14ac:dyDescent="0.3">
      <c r="A4" s="135" t="s">
        <v>24</v>
      </c>
      <c r="B4" s="135" t="s">
        <v>25</v>
      </c>
      <c r="C4" s="135" t="s">
        <v>26</v>
      </c>
      <c r="D4" s="135" t="s">
        <v>27</v>
      </c>
      <c r="E4" s="135" t="s">
        <v>28</v>
      </c>
      <c r="F4" s="135" t="s">
        <v>29</v>
      </c>
      <c r="G4" s="140"/>
      <c r="H4" s="141" t="s">
        <v>25</v>
      </c>
      <c r="I4" s="141" t="s">
        <v>32</v>
      </c>
      <c r="J4" s="141" t="s">
        <v>26</v>
      </c>
      <c r="K4" s="141" t="s">
        <v>27</v>
      </c>
      <c r="L4" s="141" t="s">
        <v>28</v>
      </c>
      <c r="M4" s="141" t="s">
        <v>29</v>
      </c>
      <c r="N4" s="140"/>
      <c r="O4" s="131"/>
      <c r="P4" s="132">
        <v>0.01</v>
      </c>
      <c r="Q4" s="133">
        <v>1.4999999999999999E-2</v>
      </c>
      <c r="R4" s="132">
        <v>0.02</v>
      </c>
      <c r="S4" s="133">
        <v>2.5000000000000001E-2</v>
      </c>
      <c r="T4" s="132">
        <v>0.03</v>
      </c>
      <c r="U4" s="133">
        <v>3.5000000000000003E-2</v>
      </c>
      <c r="V4" s="132">
        <v>0.04</v>
      </c>
      <c r="W4" s="133">
        <v>4.4999999999999998E-2</v>
      </c>
      <c r="X4" s="132">
        <v>0.05</v>
      </c>
    </row>
    <row r="5" spans="1:24" x14ac:dyDescent="0.3">
      <c r="A5" s="135" t="s">
        <v>10</v>
      </c>
      <c r="B5" s="135" t="s">
        <v>3</v>
      </c>
      <c r="C5" s="135" t="s">
        <v>18</v>
      </c>
      <c r="D5" s="135" t="s">
        <v>18</v>
      </c>
      <c r="E5" s="135" t="s">
        <v>30</v>
      </c>
      <c r="F5" s="135" t="s">
        <v>30</v>
      </c>
      <c r="G5" s="140"/>
      <c r="H5" s="135" t="s">
        <v>3</v>
      </c>
      <c r="I5" s="141" t="s">
        <v>10</v>
      </c>
      <c r="J5" s="141" t="s">
        <v>18</v>
      </c>
      <c r="K5" s="141" t="s">
        <v>18</v>
      </c>
      <c r="L5" s="141" t="s">
        <v>30</v>
      </c>
      <c r="M5" s="141" t="s">
        <v>30</v>
      </c>
      <c r="N5" s="140"/>
      <c r="O5" s="131">
        <v>30</v>
      </c>
      <c r="P5" s="134">
        <v>108.76507560685164</v>
      </c>
      <c r="Q5" s="134">
        <v>108.72604264885354</v>
      </c>
      <c r="R5" s="134">
        <v>108.68436169257657</v>
      </c>
      <c r="S5" s="134">
        <v>108.63979057824021</v>
      </c>
      <c r="T5" s="134">
        <v>108.59205846817744</v>
      </c>
      <c r="U5" s="134">
        <v>108.540861615514</v>
      </c>
      <c r="V5" s="134">
        <v>108.48585837754872</v>
      </c>
      <c r="W5" s="134">
        <v>108.42666331430443</v>
      </c>
      <c r="X5" s="134">
        <v>108.36284017352672</v>
      </c>
    </row>
    <row r="6" spans="1:24" x14ac:dyDescent="0.3">
      <c r="A6" s="142">
        <v>0</v>
      </c>
      <c r="B6" s="142">
        <v>99.605918611337643</v>
      </c>
      <c r="C6" s="142">
        <v>417.43648581623171</v>
      </c>
      <c r="D6" s="142">
        <v>2674.9496408321461</v>
      </c>
      <c r="E6" s="142">
        <v>958.63688967603287</v>
      </c>
      <c r="F6" s="142">
        <v>0.59031092354457815</v>
      </c>
      <c r="G6" s="140"/>
      <c r="H6" s="160">
        <v>0</v>
      </c>
      <c r="I6" s="160">
        <v>6.1165700001066317E-3</v>
      </c>
      <c r="J6" s="160">
        <v>6.1178304887702197E-4</v>
      </c>
      <c r="K6" s="160">
        <v>2500.9109946394656</v>
      </c>
      <c r="L6" s="160">
        <v>999.79374540590152</v>
      </c>
      <c r="M6" s="160">
        <v>4.8544287997442405E-3</v>
      </c>
      <c r="N6" s="140"/>
      <c r="O6" s="131">
        <v>35</v>
      </c>
      <c r="P6" s="134">
        <v>107.52423838078306</v>
      </c>
      <c r="Q6" s="134">
        <v>107.45678145938805</v>
      </c>
      <c r="R6" s="134">
        <v>107.38523081245015</v>
      </c>
      <c r="S6" s="134">
        <v>107.30923348243302</v>
      </c>
      <c r="T6" s="134">
        <v>107.22839644914316</v>
      </c>
      <c r="U6" s="134">
        <v>107.14228093002785</v>
      </c>
      <c r="V6" s="134">
        <v>107.05039569795915</v>
      </c>
      <c r="W6" s="134">
        <v>106.95218921633335</v>
      </c>
      <c r="X6" s="134">
        <v>106.84704034403663</v>
      </c>
    </row>
    <row r="7" spans="1:24" x14ac:dyDescent="0.3">
      <c r="A7" s="142">
        <v>0.5</v>
      </c>
      <c r="B7" s="142">
        <v>111.35004948446078</v>
      </c>
      <c r="C7" s="142">
        <v>467.08072366045218</v>
      </c>
      <c r="D7" s="142">
        <v>2693.1132659126488</v>
      </c>
      <c r="E7" s="142">
        <v>949.91610675632205</v>
      </c>
      <c r="F7" s="142">
        <v>0.86254675368522971</v>
      </c>
      <c r="G7" s="140"/>
      <c r="H7" s="160">
        <v>1</v>
      </c>
      <c r="I7" s="160">
        <v>6.5708804911789945E-3</v>
      </c>
      <c r="J7" s="160">
        <v>4.176650051951146</v>
      </c>
      <c r="K7" s="160">
        <v>2502.7299491231447</v>
      </c>
      <c r="L7" s="160">
        <v>999.85211213716525</v>
      </c>
      <c r="M7" s="160">
        <v>5.1962966245792637E-3</v>
      </c>
      <c r="N7" s="140"/>
      <c r="O7" s="131">
        <v>40</v>
      </c>
      <c r="P7" s="134">
        <v>106.09410978092954</v>
      </c>
      <c r="Q7" s="134">
        <v>105.99425699030627</v>
      </c>
      <c r="R7" s="134">
        <v>105.88872064003905</v>
      </c>
      <c r="S7" s="134">
        <v>105.77703149122236</v>
      </c>
      <c r="T7" s="134">
        <v>105.65866902309104</v>
      </c>
      <c r="U7" s="134">
        <v>105.53305441013551</v>
      </c>
      <c r="V7" s="134">
        <v>105.39954233833836</v>
      </c>
      <c r="W7" s="134">
        <v>105.2574114353712</v>
      </c>
      <c r="X7" s="134">
        <v>105.10585303955176</v>
      </c>
    </row>
    <row r="8" spans="1:24" x14ac:dyDescent="0.3">
      <c r="A8" s="142">
        <v>1</v>
      </c>
      <c r="B8" s="142">
        <v>120.2115459364889</v>
      </c>
      <c r="C8" s="142">
        <v>504.68384552926079</v>
      </c>
      <c r="D8" s="142">
        <v>2706.2413413742584</v>
      </c>
      <c r="E8" s="142">
        <v>942.9350720663715</v>
      </c>
      <c r="F8" s="142">
        <v>1.1290057709387655</v>
      </c>
      <c r="G8" s="140"/>
      <c r="H8" s="160">
        <v>2</v>
      </c>
      <c r="I8" s="160">
        <v>7.0598790589827855E-3</v>
      </c>
      <c r="J8" s="160">
        <v>8.3916019237176158</v>
      </c>
      <c r="K8" s="160">
        <v>2504.5665527440801</v>
      </c>
      <c r="L8" s="160">
        <v>999.89350432200786</v>
      </c>
      <c r="M8" s="160">
        <v>5.5628617844774852E-3</v>
      </c>
      <c r="N8" s="140"/>
      <c r="O8" s="131">
        <v>45</v>
      </c>
      <c r="P8" s="134">
        <v>104.42991341480895</v>
      </c>
      <c r="Q8" s="134">
        <v>104.29317698656943</v>
      </c>
      <c r="R8" s="134">
        <v>104.14903584652919</v>
      </c>
      <c r="S8" s="134">
        <v>103.99690363527196</v>
      </c>
      <c r="T8" s="134">
        <v>103.8361326101803</v>
      </c>
      <c r="U8" s="134">
        <v>103.66600564755635</v>
      </c>
      <c r="V8" s="134">
        <v>103.48572700276408</v>
      </c>
      <c r="W8" s="134">
        <v>103.29441160699562</v>
      </c>
      <c r="X8" s="134">
        <v>103.09107263581426</v>
      </c>
    </row>
    <row r="9" spans="1:24" x14ac:dyDescent="0.3">
      <c r="A9" s="142">
        <v>1.5</v>
      </c>
      <c r="B9" s="142">
        <v>127.41362925665578</v>
      </c>
      <c r="C9" s="142">
        <v>535.35013118031998</v>
      </c>
      <c r="D9" s="142">
        <v>2716.5002557400767</v>
      </c>
      <c r="E9" s="142">
        <v>937.01252461347212</v>
      </c>
      <c r="F9" s="142">
        <v>1.3914070502953888</v>
      </c>
      <c r="G9" s="140"/>
      <c r="H9" s="160">
        <v>3</v>
      </c>
      <c r="I9" s="160">
        <v>7.580823811491319E-3</v>
      </c>
      <c r="J9" s="160">
        <v>12.603541417016972</v>
      </c>
      <c r="K9" s="160">
        <v>2506.4024005390647</v>
      </c>
      <c r="L9" s="160">
        <v>999.91783681155516</v>
      </c>
      <c r="M9" s="160">
        <v>5.9518814760984307E-3</v>
      </c>
      <c r="N9" s="140"/>
      <c r="O9" s="131">
        <v>50</v>
      </c>
      <c r="P9" s="134">
        <v>102.47645601277789</v>
      </c>
      <c r="Q9" s="134">
        <v>102.29798473462094</v>
      </c>
      <c r="R9" s="134">
        <v>102.11030219043803</v>
      </c>
      <c r="S9" s="134">
        <v>101.91271360778478</v>
      </c>
      <c r="T9" s="134">
        <v>101.70445560862139</v>
      </c>
      <c r="U9" s="134">
        <v>101.4846879432811</v>
      </c>
      <c r="V9" s="134">
        <v>101.25248408200086</v>
      </c>
      <c r="W9" s="134">
        <v>101.00682049733025</v>
      </c>
      <c r="X9" s="134">
        <v>100.74656444996234</v>
      </c>
    </row>
    <row r="10" spans="1:24" x14ac:dyDescent="0.3">
      <c r="A10" s="142">
        <v>2</v>
      </c>
      <c r="B10" s="142">
        <v>133.52535794654534</v>
      </c>
      <c r="C10" s="142">
        <v>561.45541025710759</v>
      </c>
      <c r="D10" s="142">
        <v>2724.8916665566508</v>
      </c>
      <c r="E10" s="142">
        <v>931.81322668048801</v>
      </c>
      <c r="F10" s="142">
        <v>1.6507493559501054</v>
      </c>
      <c r="G10" s="140"/>
      <c r="H10" s="160">
        <v>4</v>
      </c>
      <c r="I10" s="160">
        <v>8.1354938418323249E-3</v>
      </c>
      <c r="J10" s="160">
        <v>16.812717295057631</v>
      </c>
      <c r="K10" s="160">
        <v>2508.2374645269656</v>
      </c>
      <c r="L10" s="160">
        <v>999.92566945718909</v>
      </c>
      <c r="M10" s="160">
        <v>6.3645081522082118E-3</v>
      </c>
      <c r="N10" s="140"/>
      <c r="O10" s="131">
        <v>55</v>
      </c>
      <c r="P10" s="134">
        <v>100.1661682988689</v>
      </c>
      <c r="Q10" s="134">
        <v>99.941181537841658</v>
      </c>
      <c r="R10" s="134">
        <v>99.705204826251062</v>
      </c>
      <c r="S10" s="134">
        <v>99.457462605485901</v>
      </c>
      <c r="T10" s="134">
        <v>99.197109635155698</v>
      </c>
      <c r="U10" s="134">
        <v>98.923223810025632</v>
      </c>
      <c r="V10" s="134">
        <v>98.634798261608708</v>
      </c>
      <c r="W10" s="134">
        <v>98.330732722002665</v>
      </c>
      <c r="X10" s="134">
        <v>98.218680120978391</v>
      </c>
    </row>
    <row r="11" spans="1:24" x14ac:dyDescent="0.3">
      <c r="A11" s="142">
        <v>2.5</v>
      </c>
      <c r="B11" s="142">
        <v>138.86073915416841</v>
      </c>
      <c r="C11" s="142">
        <v>584.31133420852916</v>
      </c>
      <c r="D11" s="142">
        <v>2731.9652423792427</v>
      </c>
      <c r="E11" s="142">
        <v>927.14461398721517</v>
      </c>
      <c r="F11" s="142">
        <v>1.9076840100796344</v>
      </c>
      <c r="G11" s="140"/>
      <c r="H11" s="160">
        <v>5</v>
      </c>
      <c r="I11" s="160">
        <v>8.7257486112952178E-3</v>
      </c>
      <c r="J11" s="160">
        <v>21.019355830952389</v>
      </c>
      <c r="K11" s="160">
        <v>2510.0717168773708</v>
      </c>
      <c r="L11" s="160">
        <v>999.91752970870186</v>
      </c>
      <c r="M11" s="160">
        <v>6.8019407389742909E-3</v>
      </c>
      <c r="N11" s="140"/>
      <c r="O11" s="131">
        <v>60</v>
      </c>
      <c r="P11" s="134">
        <v>98.303225480491591</v>
      </c>
      <c r="Q11" s="134">
        <v>98.26847774004797</v>
      </c>
      <c r="R11" s="134">
        <v>98.231895369754113</v>
      </c>
      <c r="S11" s="134">
        <v>98.193329131723544</v>
      </c>
      <c r="T11" s="134">
        <v>98.152613150622443</v>
      </c>
      <c r="U11" s="134">
        <v>98.109562528714648</v>
      </c>
      <c r="V11" s="134">
        <v>98.063970538541056</v>
      </c>
      <c r="W11" s="134">
        <v>98.0156053033147</v>
      </c>
      <c r="X11" s="134">
        <v>97.964205852546726</v>
      </c>
    </row>
    <row r="12" spans="1:24" x14ac:dyDescent="0.3">
      <c r="A12" s="142">
        <v>3</v>
      </c>
      <c r="B12" s="142">
        <v>143.61253299838268</v>
      </c>
      <c r="C12" s="142">
        <v>604.72347415314596</v>
      </c>
      <c r="D12" s="142">
        <v>2738.0566229312803</v>
      </c>
      <c r="E12" s="142">
        <v>922.88473347179854</v>
      </c>
      <c r="F12" s="142">
        <v>2.1626681881935355</v>
      </c>
      <c r="G12" s="140"/>
      <c r="H12" s="160">
        <v>6</v>
      </c>
      <c r="I12" s="160">
        <v>9.3535306038463155E-3</v>
      </c>
      <c r="J12" s="160">
        <v>25.223662960535492</v>
      </c>
      <c r="K12" s="160">
        <v>2511.9051298992354</v>
      </c>
      <c r="L12" s="160">
        <v>999.89391491631761</v>
      </c>
      <c r="M12" s="160">
        <v>7.2654259009499048E-3</v>
      </c>
      <c r="N12" s="140"/>
      <c r="O12" s="131">
        <v>65</v>
      </c>
      <c r="P12" s="134">
        <v>98.091128665553057</v>
      </c>
      <c r="Q12" s="134">
        <v>98.052037457553965</v>
      </c>
      <c r="R12" s="134">
        <v>98.010882290973385</v>
      </c>
      <c r="S12" s="134">
        <v>97.967495273188987</v>
      </c>
      <c r="T12" s="134">
        <v>97.921689794450259</v>
      </c>
      <c r="U12" s="134">
        <v>97.873257844803973</v>
      </c>
      <c r="V12" s="134">
        <v>97.821966855858676</v>
      </c>
      <c r="W12" s="134">
        <v>97.767555966229011</v>
      </c>
      <c r="X12" s="134">
        <v>97.709731584115062</v>
      </c>
    </row>
    <row r="13" spans="1:24" x14ac:dyDescent="0.3">
      <c r="A13" s="142">
        <v>3.5</v>
      </c>
      <c r="B13" s="142">
        <v>147.90809697170204</v>
      </c>
      <c r="C13" s="142">
        <v>623.22431336131888</v>
      </c>
      <c r="D13" s="142">
        <v>2743.3864049837057</v>
      </c>
      <c r="E13" s="142">
        <v>918.95093686320934</v>
      </c>
      <c r="F13" s="142">
        <v>2.4160397338669979</v>
      </c>
      <c r="G13" s="140"/>
      <c r="H13" s="160">
        <v>7</v>
      </c>
      <c r="I13" s="160">
        <v>1.0020868025771986E-2</v>
      </c>
      <c r="J13" s="160">
        <v>29.425826234089037</v>
      </c>
      <c r="K13" s="160">
        <v>2513.7376760273096</v>
      </c>
      <c r="L13" s="160">
        <v>999.85529445298778</v>
      </c>
      <c r="M13" s="160">
        <v>7.7562593165332646E-3</v>
      </c>
      <c r="N13" s="140"/>
      <c r="O13" s="131">
        <v>70</v>
      </c>
      <c r="P13" s="134">
        <v>97.879031850614481</v>
      </c>
      <c r="Q13" s="134">
        <v>97.835597175059945</v>
      </c>
      <c r="R13" s="134">
        <v>97.789869212192642</v>
      </c>
      <c r="S13" s="134">
        <v>97.741661414654416</v>
      </c>
      <c r="T13" s="134">
        <v>97.690766438278061</v>
      </c>
      <c r="U13" s="134">
        <v>97.636953160893313</v>
      </c>
      <c r="V13" s="134">
        <v>97.57996317317631</v>
      </c>
      <c r="W13" s="134">
        <v>97.519506629143351</v>
      </c>
      <c r="X13" s="134">
        <v>97.455257315683411</v>
      </c>
    </row>
    <row r="14" spans="1:24" x14ac:dyDescent="0.3">
      <c r="A14" s="142">
        <v>4</v>
      </c>
      <c r="B14" s="142">
        <v>151.83624387684512</v>
      </c>
      <c r="C14" s="142">
        <v>640.18533536338612</v>
      </c>
      <c r="D14" s="142">
        <v>2748.1076146579685</v>
      </c>
      <c r="E14" s="142">
        <v>915.28434342998105</v>
      </c>
      <c r="F14" s="142">
        <v>2.6680580298566743</v>
      </c>
      <c r="G14" s="140"/>
      <c r="H14" s="160">
        <v>8</v>
      </c>
      <c r="I14" s="160">
        <v>1.0729877549680413E-2</v>
      </c>
      <c r="J14" s="160">
        <v>33.626016585598173</v>
      </c>
      <c r="K14" s="160">
        <v>2515.5693278064768</v>
      </c>
      <c r="L14" s="160">
        <v>999.80211167159541</v>
      </c>
      <c r="M14" s="160">
        <v>8.2757869632082773E-3</v>
      </c>
      <c r="N14" s="140"/>
      <c r="O14" s="131">
        <v>75</v>
      </c>
      <c r="P14" s="134">
        <v>97.666935035675948</v>
      </c>
      <c r="Q14" s="134">
        <v>97.619156892565954</v>
      </c>
      <c r="R14" s="134">
        <v>97.568856133411913</v>
      </c>
      <c r="S14" s="134">
        <v>97.515827556119859</v>
      </c>
      <c r="T14" s="134">
        <v>97.459843082105905</v>
      </c>
      <c r="U14" s="134">
        <v>97.400648476982639</v>
      </c>
      <c r="V14" s="134">
        <v>97.337959490493958</v>
      </c>
      <c r="W14" s="134">
        <v>97.271457292057704</v>
      </c>
      <c r="X14" s="134">
        <v>97.200783047251747</v>
      </c>
    </row>
    <row r="15" spans="1:24" x14ac:dyDescent="0.3">
      <c r="A15" s="142">
        <v>4.5</v>
      </c>
      <c r="B15" s="142">
        <v>155.46152538913122</v>
      </c>
      <c r="C15" s="142">
        <v>655.87665150674047</v>
      </c>
      <c r="D15" s="142">
        <v>2752.3308900775796</v>
      </c>
      <c r="E15" s="142">
        <v>911.8413609590898</v>
      </c>
      <c r="F15" s="142">
        <v>2.9189282011896385</v>
      </c>
      <c r="G15" s="140"/>
      <c r="H15" s="160">
        <v>9</v>
      </c>
      <c r="I15" s="160">
        <v>1.1482767102042917E-2</v>
      </c>
      <c r="J15" s="160">
        <v>37.824389936392187</v>
      </c>
      <c r="K15" s="160">
        <v>2517.4000578740852</v>
      </c>
      <c r="L15" s="160">
        <v>999.73478571049509</v>
      </c>
      <c r="M15" s="160">
        <v>8.8254064118627115E-3</v>
      </c>
      <c r="N15" s="140"/>
      <c r="O15" s="131">
        <v>80</v>
      </c>
      <c r="P15" s="134">
        <v>97.454838220737372</v>
      </c>
      <c r="Q15" s="134">
        <v>97.402716610071963</v>
      </c>
      <c r="R15" s="134">
        <v>97.34784305463117</v>
      </c>
      <c r="S15" s="134">
        <v>97.289993697585302</v>
      </c>
      <c r="T15" s="134">
        <v>97.228919725933707</v>
      </c>
      <c r="U15" s="134">
        <v>97.164343793071993</v>
      </c>
      <c r="V15" s="134">
        <v>97.095955807811563</v>
      </c>
      <c r="W15" s="134">
        <v>97.023407954972043</v>
      </c>
      <c r="X15" s="134">
        <v>96.946308778820097</v>
      </c>
    </row>
    <row r="16" spans="1:24" x14ac:dyDescent="0.3">
      <c r="A16" s="142">
        <v>5</v>
      </c>
      <c r="B16" s="142">
        <v>158.83242395448463</v>
      </c>
      <c r="C16" s="142">
        <v>670.50120803154675</v>
      </c>
      <c r="D16" s="142">
        <v>2756.1388895363311</v>
      </c>
      <c r="E16" s="142">
        <v>908.58871539450558</v>
      </c>
      <c r="F16" s="142">
        <v>3.1688163475771729</v>
      </c>
      <c r="G16" s="140"/>
      <c r="H16" s="160">
        <v>10</v>
      </c>
      <c r="I16" s="160">
        <v>1.2281838693402238E-2</v>
      </c>
      <c r="J16" s="160">
        <v>42.021088648483818</v>
      </c>
      <c r="K16" s="160">
        <v>2519.2298389404232</v>
      </c>
      <c r="L16" s="160">
        <v>999.65371315971129</v>
      </c>
      <c r="M16" s="160">
        <v>9.4065681294664503E-3</v>
      </c>
      <c r="N16" s="140"/>
      <c r="O16" s="131">
        <v>85</v>
      </c>
      <c r="P16" s="134">
        <v>97.242741405798839</v>
      </c>
      <c r="Q16" s="134">
        <v>97.186276327577943</v>
      </c>
      <c r="R16" s="134">
        <v>97.126829975850427</v>
      </c>
      <c r="S16" s="134">
        <v>97.06415983905076</v>
      </c>
      <c r="T16" s="134">
        <v>96.997996369761509</v>
      </c>
      <c r="U16" s="134">
        <v>96.928039109161318</v>
      </c>
      <c r="V16" s="134">
        <v>96.853952125129211</v>
      </c>
      <c r="W16" s="134">
        <v>96.775358617886354</v>
      </c>
      <c r="X16" s="134">
        <v>96.691834510388446</v>
      </c>
    </row>
    <row r="17" spans="1:24" x14ac:dyDescent="0.3">
      <c r="A17" s="142">
        <v>5.5</v>
      </c>
      <c r="B17" s="142">
        <v>161.98633632947877</v>
      </c>
      <c r="C17" s="142">
        <v>684.21560157480906</v>
      </c>
      <c r="D17" s="142">
        <v>2759.5950361387345</v>
      </c>
      <c r="E17" s="142">
        <v>905.50036931506111</v>
      </c>
      <c r="F17" s="142">
        <v>3.4178595991072753</v>
      </c>
      <c r="G17" s="140"/>
      <c r="H17" s="160">
        <v>11</v>
      </c>
      <c r="I17" s="160">
        <v>1.312949129032877E-2</v>
      </c>
      <c r="J17" s="160">
        <v>46.216242841496452</v>
      </c>
      <c r="K17" s="160">
        <v>2521.0586437674719</v>
      </c>
      <c r="L17" s="160">
        <v>999.55926959908493</v>
      </c>
      <c r="M17" s="160">
        <v>1.002077678938551E-2</v>
      </c>
      <c r="N17" s="140"/>
      <c r="O17" s="131">
        <v>90</v>
      </c>
      <c r="P17" s="134">
        <v>97.030644590860291</v>
      </c>
      <c r="Q17" s="134">
        <v>96.969836045083937</v>
      </c>
      <c r="R17" s="134">
        <v>96.905816897069698</v>
      </c>
      <c r="S17" s="134">
        <v>96.838325980516203</v>
      </c>
      <c r="T17" s="134">
        <v>96.767073013589325</v>
      </c>
      <c r="U17" s="134">
        <v>96.691734425250658</v>
      </c>
      <c r="V17" s="134">
        <v>96.611948442446831</v>
      </c>
      <c r="W17" s="134">
        <v>96.527309280800694</v>
      </c>
      <c r="X17" s="134">
        <v>96.437360241956782</v>
      </c>
    </row>
    <row r="18" spans="1:24" x14ac:dyDescent="0.3">
      <c r="A18" s="142">
        <v>6</v>
      </c>
      <c r="B18" s="142">
        <v>164.95275255074188</v>
      </c>
      <c r="C18" s="142">
        <v>697.14336073520769</v>
      </c>
      <c r="D18" s="142">
        <v>2762.7490827695101</v>
      </c>
      <c r="E18" s="142">
        <v>902.55552318648608</v>
      </c>
      <c r="F18" s="142">
        <v>3.6661730155638539</v>
      </c>
      <c r="G18" s="140"/>
      <c r="H18" s="160">
        <v>12</v>
      </c>
      <c r="I18" s="160">
        <v>1.4028223728154215E-2</v>
      </c>
      <c r="J18" s="160">
        <v>50.409971585753844</v>
      </c>
      <c r="K18" s="160">
        <v>2522.8864451460563</v>
      </c>
      <c r="L18" s="160">
        <v>999.45181101872925</v>
      </c>
      <c r="M18" s="160">
        <v>1.0669592588596916E-2</v>
      </c>
      <c r="N18" s="140"/>
      <c r="O18" s="131">
        <v>95</v>
      </c>
      <c r="P18" s="134">
        <v>96.818547775921729</v>
      </c>
      <c r="Q18" s="134">
        <v>96.753395762589946</v>
      </c>
      <c r="R18" s="134">
        <v>96.684803818288955</v>
      </c>
      <c r="S18" s="134">
        <v>96.61249212198166</v>
      </c>
      <c r="T18" s="134">
        <v>96.536149657417127</v>
      </c>
      <c r="U18" s="134">
        <v>96.455429741339984</v>
      </c>
      <c r="V18" s="134">
        <v>96.369944759764465</v>
      </c>
      <c r="W18" s="134">
        <v>96.279259943715033</v>
      </c>
      <c r="X18" s="134">
        <v>96.182885973525117</v>
      </c>
    </row>
    <row r="19" spans="1:24" x14ac:dyDescent="0.3">
      <c r="A19" s="142">
        <v>6.5</v>
      </c>
      <c r="B19" s="142">
        <v>167.75536447427334</v>
      </c>
      <c r="C19" s="142">
        <v>709.3837576737136</v>
      </c>
      <c r="D19" s="142">
        <v>2765.6407942780215</v>
      </c>
      <c r="E19" s="142">
        <v>899.73726975016166</v>
      </c>
      <c r="F19" s="142">
        <v>3.9138544733410039</v>
      </c>
      <c r="G19" s="140"/>
      <c r="H19" s="160">
        <v>13</v>
      </c>
      <c r="I19" s="160">
        <v>1.4980637663466127E-2</v>
      </c>
      <c r="J19" s="160">
        <v>54.602383983018548</v>
      </c>
      <c r="K19" s="160">
        <v>2524.7132158715863</v>
      </c>
      <c r="L19" s="160">
        <v>999.33167513129752</v>
      </c>
      <c r="M19" s="160">
        <v>1.1354632571063814E-2</v>
      </c>
      <c r="N19" s="140"/>
      <c r="O19" s="131">
        <v>100</v>
      </c>
      <c r="P19" s="134">
        <v>96.606450960983182</v>
      </c>
      <c r="Q19" s="134">
        <v>96.536955480095941</v>
      </c>
      <c r="R19" s="134">
        <v>96.463790739508241</v>
      </c>
      <c r="S19" s="134">
        <v>96.386658263447075</v>
      </c>
      <c r="T19" s="134">
        <v>96.305226301244929</v>
      </c>
      <c r="U19" s="134">
        <v>96.219125057429309</v>
      </c>
      <c r="V19" s="134">
        <v>96.127941077082099</v>
      </c>
      <c r="W19" s="134">
        <v>96.031210606629358</v>
      </c>
      <c r="X19" s="134">
        <v>95.928411705093453</v>
      </c>
    </row>
    <row r="20" spans="1:24" x14ac:dyDescent="0.3">
      <c r="A20" s="142">
        <v>7</v>
      </c>
      <c r="B20" s="142">
        <v>170.41351081360017</v>
      </c>
      <c r="C20" s="142">
        <v>721.01784841975336</v>
      </c>
      <c r="D20" s="142">
        <v>2768.3024646637432</v>
      </c>
      <c r="E20" s="142">
        <v>897.03165936953224</v>
      </c>
      <c r="F20" s="142">
        <v>4.1609882209183606</v>
      </c>
      <c r="G20" s="140"/>
      <c r="H20" s="160">
        <v>14</v>
      </c>
      <c r="I20" s="160">
        <v>1.598944056530039E-2</v>
      </c>
      <c r="J20" s="160">
        <v>58.793580145206761</v>
      </c>
      <c r="K20" s="160">
        <v>2526.5389287185089</v>
      </c>
      <c r="L20" s="160">
        <v>999.19918258476889</v>
      </c>
      <c r="M20" s="160">
        <v>1.2077571956524551E-2</v>
      </c>
      <c r="N20" s="140"/>
      <c r="O20" s="131">
        <v>105</v>
      </c>
      <c r="P20" s="134">
        <v>96.357741309326684</v>
      </c>
      <c r="Q20" s="134">
        <v>96.283676262963098</v>
      </c>
      <c r="R20" s="134">
        <v>96.205700688075893</v>
      </c>
      <c r="S20" s="134">
        <v>96.123496482858627</v>
      </c>
      <c r="T20" s="134">
        <v>96.03671008264601</v>
      </c>
      <c r="U20" s="134">
        <v>95.944947376361768</v>
      </c>
      <c r="V20" s="134">
        <v>95.847767722691685</v>
      </c>
      <c r="W20" s="134">
        <v>95.744676874317321</v>
      </c>
      <c r="X20" s="134">
        <v>95.635118570449848</v>
      </c>
    </row>
    <row r="21" spans="1:24" x14ac:dyDescent="0.3">
      <c r="A21" s="142">
        <v>7.5</v>
      </c>
      <c r="B21" s="142">
        <v>172.94319540051094</v>
      </c>
      <c r="C21" s="142">
        <v>732.112730243329</v>
      </c>
      <c r="D21" s="142">
        <v>2770.7606862350594</v>
      </c>
      <c r="E21" s="142">
        <v>894.42703331634493</v>
      </c>
      <c r="F21" s="142">
        <v>4.4076475254835357</v>
      </c>
      <c r="G21" s="140"/>
      <c r="H21" s="160">
        <v>15</v>
      </c>
      <c r="I21" s="160">
        <v>1.7057448743923738E-2</v>
      </c>
      <c r="J21" s="160">
        <v>62.983652080530014</v>
      </c>
      <c r="K21" s="160">
        <v>2528.3635564136425</v>
      </c>
      <c r="L21" s="160">
        <v>999.05463808375009</v>
      </c>
      <c r="M21" s="160">
        <v>1.2840145473945236E-2</v>
      </c>
      <c r="N21" s="140"/>
      <c r="O21" s="131">
        <v>110</v>
      </c>
      <c r="P21" s="135">
        <v>96.143490798110619</v>
      </c>
      <c r="Q21" s="135">
        <v>96.065068984313868</v>
      </c>
      <c r="R21" s="135">
        <v>95.982506610903883</v>
      </c>
      <c r="S21" s="135">
        <v>95.895466864203243</v>
      </c>
      <c r="T21" s="135">
        <v>95.803575381625194</v>
      </c>
      <c r="U21" s="135">
        <v>95.706414869088931</v>
      </c>
      <c r="V21" s="135">
        <v>95.603518765202963</v>
      </c>
      <c r="W21" s="135">
        <v>95.494363749277156</v>
      </c>
      <c r="X21" s="135">
        <v>95.378360839299816</v>
      </c>
    </row>
    <row r="22" spans="1:24" x14ac:dyDescent="0.3">
      <c r="A22" s="142">
        <v>8</v>
      </c>
      <c r="B22" s="142">
        <v>175.35782211701257</v>
      </c>
      <c r="C22" s="142">
        <v>742.72461512735094</v>
      </c>
      <c r="D22" s="142">
        <v>2773.0376230707589</v>
      </c>
      <c r="E22" s="142">
        <v>891.91353714479146</v>
      </c>
      <c r="F22" s="142">
        <v>4.6538966823484307</v>
      </c>
      <c r="G22" s="140"/>
      <c r="H22" s="160">
        <v>16</v>
      </c>
      <c r="I22" s="160">
        <v>1.8187590416053084E-2</v>
      </c>
      <c r="J22" s="160">
        <v>67.172684495624253</v>
      </c>
      <c r="K22" s="160">
        <v>2530.1870716085823</v>
      </c>
      <c r="L22" s="160">
        <v>998.89833142661371</v>
      </c>
      <c r="M22" s="160">
        <v>1.3644148698881278E-2</v>
      </c>
      <c r="N22" s="140"/>
      <c r="O22" s="131">
        <v>115</v>
      </c>
      <c r="P22" s="135">
        <v>95.929240286894526</v>
      </c>
      <c r="Q22" s="136">
        <v>95.846461705664638</v>
      </c>
      <c r="R22" s="135">
        <v>95.759312533731887</v>
      </c>
      <c r="S22" s="135">
        <v>95.667437245547873</v>
      </c>
      <c r="T22" s="135">
        <v>95.570440680604364</v>
      </c>
      <c r="U22" s="135">
        <v>95.467882361816109</v>
      </c>
      <c r="V22" s="135">
        <v>95.359269807714242</v>
      </c>
      <c r="W22" s="135">
        <v>95.244050624236976</v>
      </c>
      <c r="X22" s="135">
        <v>95.121603108149813</v>
      </c>
    </row>
    <row r="23" spans="1:24" x14ac:dyDescent="0.3">
      <c r="A23" s="142">
        <v>8.5</v>
      </c>
      <c r="B23" s="142">
        <v>177.66873651994752</v>
      </c>
      <c r="C23" s="142">
        <v>752.90109533438681</v>
      </c>
      <c r="D23" s="142">
        <v>2775.1519469186796</v>
      </c>
      <c r="E23" s="142">
        <v>889.48275833379012</v>
      </c>
      <c r="F23" s="142">
        <v>4.8997925671397073</v>
      </c>
      <c r="G23" s="140"/>
      <c r="H23" s="160">
        <v>17</v>
      </c>
      <c r="I23" s="160">
        <v>1.9382908805320127E-2</v>
      </c>
      <c r="J23" s="160">
        <v>71.360755521415257</v>
      </c>
      <c r="K23" s="160">
        <v>2532.009446851293</v>
      </c>
      <c r="L23" s="160">
        <v>998.73053846520088</v>
      </c>
      <c r="M23" s="160">
        <v>1.449143939399484E-2</v>
      </c>
      <c r="N23" s="140"/>
      <c r="O23" s="131">
        <v>120</v>
      </c>
      <c r="P23" s="135">
        <v>95.714989775678447</v>
      </c>
      <c r="Q23" s="135">
        <v>95.627854427015421</v>
      </c>
      <c r="R23" s="135">
        <v>95.536118456559862</v>
      </c>
      <c r="S23" s="135">
        <v>95.439407626892503</v>
      </c>
      <c r="T23" s="135">
        <v>95.337305979583533</v>
      </c>
      <c r="U23" s="135">
        <v>95.229349854543273</v>
      </c>
      <c r="V23" s="135">
        <v>95.115020850225505</v>
      </c>
      <c r="W23" s="135">
        <v>94.993737499196826</v>
      </c>
      <c r="X23" s="135">
        <v>94.86484537699981</v>
      </c>
    </row>
    <row r="24" spans="1:24" x14ac:dyDescent="0.3">
      <c r="A24" s="142">
        <v>9</v>
      </c>
      <c r="B24" s="142">
        <v>179.88563239146646</v>
      </c>
      <c r="C24" s="142">
        <v>762.68284433541021</v>
      </c>
      <c r="D24" s="142">
        <v>2777.1195376846617</v>
      </c>
      <c r="E24" s="142">
        <v>887.12745167477931</v>
      </c>
      <c r="F24" s="142">
        <v>5.1453858531826855</v>
      </c>
      <c r="G24" s="140"/>
      <c r="H24" s="160">
        <v>18</v>
      </c>
      <c r="I24" s="160">
        <v>2.0646565276744872E-2</v>
      </c>
      <c r="J24" s="160">
        <v>75.547937369796344</v>
      </c>
      <c r="K24" s="160">
        <v>2533.8306545571049</v>
      </c>
      <c r="L24" s="160">
        <v>998.55152199325721</v>
      </c>
      <c r="M24" s="160">
        <v>1.5383938851971998E-2</v>
      </c>
      <c r="N24" s="140"/>
      <c r="O24" s="131">
        <v>125</v>
      </c>
      <c r="P24" s="135">
        <v>95.500739264462368</v>
      </c>
      <c r="Q24" s="135">
        <v>95.409247148366191</v>
      </c>
      <c r="R24" s="135">
        <v>95.31292437938788</v>
      </c>
      <c r="S24" s="135">
        <v>95.211378008237119</v>
      </c>
      <c r="T24" s="135">
        <v>95.104171278562717</v>
      </c>
      <c r="U24" s="135">
        <v>94.990817347270408</v>
      </c>
      <c r="V24" s="135">
        <v>94.870771892736769</v>
      </c>
      <c r="W24" s="135">
        <v>94.743424374156675</v>
      </c>
      <c r="X24" s="135">
        <v>94.608087645849793</v>
      </c>
    </row>
    <row r="25" spans="1:24" x14ac:dyDescent="0.3">
      <c r="A25" s="142">
        <v>9.5</v>
      </c>
      <c r="B25" s="142">
        <v>182.01686189970189</v>
      </c>
      <c r="C25" s="142">
        <v>772.10491473184572</v>
      </c>
      <c r="D25" s="142">
        <v>2778.9540162760713</v>
      </c>
      <c r="E25" s="142">
        <v>884.84132788612362</v>
      </c>
      <c r="F25" s="142">
        <v>5.3907219792854564</v>
      </c>
      <c r="G25" s="140"/>
      <c r="H25" s="160">
        <v>19</v>
      </c>
      <c r="I25" s="160">
        <v>2.1981842503944696E-2</v>
      </c>
      <c r="J25" s="160">
        <v>79.734296927505653</v>
      </c>
      <c r="K25" s="160">
        <v>2535.6506669792461</v>
      </c>
      <c r="L25" s="160">
        <v>998.36153256925422</v>
      </c>
      <c r="M25" s="160">
        <v>1.6323633240086177E-2</v>
      </c>
      <c r="N25" s="140"/>
      <c r="O25" s="131">
        <v>130</v>
      </c>
      <c r="P25" s="135">
        <v>95.286488753246289</v>
      </c>
      <c r="Q25" s="137">
        <v>95.190639869716946</v>
      </c>
      <c r="R25" s="135">
        <v>95.089730302215855</v>
      </c>
      <c r="S25" s="135">
        <v>94.983348389581749</v>
      </c>
      <c r="T25" s="135">
        <v>94.871036577541901</v>
      </c>
      <c r="U25" s="135">
        <v>94.7522848399976</v>
      </c>
      <c r="V25" s="135">
        <v>94.626522935248062</v>
      </c>
      <c r="W25" s="135">
        <v>94.493111249116509</v>
      </c>
      <c r="X25" s="135">
        <v>94.351329914699789</v>
      </c>
    </row>
    <row r="26" spans="1:24" x14ac:dyDescent="0.3">
      <c r="A26" s="142">
        <v>10</v>
      </c>
      <c r="B26" s="142">
        <v>184.06967567794567</v>
      </c>
      <c r="C26" s="142">
        <v>781.19774311148194</v>
      </c>
      <c r="D26" s="142">
        <v>2780.6671558168696</v>
      </c>
      <c r="E26" s="142">
        <v>882.61888861543321</v>
      </c>
      <c r="F26" s="142">
        <v>5.6358419284516392</v>
      </c>
      <c r="G26" s="156"/>
      <c r="H26" s="160">
        <v>20</v>
      </c>
      <c r="I26" s="160">
        <v>2.3392147667768967E-2</v>
      </c>
      <c r="J26" s="160">
        <v>83.91989629304193</v>
      </c>
      <c r="K26" s="160">
        <v>2537.4694561790798</v>
      </c>
      <c r="L26" s="160">
        <v>998.16080927879455</v>
      </c>
      <c r="M26" s="160">
        <v>1.7312574945657959E-2</v>
      </c>
      <c r="N26" s="140"/>
      <c r="O26" s="131">
        <v>135</v>
      </c>
      <c r="P26" s="135">
        <v>95.07223824203021</v>
      </c>
      <c r="Q26" s="135">
        <v>94.97203259106773</v>
      </c>
      <c r="R26" s="135">
        <v>94.866536225043845</v>
      </c>
      <c r="S26" s="135">
        <v>94.75531877092638</v>
      </c>
      <c r="T26" s="135">
        <v>94.637901876521084</v>
      </c>
      <c r="U26" s="135">
        <v>94.513752332724749</v>
      </c>
      <c r="V26" s="135">
        <v>94.38227397775934</v>
      </c>
      <c r="W26" s="135">
        <v>94.242798124076373</v>
      </c>
      <c r="X26" s="135">
        <v>94.094572183549786</v>
      </c>
    </row>
    <row r="27" spans="1:24" x14ac:dyDescent="0.3">
      <c r="A27" s="142">
        <v>10.5</v>
      </c>
      <c r="B27" s="142">
        <v>186.05041109183412</v>
      </c>
      <c r="C27" s="142">
        <v>789.98793819811203</v>
      </c>
      <c r="D27" s="142">
        <v>2782.2692031411971</v>
      </c>
      <c r="E27" s="142">
        <v>880.45529602905117</v>
      </c>
      <c r="F27" s="142">
        <v>5.8807828613070363</v>
      </c>
      <c r="G27" s="140"/>
      <c r="H27" s="160">
        <v>21</v>
      </c>
      <c r="I27" s="160">
        <v>2.488101568501171E-2</v>
      </c>
      <c r="J27" s="160">
        <v>88.104793261887068</v>
      </c>
      <c r="K27" s="160">
        <v>2539.2869939962152</v>
      </c>
      <c r="L27" s="160">
        <v>997.94958044136001</v>
      </c>
      <c r="M27" s="160">
        <v>1.8352883921663753E-2</v>
      </c>
      <c r="N27" s="140"/>
      <c r="O27" s="131">
        <v>140</v>
      </c>
      <c r="P27" s="135">
        <v>94.857987730814145</v>
      </c>
      <c r="Q27" s="135">
        <v>94.753425312418486</v>
      </c>
      <c r="R27" s="135">
        <v>94.643342147871849</v>
      </c>
      <c r="S27" s="135">
        <v>94.52728915227101</v>
      </c>
      <c r="T27" s="135">
        <v>94.404767175500254</v>
      </c>
      <c r="U27" s="135">
        <v>94.275219825451913</v>
      </c>
      <c r="V27" s="135">
        <v>94.138025020270604</v>
      </c>
      <c r="W27" s="135">
        <v>93.992484999036222</v>
      </c>
      <c r="X27" s="135">
        <v>93.837814452399769</v>
      </c>
    </row>
    <row r="28" spans="1:24" x14ac:dyDescent="0.3">
      <c r="A28" s="142">
        <v>11</v>
      </c>
      <c r="B28" s="142">
        <v>187.96464162130025</v>
      </c>
      <c r="C28" s="142">
        <v>798.4989063329474</v>
      </c>
      <c r="D28" s="142">
        <v>2783.7691331052342</v>
      </c>
      <c r="E28" s="142">
        <v>878.34626856718444</v>
      </c>
      <c r="F28" s="142">
        <v>6.1255786364356988</v>
      </c>
      <c r="G28" s="140"/>
      <c r="H28" s="160">
        <v>22</v>
      </c>
      <c r="I28" s="160">
        <v>2.6452112465822526E-2</v>
      </c>
      <c r="J28" s="160">
        <v>92.289041764861963</v>
      </c>
      <c r="K28" s="160">
        <v>2541.1032520186332</v>
      </c>
      <c r="L28" s="160">
        <v>997.72806426578393</v>
      </c>
      <c r="M28" s="160">
        <v>1.9446749031752784E-2</v>
      </c>
      <c r="N28" s="140"/>
      <c r="O28" s="131">
        <v>145</v>
      </c>
      <c r="P28" s="135">
        <v>94.643737219598066</v>
      </c>
      <c r="Q28" s="135">
        <v>94.534818033769284</v>
      </c>
      <c r="R28" s="135">
        <v>94.420148070699824</v>
      </c>
      <c r="S28" s="135">
        <v>94.299259533615611</v>
      </c>
      <c r="T28" s="135">
        <v>94.171632474479438</v>
      </c>
      <c r="U28" s="135">
        <v>94.036687318179091</v>
      </c>
      <c r="V28" s="135">
        <v>93.893776062781896</v>
      </c>
      <c r="W28" s="135">
        <v>93.742171873996057</v>
      </c>
      <c r="X28" s="135">
        <v>93.581056721249766</v>
      </c>
    </row>
    <row r="29" spans="1:24" x14ac:dyDescent="0.3">
      <c r="A29" s="142">
        <v>11.5</v>
      </c>
      <c r="B29" s="142">
        <v>189.8172966594251</v>
      </c>
      <c r="C29" s="142">
        <v>806.75135317999786</v>
      </c>
      <c r="D29" s="142">
        <v>2785.1748519097196</v>
      </c>
      <c r="E29" s="142">
        <v>876.28799675556627</v>
      </c>
      <c r="F29" s="142">
        <v>6.3702602416505654</v>
      </c>
      <c r="G29" s="140"/>
      <c r="H29" s="160">
        <v>23</v>
      </c>
      <c r="I29" s="160">
        <v>2.8109238198401762E-2</v>
      </c>
      <c r="J29" s="160">
        <v>96.472692263938598</v>
      </c>
      <c r="K29" s="160">
        <v>2542.9182015529786</v>
      </c>
      <c r="L29" s="160">
        <v>997.49646945845814</v>
      </c>
      <c r="M29" s="160">
        <v>2.0596429393936799E-2</v>
      </c>
      <c r="N29" s="140"/>
      <c r="O29" s="131">
        <v>150</v>
      </c>
      <c r="P29" s="135">
        <v>94.429486708381987</v>
      </c>
      <c r="Q29" s="135">
        <v>94.316210755120039</v>
      </c>
      <c r="R29" s="135">
        <v>94.196953993527828</v>
      </c>
      <c r="S29" s="135">
        <v>94.071229914960242</v>
      </c>
      <c r="T29" s="135">
        <v>93.938497773458622</v>
      </c>
      <c r="U29" s="135">
        <v>93.79815481090624</v>
      </c>
      <c r="V29" s="135">
        <v>93.64952710529316</v>
      </c>
      <c r="W29" s="135">
        <v>93.491858748955906</v>
      </c>
      <c r="X29" s="135">
        <v>93.324298990099749</v>
      </c>
    </row>
    <row r="30" spans="1:24" x14ac:dyDescent="0.3">
      <c r="A30" s="142">
        <v>12</v>
      </c>
      <c r="B30" s="142">
        <v>191.61275852521874</v>
      </c>
      <c r="C30" s="142">
        <v>814.76369007825451</v>
      </c>
      <c r="D30" s="142">
        <v>2786.4933612440827</v>
      </c>
      <c r="E30" s="142">
        <v>874.2770745756693</v>
      </c>
      <c r="F30" s="142">
        <v>6.6148561543676871</v>
      </c>
      <c r="G30" s="140"/>
      <c r="H30" s="160">
        <v>24</v>
      </c>
      <c r="I30" s="160">
        <v>2.9856330659539437E-2</v>
      </c>
      <c r="J30" s="160">
        <v>100.65579210951859</v>
      </c>
      <c r="K30" s="160">
        <v>2544.7318135951709</v>
      </c>
      <c r="L30" s="160">
        <v>997.25499578795757</v>
      </c>
      <c r="M30" s="160">
        <v>2.1804255722227925E-2</v>
      </c>
      <c r="N30" s="140"/>
      <c r="O30" s="131">
        <v>155</v>
      </c>
      <c r="P30" s="135">
        <v>94.215236197165908</v>
      </c>
      <c r="Q30" s="137">
        <v>94.097603476470809</v>
      </c>
      <c r="R30" s="135">
        <v>93.973759916355817</v>
      </c>
      <c r="S30" s="135">
        <v>93.843200296304857</v>
      </c>
      <c r="T30" s="135">
        <v>93.705363072437777</v>
      </c>
      <c r="U30" s="135">
        <v>93.559622303633418</v>
      </c>
      <c r="V30" s="135">
        <v>93.405278147804424</v>
      </c>
      <c r="W30" s="135">
        <v>93.241545623915727</v>
      </c>
      <c r="X30" s="135">
        <v>93.067541258949731</v>
      </c>
    </row>
    <row r="31" spans="1:24" x14ac:dyDescent="0.3">
      <c r="A31" s="142">
        <v>12.5</v>
      </c>
      <c r="B31" s="142">
        <v>193.35494172646025</v>
      </c>
      <c r="C31" s="142">
        <v>822.55236610327984</v>
      </c>
      <c r="D31" s="142">
        <v>2787.7308919871966</v>
      </c>
      <c r="E31" s="142">
        <v>872.31044303677368</v>
      </c>
      <c r="F31" s="142">
        <v>6.8593926449946432</v>
      </c>
      <c r="G31" s="140"/>
      <c r="H31" s="160">
        <v>25</v>
      </c>
      <c r="I31" s="160">
        <v>3.1697468549523627E-2</v>
      </c>
      <c r="J31" s="160">
        <v>104.83838586274732</v>
      </c>
      <c r="K31" s="160">
        <v>2546.5440588014499</v>
      </c>
      <c r="L31" s="160">
        <v>997.00383460948672</v>
      </c>
      <c r="M31" s="160">
        <v>2.3072631665505407E-2</v>
      </c>
      <c r="N31" s="140"/>
      <c r="O31" s="131">
        <v>160</v>
      </c>
      <c r="P31" s="135">
        <v>94.000985685949829</v>
      </c>
      <c r="Q31" s="135">
        <v>93.878996197821579</v>
      </c>
      <c r="R31" s="135">
        <v>93.750565839183821</v>
      </c>
      <c r="S31" s="135">
        <v>93.615170677649488</v>
      </c>
      <c r="T31" s="135">
        <v>93.472228371416946</v>
      </c>
      <c r="U31" s="135">
        <v>93.321089796360553</v>
      </c>
      <c r="V31" s="135">
        <v>93.161029190315716</v>
      </c>
      <c r="W31" s="135">
        <v>92.991232498875561</v>
      </c>
      <c r="X31" s="135">
        <v>92.810783527799728</v>
      </c>
    </row>
    <row r="32" spans="1:24" x14ac:dyDescent="0.3">
      <c r="A32" s="142">
        <v>13</v>
      </c>
      <c r="B32" s="142">
        <v>195.04735825190602</v>
      </c>
      <c r="C32" s="142">
        <v>830.13214164679118</v>
      </c>
      <c r="D32" s="142">
        <v>2788.8930140073862</v>
      </c>
      <c r="E32" s="142">
        <v>870.38534341362924</v>
      </c>
      <c r="F32" s="142">
        <v>7.1038940341019403</v>
      </c>
      <c r="G32" s="140"/>
      <c r="H32" s="160">
        <v>26</v>
      </c>
      <c r="I32" s="160">
        <v>3.3636874849924087E-2</v>
      </c>
      <c r="J32" s="160">
        <v>109.02051558613795</v>
      </c>
      <c r="K32" s="160">
        <v>2548.3549074600023</v>
      </c>
      <c r="L32" s="160">
        <v>996.74316935223158</v>
      </c>
      <c r="M32" s="160">
        <v>2.4404035142907218E-2</v>
      </c>
      <c r="N32" s="140"/>
      <c r="O32" s="131">
        <v>165</v>
      </c>
      <c r="P32" s="138">
        <v>93.786735174733749</v>
      </c>
      <c r="Q32" s="138">
        <v>93.660388919172348</v>
      </c>
      <c r="R32" s="138">
        <v>93.527371762011811</v>
      </c>
      <c r="S32" s="138">
        <v>93.387141058994118</v>
      </c>
      <c r="T32" s="138">
        <v>93.23909367039613</v>
      </c>
      <c r="U32" s="138">
        <v>93.082557289087731</v>
      </c>
      <c r="V32" s="138">
        <v>92.916780232826994</v>
      </c>
      <c r="W32" s="138">
        <v>92.740919373835411</v>
      </c>
      <c r="X32" s="138">
        <v>92.554025796649725</v>
      </c>
    </row>
    <row r="33" spans="1:24" x14ac:dyDescent="0.3">
      <c r="A33" s="142">
        <v>13.5</v>
      </c>
      <c r="B33" s="142">
        <v>196.69317176230311</v>
      </c>
      <c r="C33" s="142">
        <v>837.51631551864398</v>
      </c>
      <c r="D33" s="142">
        <v>2789.9847270193864</v>
      </c>
      <c r="E33" s="142">
        <v>868.49927821153574</v>
      </c>
      <c r="F33" s="142">
        <v>7.3483829118010808</v>
      </c>
      <c r="G33" s="140"/>
      <c r="H33" s="160">
        <v>27</v>
      </c>
      <c r="I33" s="160">
        <v>3.5678920202725603E-2</v>
      </c>
      <c r="J33" s="160">
        <v>113.20222110549392</v>
      </c>
      <c r="K33" s="160">
        <v>2550.164329463269</v>
      </c>
      <c r="L33" s="160">
        <v>996.47317597250378</v>
      </c>
      <c r="M33" s="160">
        <v>2.5801019675049688E-2</v>
      </c>
      <c r="N33" s="140"/>
      <c r="O33" s="131">
        <v>170</v>
      </c>
      <c r="P33" s="138">
        <v>93.57248466351767</v>
      </c>
      <c r="Q33" s="138">
        <v>93.441781640523132</v>
      </c>
      <c r="R33" s="138">
        <v>93.3041776848398</v>
      </c>
      <c r="S33" s="138">
        <v>93.159111440338734</v>
      </c>
      <c r="T33" s="138">
        <v>93.005958969375314</v>
      </c>
      <c r="U33" s="138">
        <v>92.844024781814909</v>
      </c>
      <c r="V33" s="138">
        <v>92.672531275338258</v>
      </c>
      <c r="W33" s="138">
        <v>92.49060624879526</v>
      </c>
      <c r="X33" s="138">
        <v>92.297268065499708</v>
      </c>
    </row>
    <row r="34" spans="1:24" x14ac:dyDescent="0.3">
      <c r="A34" s="142">
        <v>14</v>
      </c>
      <c r="B34" s="142">
        <v>198.29524288241385</v>
      </c>
      <c r="C34" s="142">
        <v>844.71691478558705</v>
      </c>
      <c r="D34" s="142">
        <v>2791.0105362953245</v>
      </c>
      <c r="E34" s="142">
        <v>866.64997836214286</v>
      </c>
      <c r="F34" s="142">
        <v>7.5928803259818363</v>
      </c>
      <c r="G34" s="140"/>
      <c r="H34" s="160">
        <v>28</v>
      </c>
      <c r="I34" s="160">
        <v>3.7828126309269447E-2</v>
      </c>
      <c r="J34" s="160">
        <v>117.38354024581254</v>
      </c>
      <c r="K34" s="160">
        <v>2551.9722942810527</v>
      </c>
      <c r="L34" s="160">
        <v>996.19402337527902</v>
      </c>
      <c r="M34" s="160">
        <v>2.7266215710395725E-2</v>
      </c>
      <c r="N34" s="140"/>
      <c r="O34" s="131">
        <v>175</v>
      </c>
      <c r="P34" s="138">
        <v>93.358234152301591</v>
      </c>
      <c r="Q34" s="139">
        <v>93.223174361873902</v>
      </c>
      <c r="R34" s="139">
        <v>93.08098360766779</v>
      </c>
      <c r="S34" s="138">
        <v>92.931081821683378</v>
      </c>
      <c r="T34" s="138">
        <v>92.772824268354483</v>
      </c>
      <c r="U34" s="138">
        <v>92.605492274542058</v>
      </c>
      <c r="V34" s="138">
        <v>92.428282317849551</v>
      </c>
      <c r="W34" s="138">
        <v>92.240293123755109</v>
      </c>
      <c r="X34" s="138">
        <v>92.040510334349705</v>
      </c>
    </row>
    <row r="35" spans="1:24" x14ac:dyDescent="0.3">
      <c r="A35" s="142">
        <v>14.5</v>
      </c>
      <c r="B35" s="142">
        <v>199.85616730113168</v>
      </c>
      <c r="C35" s="142">
        <v>851.7448544904496</v>
      </c>
      <c r="D35" s="142">
        <v>2791.9745161670166</v>
      </c>
      <c r="E35" s="142">
        <v>864.83537548287859</v>
      </c>
      <c r="F35" s="142">
        <v>7.8374059447076148</v>
      </c>
      <c r="G35" s="140"/>
      <c r="H35" s="160">
        <v>29</v>
      </c>
      <c r="I35" s="160">
        <v>4.008916934743479E-2</v>
      </c>
      <c r="J35" s="160">
        <v>121.5645090436369</v>
      </c>
      <c r="K35" s="160">
        <v>2553.7787709345234</v>
      </c>
      <c r="L35" s="160">
        <v>995.90587380656211</v>
      </c>
      <c r="M35" s="160">
        <v>2.8802331946102169E-2</v>
      </c>
      <c r="N35" s="140"/>
      <c r="O35" s="131">
        <v>180</v>
      </c>
      <c r="P35" s="138">
        <v>93.143983641085512</v>
      </c>
      <c r="Q35" s="138">
        <v>93.004567083224657</v>
      </c>
      <c r="R35" s="138">
        <v>92.857789530495793</v>
      </c>
      <c r="S35" s="138">
        <v>92.703052203027994</v>
      </c>
      <c r="T35" s="138">
        <v>92.539689567333653</v>
      </c>
      <c r="U35" s="138">
        <v>92.366959767269208</v>
      </c>
      <c r="V35" s="138">
        <v>92.184033360360814</v>
      </c>
      <c r="W35" s="138">
        <v>91.989979998714958</v>
      </c>
      <c r="X35" s="138">
        <v>91.783752603199687</v>
      </c>
    </row>
    <row r="36" spans="1:24" x14ac:dyDescent="0.3">
      <c r="A36" s="142">
        <v>15</v>
      </c>
      <c r="B36" s="142">
        <v>201.3783080151527</v>
      </c>
      <c r="C36" s="142">
        <v>858.6100728411202</v>
      </c>
      <c r="D36" s="142">
        <v>2792.8803636124567</v>
      </c>
      <c r="E36" s="142">
        <v>863.05357828184924</v>
      </c>
      <c r="F36" s="142">
        <v>8.0819781970263378</v>
      </c>
      <c r="G36" s="140"/>
      <c r="H36" s="160">
        <v>30</v>
      </c>
      <c r="I36" s="160">
        <v>4.2466883405480646E-2</v>
      </c>
      <c r="J36" s="160">
        <v>125.74516193807432</v>
      </c>
      <c r="K36" s="160">
        <v>2555.5837279712018</v>
      </c>
      <c r="L36" s="160">
        <v>995.60888321878986</v>
      </c>
      <c r="M36" s="160">
        <v>3.0412156642697436E-2</v>
      </c>
      <c r="N36" s="140"/>
      <c r="O36" s="131">
        <v>185</v>
      </c>
      <c r="P36" s="138">
        <v>92.929733129869447</v>
      </c>
      <c r="Q36" s="138">
        <v>92.785959804575441</v>
      </c>
      <c r="R36" s="138">
        <v>92.634595453323797</v>
      </c>
      <c r="S36" s="138">
        <v>92.475022584372638</v>
      </c>
      <c r="T36" s="138">
        <v>92.306554866312837</v>
      </c>
      <c r="U36" s="138">
        <v>92.128427259996386</v>
      </c>
      <c r="V36" s="138">
        <v>91.939784402872078</v>
      </c>
      <c r="W36" s="138">
        <v>91.739666873674807</v>
      </c>
      <c r="X36" s="138">
        <v>91.526994872049684</v>
      </c>
    </row>
    <row r="37" spans="1:24" x14ac:dyDescent="0.3">
      <c r="A37" s="142">
        <v>15.5</v>
      </c>
      <c r="B37" s="142">
        <v>202.86382277004418</v>
      </c>
      <c r="C37" s="142">
        <v>865.32164628055477</v>
      </c>
      <c r="D37" s="142">
        <v>2793.7314437319405</v>
      </c>
      <c r="E37" s="142">
        <v>861.30285237969929</v>
      </c>
      <c r="F37" s="142">
        <v>8.3266143956412453</v>
      </c>
      <c r="G37" s="140"/>
      <c r="H37" s="160">
        <v>31</v>
      </c>
      <c r="I37" s="160">
        <v>4.4966263930941754E-2</v>
      </c>
      <c r="J37" s="160">
        <v>129.92553194250505</v>
      </c>
      <c r="K37" s="160">
        <v>2557.3871334410073</v>
      </c>
      <c r="L37" s="160">
        <v>995.30320161131795</v>
      </c>
      <c r="M37" s="160">
        <v>3.2098558931949336E-2</v>
      </c>
      <c r="N37" s="140"/>
      <c r="O37" s="131">
        <v>190</v>
      </c>
      <c r="P37" s="138">
        <v>92.715482618653368</v>
      </c>
      <c r="Q37" s="138">
        <v>92.567352525926196</v>
      </c>
      <c r="R37" s="138">
        <v>92.411401376151773</v>
      </c>
      <c r="S37" s="138">
        <v>92.246992965717254</v>
      </c>
      <c r="T37" s="138">
        <v>92.073420165292021</v>
      </c>
      <c r="U37" s="138">
        <v>91.889894752723549</v>
      </c>
      <c r="V37" s="138">
        <v>91.695535445383371</v>
      </c>
      <c r="W37" s="138">
        <v>91.489353748634628</v>
      </c>
      <c r="X37" s="138">
        <v>91.270237140899681</v>
      </c>
    </row>
    <row r="38" spans="1:24" x14ac:dyDescent="0.3">
      <c r="A38" s="142">
        <v>16</v>
      </c>
      <c r="B38" s="142">
        <v>204.31468753689563</v>
      </c>
      <c r="C38" s="142">
        <v>871.8878879468291</v>
      </c>
      <c r="D38" s="142">
        <v>2794.530828546584</v>
      </c>
      <c r="E38" s="142">
        <v>859.5816029660316</v>
      </c>
      <c r="F38" s="142">
        <v>8.5713308442507774</v>
      </c>
      <c r="G38" s="140"/>
      <c r="H38" s="160">
        <v>32</v>
      </c>
      <c r="I38" s="160">
        <v>4.7592471192971678E-2</v>
      </c>
      <c r="J38" s="160">
        <v>134.10565079884012</v>
      </c>
      <c r="K38" s="160">
        <v>2559.188954873438</v>
      </c>
      <c r="L38" s="160">
        <v>994.9889733478617</v>
      </c>
      <c r="M38" s="160">
        <v>3.3864490117310624E-2</v>
      </c>
      <c r="N38" s="140"/>
      <c r="O38" s="131">
        <v>195</v>
      </c>
      <c r="P38" s="138">
        <v>92.501232107437289</v>
      </c>
      <c r="Q38" s="138">
        <v>92.34874524727698</v>
      </c>
      <c r="R38" s="138">
        <v>92.188207298979776</v>
      </c>
      <c r="S38" s="138">
        <v>92.018963347061856</v>
      </c>
      <c r="T38" s="138">
        <v>91.84028546427119</v>
      </c>
      <c r="U38" s="138">
        <v>91.651362245450699</v>
      </c>
      <c r="V38" s="138">
        <v>91.451286487894649</v>
      </c>
      <c r="W38" s="138">
        <v>91.239040623594448</v>
      </c>
      <c r="X38" s="138">
        <v>91.013479409749664</v>
      </c>
    </row>
    <row r="39" spans="1:24" x14ac:dyDescent="0.3">
      <c r="A39" s="142">
        <v>16.5</v>
      </c>
      <c r="B39" s="142">
        <v>205.73271669632101</v>
      </c>
      <c r="C39" s="142">
        <v>878.3164323359191</v>
      </c>
      <c r="D39" s="142">
        <v>2795.2813302649893</v>
      </c>
      <c r="E39" s="142">
        <v>857.88835982123896</v>
      </c>
      <c r="F39" s="142">
        <v>8.8161429318610516</v>
      </c>
      <c r="G39" s="140"/>
      <c r="H39" s="160">
        <v>33</v>
      </c>
      <c r="I39" s="160">
        <v>5.0350833756500686E-2</v>
      </c>
      <c r="J39" s="160">
        <v>138.28554911597695</v>
      </c>
      <c r="K39" s="160">
        <v>2560.9891592559275</v>
      </c>
      <c r="L39" s="160">
        <v>994.66633745263323</v>
      </c>
      <c r="M39" s="160">
        <v>3.5712984966339033E-2</v>
      </c>
      <c r="N39" s="140"/>
      <c r="O39" s="131">
        <v>200</v>
      </c>
      <c r="P39" s="138">
        <v>92.286981596221196</v>
      </c>
      <c r="Q39" s="138">
        <v>92.13013796862775</v>
      </c>
      <c r="R39" s="138">
        <v>91.965013221807766</v>
      </c>
      <c r="S39" s="138">
        <v>91.790933728406486</v>
      </c>
      <c r="T39" s="138">
        <v>91.607150763250374</v>
      </c>
      <c r="U39" s="138">
        <v>91.412829738177862</v>
      </c>
      <c r="V39" s="138">
        <v>91.207037530405913</v>
      </c>
      <c r="W39" s="138">
        <v>90.988727498554297</v>
      </c>
      <c r="X39" s="138">
        <v>90.756721678599646</v>
      </c>
    </row>
    <row r="40" spans="1:24" x14ac:dyDescent="0.3">
      <c r="A40" s="142">
        <v>17</v>
      </c>
      <c r="B40" s="142">
        <v>207.11958047187682</v>
      </c>
      <c r="C40" s="142">
        <v>884.61430843709422</v>
      </c>
      <c r="D40" s="142">
        <v>2795.9855299404394</v>
      </c>
      <c r="E40" s="142">
        <v>856.22176432339415</v>
      </c>
      <c r="F40" s="142">
        <v>9.0610652159746259</v>
      </c>
      <c r="G40" s="140"/>
      <c r="H40" s="160">
        <v>34</v>
      </c>
      <c r="I40" s="160">
        <v>5.3246851966572549E-2</v>
      </c>
      <c r="J40" s="160">
        <v>142.46525649397566</v>
      </c>
      <c r="K40" s="160">
        <v>2562.7877130134398</v>
      </c>
      <c r="L40" s="160">
        <v>994.33542788675197</v>
      </c>
      <c r="M40" s="160">
        <v>3.7647162994512873E-2</v>
      </c>
      <c r="N40" s="140"/>
      <c r="O40" s="131">
        <v>205</v>
      </c>
      <c r="P40" s="138">
        <v>91.994804647887335</v>
      </c>
      <c r="Q40" s="138">
        <v>91.832496819758035</v>
      </c>
      <c r="R40" s="138">
        <v>91.661619368177924</v>
      </c>
      <c r="S40" s="138">
        <v>91.481475197397458</v>
      </c>
      <c r="T40" s="138">
        <v>91.291289497526989</v>
      </c>
      <c r="U40" s="138">
        <v>91.090198604321486</v>
      </c>
      <c r="V40" s="138">
        <v>90.877236886081945</v>
      </c>
      <c r="W40" s="138">
        <v>90.651321237655353</v>
      </c>
      <c r="X40" s="138">
        <v>90.411232656116198</v>
      </c>
    </row>
    <row r="41" spans="1:24" x14ac:dyDescent="0.3">
      <c r="A41" s="142">
        <v>17.5</v>
      </c>
      <c r="B41" s="142">
        <v>208.4768200532842</v>
      </c>
      <c r="C41" s="142">
        <v>890.78800318530398</v>
      </c>
      <c r="D41" s="142">
        <v>2796.6458022663328</v>
      </c>
      <c r="E41" s="142">
        <v>854.58055812973259</v>
      </c>
      <c r="F41" s="142">
        <v>9.3061114962352729</v>
      </c>
      <c r="G41" s="140"/>
      <c r="H41" s="160">
        <v>35</v>
      </c>
      <c r="I41" s="160">
        <v>5.628620144121381E-2</v>
      </c>
      <c r="J41" s="160">
        <v>146.64480163534043</v>
      </c>
      <c r="K41" s="160">
        <v>2564.5845819893188</v>
      </c>
      <c r="L41" s="160">
        <v>993.99637380640195</v>
      </c>
      <c r="M41" s="160">
        <v>3.9670229739882372E-2</v>
      </c>
      <c r="N41" s="140"/>
      <c r="O41" s="131">
        <v>210</v>
      </c>
      <c r="P41" s="138">
        <v>91.778448016749167</v>
      </c>
      <c r="Q41" s="138">
        <v>91.611753490562279</v>
      </c>
      <c r="R41" s="138">
        <v>91.436257729480019</v>
      </c>
      <c r="S41" s="138">
        <v>91.251244797327118</v>
      </c>
      <c r="T41" s="138">
        <v>91.055918943406098</v>
      </c>
      <c r="U41" s="138">
        <v>90.849393161195025</v>
      </c>
      <c r="V41" s="138">
        <v>90.630675720840912</v>
      </c>
      <c r="W41" s="138">
        <v>90.398654244078472</v>
      </c>
      <c r="X41" s="138">
        <v>90.152076781957177</v>
      </c>
    </row>
    <row r="42" spans="1:24" x14ac:dyDescent="0.3">
      <c r="A42" s="142">
        <v>18</v>
      </c>
      <c r="B42" s="142">
        <v>209.80586076938266</v>
      </c>
      <c r="C42" s="142">
        <v>896.84351673811068</v>
      </c>
      <c r="D42" s="142">
        <v>2797.26433711954</v>
      </c>
      <c r="E42" s="142">
        <v>852.96357327785415</v>
      </c>
      <c r="F42" s="142">
        <v>9.5512948798488235</v>
      </c>
      <c r="G42" s="140"/>
      <c r="H42" s="160">
        <v>36</v>
      </c>
      <c r="I42" s="160">
        <v>5.9474736571187417E-2</v>
      </c>
      <c r="J42" s="160">
        <v>150.82421244465485</v>
      </c>
      <c r="K42" s="160">
        <v>2566.3797314274416</v>
      </c>
      <c r="L42" s="160">
        <v>993.64929980408033</v>
      </c>
      <c r="M42" s="160">
        <v>4.1785478028021336E-2</v>
      </c>
      <c r="N42" s="140"/>
      <c r="O42" s="131">
        <v>215</v>
      </c>
      <c r="P42" s="138">
        <v>91.562091385610969</v>
      </c>
      <c r="Q42" s="138">
        <v>91.391010161366552</v>
      </c>
      <c r="R42" s="138">
        <v>91.210896090782128</v>
      </c>
      <c r="S42" s="138">
        <v>91.021014397256778</v>
      </c>
      <c r="T42" s="138">
        <v>90.820548389285193</v>
      </c>
      <c r="U42" s="138">
        <v>90.608587718068577</v>
      </c>
      <c r="V42" s="138">
        <v>90.384114555599865</v>
      </c>
      <c r="W42" s="138">
        <v>90.145987250501591</v>
      </c>
      <c r="X42" s="138">
        <v>89.892920907798128</v>
      </c>
    </row>
    <row r="43" spans="1:24" x14ac:dyDescent="0.3">
      <c r="A43" s="142">
        <v>18.5</v>
      </c>
      <c r="B43" s="142">
        <v>211.10802360673142</v>
      </c>
      <c r="C43" s="142">
        <v>902.78641081678643</v>
      </c>
      <c r="D43" s="142">
        <v>2797.8431583517781</v>
      </c>
      <c r="E43" s="142">
        <v>851.36972349620373</v>
      </c>
      <c r="F43" s="142">
        <v>9.7966278398882256</v>
      </c>
      <c r="G43" s="140"/>
      <c r="H43" s="160">
        <v>37</v>
      </c>
      <c r="I43" s="160">
        <v>6.2818494024968627E-2</v>
      </c>
      <c r="J43" s="160">
        <v>155.00351611770509</v>
      </c>
      <c r="K43" s="160">
        <v>2568.173125955655</v>
      </c>
      <c r="L43" s="160">
        <v>993.29432613418317</v>
      </c>
      <c r="M43" s="160">
        <v>4.3996289226759432E-2</v>
      </c>
      <c r="N43" s="140"/>
      <c r="O43" s="131">
        <v>220</v>
      </c>
      <c r="P43" s="138">
        <v>91.345734754472787</v>
      </c>
      <c r="Q43" s="138">
        <v>91.170266832170825</v>
      </c>
      <c r="R43" s="138">
        <v>90.985534452084238</v>
      </c>
      <c r="S43" s="138">
        <v>90.790783997186438</v>
      </c>
      <c r="T43" s="138">
        <v>90.585177835164316</v>
      </c>
      <c r="U43" s="138">
        <v>90.367782274942144</v>
      </c>
      <c r="V43" s="138">
        <v>90.137553390358846</v>
      </c>
      <c r="W43" s="138">
        <v>89.89332025692471</v>
      </c>
      <c r="X43" s="138">
        <v>89.633765033639122</v>
      </c>
    </row>
    <row r="44" spans="1:24" x14ac:dyDescent="0.3">
      <c r="A44" s="142">
        <v>19</v>
      </c>
      <c r="B44" s="142">
        <v>212.38453531849029</v>
      </c>
      <c r="C44" s="142">
        <v>908.62185113645603</v>
      </c>
      <c r="D44" s="142">
        <v>2798.3841402415142</v>
      </c>
      <c r="E44" s="142">
        <v>849.79799654911369</v>
      </c>
      <c r="F44" s="142">
        <v>10.042122267417218</v>
      </c>
      <c r="G44" s="140"/>
      <c r="H44" s="160">
        <v>38</v>
      </c>
      <c r="I44" s="160">
        <v>6.6323696257288095E-2</v>
      </c>
      <c r="J44" s="160">
        <v>159.1827392211238</v>
      </c>
      <c r="K44" s="160">
        <v>2569.964729570544</v>
      </c>
      <c r="L44" s="160">
        <v>992.93156892406682</v>
      </c>
      <c r="M44" s="160">
        <v>4.6306134490204723E-2</v>
      </c>
      <c r="N44" s="140"/>
      <c r="O44" s="131">
        <v>225</v>
      </c>
      <c r="P44" s="138">
        <v>91.129378123334618</v>
      </c>
      <c r="Q44" s="138">
        <v>90.949523502975097</v>
      </c>
      <c r="R44" s="138">
        <v>90.760172813386347</v>
      </c>
      <c r="S44" s="138">
        <v>90.560553597116112</v>
      </c>
      <c r="T44" s="138">
        <v>90.349807281043397</v>
      </c>
      <c r="U44" s="138">
        <v>90.126976831815711</v>
      </c>
      <c r="V44" s="138">
        <v>89.890992225117827</v>
      </c>
      <c r="W44" s="138">
        <v>89.640653263347829</v>
      </c>
      <c r="X44" s="138">
        <v>89.374609159480102</v>
      </c>
    </row>
    <row r="45" spans="1:24" x14ac:dyDescent="0.3">
      <c r="A45" s="142">
        <v>19.5</v>
      </c>
      <c r="B45" s="142">
        <v>213.63653732684566</v>
      </c>
      <c r="C45" s="142">
        <v>914.35464477698508</v>
      </c>
      <c r="D45" s="142">
        <v>2798.8890219483646</v>
      </c>
      <c r="E45" s="142">
        <v>848.24744747066666</v>
      </c>
      <c r="F45" s="142">
        <v>10.287789518225159</v>
      </c>
      <c r="G45" s="140"/>
      <c r="H45" s="160">
        <v>39</v>
      </c>
      <c r="I45" s="160">
        <v>6.9996755019582899E-2</v>
      </c>
      <c r="J45" s="160">
        <v>163.36190776349164</v>
      </c>
      <c r="K45" s="160">
        <v>2571.7545056234762</v>
      </c>
      <c r="L45" s="160">
        <v>992.561140371649</v>
      </c>
      <c r="M45" s="160">
        <v>4.871857599158777E-2</v>
      </c>
      <c r="N45" s="140"/>
      <c r="O45" s="131">
        <v>230</v>
      </c>
      <c r="P45" s="138">
        <v>90.913021492196449</v>
      </c>
      <c r="Q45" s="138">
        <v>90.72878017377937</v>
      </c>
      <c r="R45" s="138">
        <v>90.534811174688457</v>
      </c>
      <c r="S45" s="138">
        <v>90.330323197045757</v>
      </c>
      <c r="T45" s="138">
        <v>90.114436726922534</v>
      </c>
      <c r="U45" s="138">
        <v>89.886171388689249</v>
      </c>
      <c r="V45" s="138">
        <v>89.644431059876794</v>
      </c>
      <c r="W45" s="138">
        <v>89.387986269770948</v>
      </c>
      <c r="X45" s="138">
        <v>89.115453285321095</v>
      </c>
    </row>
    <row r="46" spans="1:24" x14ac:dyDescent="0.3">
      <c r="A46" s="142">
        <v>20</v>
      </c>
      <c r="B46" s="142">
        <v>214.86509358874514</v>
      </c>
      <c r="C46" s="142">
        <v>919.98927320599682</v>
      </c>
      <c r="D46" s="142">
        <v>2799.3594202549634</v>
      </c>
      <c r="E46" s="142">
        <v>846.71719256516451</v>
      </c>
      <c r="F46" s="142">
        <v>10.533640454846788</v>
      </c>
      <c r="G46" s="140"/>
      <c r="H46" s="160">
        <v>40</v>
      </c>
      <c r="I46" s="160">
        <v>7.3844274870695295E-2</v>
      </c>
      <c r="J46" s="160">
        <v>167.5410472587302</v>
      </c>
      <c r="K46" s="160">
        <v>2573.5424168079489</v>
      </c>
      <c r="L46" s="160">
        <v>992.18314893051854</v>
      </c>
      <c r="M46" s="160">
        <v>5.1237268144480624E-2</v>
      </c>
      <c r="N46" s="140"/>
      <c r="O46" s="131">
        <v>235</v>
      </c>
      <c r="P46" s="138">
        <v>90.696664861058252</v>
      </c>
      <c r="Q46" s="138">
        <v>90.508036844583643</v>
      </c>
      <c r="R46" s="138">
        <v>90.309449535990552</v>
      </c>
      <c r="S46" s="138">
        <v>90.100092796975417</v>
      </c>
      <c r="T46" s="138">
        <v>89.879066172801615</v>
      </c>
      <c r="U46" s="138">
        <v>89.645365945562801</v>
      </c>
      <c r="V46" s="138">
        <v>89.397869894635775</v>
      </c>
      <c r="W46" s="138">
        <v>89.135319276194053</v>
      </c>
      <c r="X46" s="138">
        <v>88.856297411162075</v>
      </c>
    </row>
    <row r="47" spans="1:24" x14ac:dyDescent="0.3">
      <c r="A47" s="140"/>
      <c r="B47" s="140"/>
      <c r="C47" s="140"/>
      <c r="D47" s="140"/>
      <c r="E47" s="140"/>
      <c r="F47" s="140"/>
      <c r="G47" s="140"/>
      <c r="H47" s="160">
        <v>41</v>
      </c>
      <c r="I47" s="160">
        <v>7.787305668616859E-2</v>
      </c>
      <c r="J47" s="160">
        <v>171.7201827826056</v>
      </c>
      <c r="K47" s="160">
        <v>2575.3284251481987</v>
      </c>
      <c r="L47" s="160">
        <v>991.79769948344642</v>
      </c>
      <c r="M47" s="160">
        <v>5.3865958811974611E-2</v>
      </c>
      <c r="N47" s="140"/>
      <c r="O47" s="131">
        <v>240</v>
      </c>
      <c r="P47" s="138">
        <v>90.480308229920084</v>
      </c>
      <c r="Q47" s="138">
        <v>90.287293515387915</v>
      </c>
      <c r="R47" s="138">
        <v>90.084087897292676</v>
      </c>
      <c r="S47" s="138">
        <v>89.869862396905091</v>
      </c>
      <c r="T47" s="138">
        <v>89.643695618680724</v>
      </c>
      <c r="U47" s="138">
        <v>89.404560502436354</v>
      </c>
      <c r="V47" s="138">
        <v>89.151308729394728</v>
      </c>
      <c r="W47" s="138">
        <v>88.882652282617187</v>
      </c>
      <c r="X47" s="138">
        <v>88.59714153700304</v>
      </c>
    </row>
    <row r="48" spans="1:24" x14ac:dyDescent="0.3">
      <c r="A48" s="140"/>
      <c r="B48" s="140"/>
      <c r="C48" s="140"/>
      <c r="D48" s="140"/>
      <c r="E48" s="140"/>
      <c r="F48" s="140"/>
      <c r="G48" s="140"/>
      <c r="H48" s="160">
        <v>42</v>
      </c>
      <c r="I48" s="160">
        <v>8.2090101164486978E-2</v>
      </c>
      <c r="J48" s="160">
        <v>175.89933902295914</v>
      </c>
      <c r="K48" s="160">
        <v>2577.1124919890326</v>
      </c>
      <c r="L48" s="160">
        <v>991.4048935051386</v>
      </c>
      <c r="M48" s="160">
        <v>5.660849050342006E-2</v>
      </c>
      <c r="N48" s="140"/>
      <c r="O48" s="131">
        <v>245</v>
      </c>
      <c r="P48" s="138">
        <v>90.263951598781901</v>
      </c>
      <c r="Q48" s="138">
        <v>90.066550186192174</v>
      </c>
      <c r="R48" s="138">
        <v>89.858726258594743</v>
      </c>
      <c r="S48" s="138">
        <v>89.639631996834737</v>
      </c>
      <c r="T48" s="138">
        <v>89.408325064559833</v>
      </c>
      <c r="U48" s="138">
        <v>89.163755059309892</v>
      </c>
      <c r="V48" s="138">
        <v>88.904747564153695</v>
      </c>
      <c r="W48" s="138">
        <v>88.629985289040306</v>
      </c>
      <c r="X48" s="138">
        <v>88.337985662844005</v>
      </c>
    </row>
    <row r="49" spans="1:24" x14ac:dyDescent="0.3">
      <c r="A49" s="140"/>
      <c r="B49" s="140"/>
      <c r="C49" s="140"/>
      <c r="D49" s="140"/>
      <c r="E49" s="140"/>
      <c r="F49" s="140"/>
      <c r="G49" s="140"/>
      <c r="H49" s="160">
        <v>43</v>
      </c>
      <c r="I49" s="160">
        <v>8.650261232862326E-2</v>
      </c>
      <c r="J49" s="160">
        <v>180.07854032438891</v>
      </c>
      <c r="K49" s="160">
        <v>2578.8945779868668</v>
      </c>
      <c r="L49" s="160">
        <v>991.00482921497826</v>
      </c>
      <c r="M49" s="160">
        <v>5.9468801558365758E-2</v>
      </c>
      <c r="N49" s="140"/>
      <c r="O49" s="131">
        <v>250</v>
      </c>
      <c r="P49" s="138">
        <v>90.047594967643732</v>
      </c>
      <c r="Q49" s="138">
        <v>89.845806856996447</v>
      </c>
      <c r="R49" s="138">
        <v>89.633364619896867</v>
      </c>
      <c r="S49" s="138">
        <v>89.409401596764425</v>
      </c>
      <c r="T49" s="138">
        <v>89.172954510438942</v>
      </c>
      <c r="U49" s="138">
        <v>88.922949616183459</v>
      </c>
      <c r="V49" s="138">
        <v>88.658186398912676</v>
      </c>
      <c r="W49" s="138">
        <v>88.377318295463425</v>
      </c>
      <c r="X49" s="138">
        <v>88.078829788684999</v>
      </c>
    </row>
    <row r="50" spans="1:24" x14ac:dyDescent="0.3">
      <c r="A50" s="140"/>
      <c r="B50" s="140"/>
      <c r="C50" s="140"/>
      <c r="D50" s="140"/>
      <c r="E50" s="140"/>
      <c r="F50" s="140"/>
      <c r="G50" s="140"/>
      <c r="H50" s="160">
        <v>44</v>
      </c>
      <c r="I50" s="160">
        <v>9.1118001021253114E-2</v>
      </c>
      <c r="J50" s="160">
        <v>184.25781072788541</v>
      </c>
      <c r="K50" s="160">
        <v>2580.6746431018955</v>
      </c>
      <c r="L50" s="160">
        <v>990.59760172048095</v>
      </c>
      <c r="M50" s="160">
        <v>6.2450927317351662E-2</v>
      </c>
      <c r="N50" s="140"/>
      <c r="O50" s="131">
        <v>255</v>
      </c>
      <c r="P50" s="138">
        <v>89.83123833650555</v>
      </c>
      <c r="Q50" s="138">
        <v>89.625063527800719</v>
      </c>
      <c r="R50" s="138">
        <v>89.408002981198962</v>
      </c>
      <c r="S50" s="138">
        <v>89.179171196694071</v>
      </c>
      <c r="T50" s="138">
        <v>88.937583956318065</v>
      </c>
      <c r="U50" s="138">
        <v>88.682144173057011</v>
      </c>
      <c r="V50" s="138">
        <v>88.411625233671657</v>
      </c>
      <c r="W50" s="138">
        <v>88.124651301886558</v>
      </c>
      <c r="X50" s="138">
        <v>87.819673914525978</v>
      </c>
    </row>
    <row r="51" spans="1:24" x14ac:dyDescent="0.3">
      <c r="A51" s="140"/>
      <c r="B51" s="140"/>
      <c r="C51" s="140"/>
      <c r="D51" s="140"/>
      <c r="E51" s="140"/>
      <c r="F51" s="140"/>
      <c r="G51" s="140"/>
      <c r="H51" s="160">
        <v>45</v>
      </c>
      <c r="I51" s="160">
        <v>9.5943888392021823E-2</v>
      </c>
      <c r="J51" s="160">
        <v>188.43717400598536</v>
      </c>
      <c r="K51" s="160">
        <v>2582.4526465913777</v>
      </c>
      <c r="L51" s="160">
        <v>990.18330315209914</v>
      </c>
      <c r="M51" s="160">
        <v>6.5559001279248699E-2</v>
      </c>
      <c r="N51" s="140"/>
      <c r="O51" s="140"/>
      <c r="P51" s="140"/>
      <c r="Q51" s="140"/>
      <c r="R51" s="140"/>
      <c r="S51" s="140"/>
      <c r="T51" s="140"/>
      <c r="U51" s="140"/>
      <c r="V51" s="140"/>
      <c r="W51" s="140"/>
      <c r="X51" s="140"/>
    </row>
    <row r="52" spans="1:24" x14ac:dyDescent="0.3">
      <c r="A52" s="140"/>
      <c r="B52" s="140"/>
      <c r="C52" s="140"/>
      <c r="D52" s="140"/>
      <c r="E52" s="140"/>
      <c r="F52" s="140"/>
      <c r="G52" s="140"/>
      <c r="H52" s="160">
        <v>46</v>
      </c>
      <c r="I52" s="160">
        <v>0.10098810937524948</v>
      </c>
      <c r="J52" s="160">
        <v>192.61665369389112</v>
      </c>
      <c r="K52" s="160">
        <v>2584.2285470039355</v>
      </c>
      <c r="L52" s="160">
        <v>989.76202278998949</v>
      </c>
      <c r="M52" s="160">
        <v>6.8797256244857927E-2</v>
      </c>
      <c r="N52" s="140"/>
      <c r="O52" s="140"/>
      <c r="P52" s="140"/>
      <c r="Q52" s="140"/>
      <c r="R52" s="140"/>
      <c r="S52" s="140"/>
      <c r="T52" s="140"/>
      <c r="U52" s="140"/>
      <c r="V52" s="140"/>
      <c r="W52" s="140"/>
      <c r="X52" s="140"/>
    </row>
    <row r="53" spans="1:24" x14ac:dyDescent="0.3">
      <c r="A53" s="140"/>
      <c r="B53" s="140"/>
      <c r="C53" s="140"/>
      <c r="D53" s="140"/>
      <c r="E53" s="140"/>
      <c r="F53" s="140"/>
      <c r="G53" s="140"/>
      <c r="H53" s="160">
        <v>47</v>
      </c>
      <c r="I53" s="160">
        <v>0.10625871615647564</v>
      </c>
      <c r="J53" s="160">
        <v>196.79627311699051</v>
      </c>
      <c r="K53" s="160">
        <v>2586.0023021748575</v>
      </c>
      <c r="L53" s="160">
        <v>989.33384718328739</v>
      </c>
      <c r="M53" s="160">
        <v>7.217002544651091E-2</v>
      </c>
      <c r="N53" s="140"/>
      <c r="O53" s="140"/>
      <c r="P53" s="140"/>
      <c r="Q53" s="140"/>
      <c r="R53" s="140"/>
      <c r="S53" s="140"/>
      <c r="T53" s="140"/>
      <c r="U53" s="140"/>
      <c r="V53" s="140"/>
      <c r="W53" s="140"/>
      <c r="X53" s="140"/>
    </row>
    <row r="54" spans="1:24" x14ac:dyDescent="0.3">
      <c r="A54" s="140"/>
      <c r="B54" s="140"/>
      <c r="C54" s="140"/>
      <c r="D54" s="140"/>
      <c r="E54" s="140"/>
      <c r="F54" s="140"/>
      <c r="G54" s="140"/>
      <c r="H54" s="160">
        <v>48</v>
      </c>
      <c r="I54" s="160">
        <v>0.11176398162627306</v>
      </c>
      <c r="J54" s="160">
        <v>200.97605541516981</v>
      </c>
      <c r="K54" s="160">
        <v>2587.773869222292</v>
      </c>
      <c r="L54" s="160">
        <v>988.89886026241913</v>
      </c>
      <c r="M54" s="160">
        <v>7.5681743663450249E-2</v>
      </c>
      <c r="N54" s="140"/>
      <c r="O54" s="140"/>
      <c r="P54" s="140"/>
      <c r="Q54" s="140"/>
      <c r="R54" s="140"/>
      <c r="S54" s="140"/>
      <c r="T54" s="140"/>
      <c r="U54" s="140"/>
      <c r="V54" s="140"/>
      <c r="W54" s="140"/>
      <c r="X54" s="140"/>
    </row>
    <row r="55" spans="1:24" x14ac:dyDescent="0.3">
      <c r="A55" s="140"/>
      <c r="B55" s="140"/>
      <c r="C55" s="140"/>
      <c r="D55" s="140"/>
      <c r="E55" s="140"/>
      <c r="F55" s="140"/>
      <c r="G55" s="140"/>
      <c r="H55" s="160">
        <v>49</v>
      </c>
      <c r="I55" s="160">
        <v>0.11751240281975409</v>
      </c>
      <c r="J55" s="160">
        <v>205.15602356425063</v>
      </c>
      <c r="K55" s="160">
        <v>2589.5432045442931</v>
      </c>
      <c r="L55" s="160">
        <v>988.45714344491273</v>
      </c>
      <c r="M55" s="160">
        <v>7.9336948322782611E-2</v>
      </c>
      <c r="N55" s="140"/>
      <c r="O55" s="140"/>
      <c r="P55" s="140"/>
      <c r="Q55" s="140"/>
      <c r="R55" s="140"/>
      <c r="S55" s="140"/>
      <c r="T55" s="140"/>
      <c r="U55" s="140"/>
      <c r="V55" s="140"/>
      <c r="W55" s="140"/>
      <c r="X55" s="140"/>
    </row>
    <row r="56" spans="1:24" x14ac:dyDescent="0.3">
      <c r="A56" s="140"/>
      <c r="B56" s="140"/>
      <c r="C56" s="140"/>
      <c r="D56" s="140"/>
      <c r="E56" s="140"/>
      <c r="F56" s="140"/>
      <c r="G56" s="140"/>
      <c r="H56" s="160">
        <v>50</v>
      </c>
      <c r="I56" s="160">
        <v>0.12351270434023351</v>
      </c>
      <c r="J56" s="160">
        <v>209.3362003948904</v>
      </c>
      <c r="K56" s="160">
        <v>2591.3102638166342</v>
      </c>
      <c r="L56" s="160">
        <v>988.00877573515334</v>
      </c>
      <c r="M56" s="160">
        <v>8.314028058584047E-2</v>
      </c>
      <c r="N56" s="140"/>
      <c r="O56" s="140"/>
      <c r="P56" s="140"/>
      <c r="Q56" s="140"/>
      <c r="R56" s="140"/>
      <c r="S56" s="140"/>
      <c r="T56" s="140"/>
      <c r="U56" s="140"/>
      <c r="V56" s="140"/>
      <c r="W56" s="140"/>
      <c r="X56" s="140"/>
    </row>
    <row r="57" spans="1:24" x14ac:dyDescent="0.3">
      <c r="A57" s="140"/>
      <c r="B57" s="140"/>
      <c r="C57" s="140"/>
      <c r="D57" s="140"/>
      <c r="E57" s="140"/>
      <c r="F57" s="140"/>
      <c r="G57" s="140"/>
      <c r="H57" s="160">
        <v>51</v>
      </c>
      <c r="I57" s="160">
        <v>0.12977384176552548</v>
      </c>
      <c r="J57" s="160">
        <v>213.51660860920992</v>
      </c>
      <c r="K57" s="160">
        <v>2593.0750019913266</v>
      </c>
      <c r="L57" s="160">
        <v>987.55383381849401</v>
      </c>
      <c r="M57" s="160">
        <v>8.709648641981331E-2</v>
      </c>
      <c r="N57" s="140"/>
      <c r="O57" s="140"/>
      <c r="P57" s="140"/>
      <c r="Q57" s="140"/>
      <c r="R57" s="140"/>
      <c r="S57" s="140"/>
      <c r="T57" s="140"/>
      <c r="U57" s="140"/>
      <c r="V57" s="140"/>
      <c r="W57" s="140"/>
      <c r="X57" s="140"/>
    </row>
    <row r="58" spans="1:24" x14ac:dyDescent="0.3">
      <c r="A58" s="140"/>
      <c r="B58" s="140"/>
      <c r="C58" s="140"/>
      <c r="D58" s="140"/>
      <c r="E58" s="140"/>
      <c r="F58" s="140"/>
      <c r="G58" s="140"/>
      <c r="H58" s="160">
        <v>52</v>
      </c>
      <c r="I58" s="160">
        <v>0.13630500503536144</v>
      </c>
      <c r="J58" s="160">
        <v>217.69727079541417</v>
      </c>
      <c r="K58" s="160">
        <v>2594.837373295748</v>
      </c>
      <c r="L58" s="160">
        <v>987.09239215008949</v>
      </c>
      <c r="M58" s="160">
        <v>9.1210417654531001E-2</v>
      </c>
      <c r="N58" s="140"/>
      <c r="O58" s="140"/>
      <c r="P58" s="140"/>
      <c r="Q58" s="140"/>
      <c r="R58" s="140"/>
      <c r="S58" s="140"/>
      <c r="T58" s="140"/>
      <c r="U58" s="140"/>
      <c r="V58" s="140"/>
      <c r="W58" s="140"/>
      <c r="X58" s="140"/>
    </row>
    <row r="59" spans="1:24" x14ac:dyDescent="0.3">
      <c r="A59" s="140"/>
      <c r="B59" s="140"/>
      <c r="C59" s="140"/>
      <c r="D59" s="140"/>
      <c r="E59" s="140"/>
      <c r="F59" s="140"/>
      <c r="G59" s="140"/>
      <c r="H59" s="160">
        <v>53</v>
      </c>
      <c r="I59" s="160">
        <v>0.14311562181846194</v>
      </c>
      <c r="J59" s="160">
        <v>221.87820944064944</v>
      </c>
      <c r="K59" s="160">
        <v>2596.5973312323481</v>
      </c>
      <c r="L59" s="160">
        <v>986.62452303881878</v>
      </c>
      <c r="M59" s="160">
        <v>9.5487033024326526E-2</v>
      </c>
      <c r="N59" s="140"/>
      <c r="O59" s="140"/>
      <c r="P59" s="140"/>
      <c r="Q59" s="140"/>
      <c r="R59" s="140"/>
      <c r="S59" s="140"/>
      <c r="T59" s="140"/>
      <c r="U59" s="140"/>
      <c r="V59" s="140"/>
      <c r="W59" s="140"/>
      <c r="X59" s="140"/>
    </row>
    <row r="60" spans="1:24" x14ac:dyDescent="0.3">
      <c r="A60" s="140"/>
      <c r="B60" s="140"/>
      <c r="C60" s="140"/>
      <c r="D60" s="140"/>
      <c r="E60" s="140"/>
      <c r="F60" s="140"/>
      <c r="G60" s="140"/>
      <c r="H60" s="160">
        <v>54</v>
      </c>
      <c r="I60" s="160">
        <v>0.15021536085779352</v>
      </c>
      <c r="J60" s="160">
        <v>226.05944694228037</v>
      </c>
      <c r="K60" s="160">
        <v>2598.3548285788052</v>
      </c>
      <c r="L60" s="160">
        <v>986.15029672659864</v>
      </c>
      <c r="M60" s="160">
        <v>9.9931399194918252E-2</v>
      </c>
      <c r="N60" s="140"/>
      <c r="O60" s="140"/>
      <c r="P60" s="140"/>
      <c r="Q60" s="140"/>
      <c r="R60" s="140"/>
      <c r="S60" s="140"/>
      <c r="T60" s="140"/>
      <c r="U60" s="140"/>
      <c r="V60" s="140"/>
      <c r="W60" s="140"/>
      <c r="X60" s="140"/>
    </row>
    <row r="61" spans="1:24" x14ac:dyDescent="0.3">
      <c r="A61" s="140"/>
      <c r="B61" s="140"/>
      <c r="C61" s="140"/>
      <c r="D61" s="140"/>
      <c r="E61" s="140"/>
      <c r="F61" s="140"/>
      <c r="G61" s="140"/>
      <c r="H61" s="160">
        <v>55</v>
      </c>
      <c r="I61" s="160">
        <v>0.15761413529259502</v>
      </c>
      <c r="J61" s="160">
        <v>230.24100561780344</v>
      </c>
      <c r="K61" s="160">
        <v>2600.1098173886057</v>
      </c>
      <c r="L61" s="160">
        <v>985.66978146340728</v>
      </c>
      <c r="M61" s="160">
        <v>0.10454869177529885</v>
      </c>
      <c r="N61" s="140"/>
      <c r="O61" s="140"/>
      <c r="P61" s="140"/>
      <c r="Q61" s="140"/>
      <c r="R61" s="140"/>
      <c r="S61" s="140"/>
      <c r="T61" s="140"/>
      <c r="U61" s="140"/>
      <c r="V61" s="140"/>
      <c r="W61" s="140"/>
      <c r="X61" s="140"/>
    </row>
    <row r="62" spans="1:24" x14ac:dyDescent="0.3">
      <c r="A62" s="140"/>
      <c r="B62" s="140"/>
      <c r="C62" s="140"/>
      <c r="D62" s="140"/>
      <c r="E62" s="140"/>
      <c r="F62" s="140"/>
      <c r="G62" s="140"/>
      <c r="H62" s="160">
        <v>56</v>
      </c>
      <c r="I62" s="160">
        <v>0.16532210595575175</v>
      </c>
      <c r="J62" s="160">
        <v>234.4229077135457</v>
      </c>
      <c r="K62" s="160">
        <v>2601.8622489919612</v>
      </c>
      <c r="L62" s="160">
        <v>985.18304357828208</v>
      </c>
      <c r="M62" s="160">
        <v>0.10934419631462762</v>
      </c>
      <c r="N62" s="140"/>
      <c r="O62" s="140"/>
      <c r="P62" s="140"/>
      <c r="Q62" s="140"/>
      <c r="R62" s="140"/>
      <c r="S62" s="140"/>
      <c r="T62" s="140"/>
      <c r="U62" s="140"/>
      <c r="V62" s="140"/>
      <c r="W62" s="140"/>
      <c r="X62" s="140"/>
    </row>
    <row r="63" spans="1:24" x14ac:dyDescent="0.3">
      <c r="A63" s="140"/>
      <c r="B63" s="140"/>
      <c r="C63" s="140"/>
      <c r="D63" s="140"/>
      <c r="E63" s="140"/>
      <c r="F63" s="140"/>
      <c r="G63" s="140"/>
      <c r="H63" s="160">
        <v>57</v>
      </c>
      <c r="I63" s="160">
        <v>0.17334968464515949</v>
      </c>
      <c r="J63" s="160">
        <v>238.60517541232028</v>
      </c>
      <c r="K63" s="160">
        <v>2603.6120739969879</v>
      </c>
      <c r="L63" s="160">
        <v>984.69014754656541</v>
      </c>
      <c r="M63" s="160">
        <v>0.11432330928417457</v>
      </c>
      <c r="N63" s="140"/>
      <c r="O63" s="140"/>
      <c r="P63" s="140"/>
      <c r="Q63" s="140"/>
      <c r="R63" s="140"/>
      <c r="S63" s="140"/>
      <c r="T63" s="140"/>
      <c r="U63" s="140"/>
      <c r="V63" s="140"/>
      <c r="W63" s="140"/>
      <c r="X63" s="140"/>
    </row>
    <row r="64" spans="1:24" x14ac:dyDescent="0.3">
      <c r="A64" s="140"/>
      <c r="B64" s="140"/>
      <c r="C64" s="140"/>
      <c r="D64" s="140"/>
      <c r="E64" s="140"/>
      <c r="F64" s="140"/>
      <c r="G64" s="140"/>
      <c r="H64" s="160">
        <v>58</v>
      </c>
      <c r="I64" s="160">
        <v>0.18170753736771617</v>
      </c>
      <c r="J64" s="160">
        <v>242.78783084015166</v>
      </c>
      <c r="K64" s="160">
        <v>2605.3592422910965</v>
      </c>
      <c r="L64" s="160">
        <v>984.19115605361503</v>
      </c>
      <c r="M64" s="160">
        <v>0.11949153904437304</v>
      </c>
      <c r="N64" s="140"/>
      <c r="O64" s="140"/>
      <c r="P64" s="140"/>
      <c r="Q64" s="140"/>
      <c r="R64" s="140"/>
      <c r="S64" s="140"/>
      <c r="T64" s="140"/>
      <c r="U64" s="140"/>
      <c r="V64" s="140"/>
      <c r="W64" s="140"/>
      <c r="X64" s="140"/>
    </row>
    <row r="65" spans="1:24" x14ac:dyDescent="0.3">
      <c r="A65" s="140"/>
      <c r="B65" s="140"/>
      <c r="C65" s="140"/>
      <c r="D65" s="140"/>
      <c r="E65" s="140"/>
      <c r="F65" s="140"/>
      <c r="G65" s="140"/>
      <c r="H65" s="160">
        <v>59</v>
      </c>
      <c r="I65" s="160">
        <v>0.19040658755463555</v>
      </c>
      <c r="J65" s="160">
        <v>246.97089607222125</v>
      </c>
      <c r="K65" s="160">
        <v>2607.1037030425355</v>
      </c>
      <c r="L65" s="160">
        <v>983.68613005522968</v>
      </c>
      <c r="M65" s="160">
        <v>0.1248545067970839</v>
      </c>
      <c r="N65" s="140"/>
      <c r="O65" s="140"/>
      <c r="P65" s="140"/>
      <c r="Q65" s="140"/>
      <c r="R65" s="140"/>
      <c r="S65" s="140"/>
      <c r="T65" s="140"/>
      <c r="U65" s="140"/>
      <c r="V65" s="140"/>
      <c r="W65" s="140"/>
      <c r="X65" s="140"/>
    </row>
    <row r="66" spans="1:24" x14ac:dyDescent="0.3">
      <c r="A66" s="140"/>
      <c r="B66" s="140"/>
      <c r="C66" s="140"/>
      <c r="D66" s="140"/>
      <c r="E66" s="140"/>
      <c r="F66" s="140"/>
      <c r="G66" s="140"/>
      <c r="H66" s="160">
        <v>60</v>
      </c>
      <c r="I66" s="160">
        <v>0.19945801924678747</v>
      </c>
      <c r="J66" s="160">
        <v>251.15439313812058</v>
      </c>
      <c r="K66" s="160">
        <v>2608.8454047020091</v>
      </c>
      <c r="L66" s="160">
        <v>983.17512883497045</v>
      </c>
      <c r="M66" s="160">
        <v>0.13041794752318994</v>
      </c>
      <c r="N66" s="140"/>
      <c r="O66" s="140"/>
      <c r="P66" s="140"/>
      <c r="Q66" s="140"/>
      <c r="R66" s="140"/>
      <c r="S66" s="140"/>
      <c r="T66" s="140"/>
      <c r="U66" s="140"/>
      <c r="V66" s="140"/>
      <c r="W66" s="140"/>
      <c r="X66" s="140"/>
    </row>
    <row r="67" spans="1:24" x14ac:dyDescent="0.3">
      <c r="A67" s="140"/>
      <c r="B67" s="140"/>
      <c r="C67" s="140"/>
      <c r="D67" s="140"/>
      <c r="E67" s="140"/>
      <c r="F67" s="140"/>
      <c r="G67" s="140"/>
      <c r="H67" s="160">
        <v>61</v>
      </c>
      <c r="I67" s="160">
        <v>0.20887328024880764</v>
      </c>
      <c r="J67" s="160">
        <v>255.33834402652465</v>
      </c>
      <c r="K67" s="160">
        <v>2610.5842950043534</v>
      </c>
      <c r="L67" s="160">
        <v>982.65821005858595</v>
      </c>
      <c r="M67" s="160">
        <v>0.136187710905672</v>
      </c>
      <c r="N67" s="140"/>
      <c r="O67" s="140"/>
      <c r="P67" s="140"/>
      <c r="Q67" s="140"/>
      <c r="R67" s="140"/>
      <c r="S67" s="140"/>
      <c r="T67" s="140"/>
      <c r="U67" s="140"/>
      <c r="V67" s="140"/>
      <c r="W67" s="140"/>
      <c r="X67" s="140"/>
    </row>
    <row r="68" spans="1:24" x14ac:dyDescent="0.3">
      <c r="A68" s="140"/>
      <c r="B68" s="140"/>
      <c r="C68" s="140"/>
      <c r="D68" s="140"/>
      <c r="E68" s="140"/>
      <c r="F68" s="140"/>
      <c r="G68" s="140"/>
      <c r="H68" s="160">
        <v>62</v>
      </c>
      <c r="I68" s="160">
        <v>0.21866408525076719</v>
      </c>
      <c r="J68" s="160">
        <v>259.52277068936928</v>
      </c>
      <c r="K68" s="160">
        <v>2612.3203209701965</v>
      </c>
      <c r="L68" s="160">
        <v>982.13542982571471</v>
      </c>
      <c r="M68" s="160">
        <v>0.14216976223835531</v>
      </c>
      <c r="N68" s="140"/>
      <c r="O68" s="140"/>
      <c r="P68" s="140"/>
      <c r="Q68" s="140"/>
      <c r="R68" s="140"/>
      <c r="S68" s="140"/>
      <c r="T68" s="140"/>
      <c r="U68" s="140"/>
      <c r="V68" s="140"/>
      <c r="W68" s="140"/>
      <c r="X68" s="140"/>
    </row>
    <row r="69" spans="1:24" x14ac:dyDescent="0.3">
      <c r="A69" s="140"/>
      <c r="B69" s="140"/>
      <c r="C69" s="140"/>
      <c r="D69" s="140"/>
      <c r="E69" s="140"/>
      <c r="F69" s="140"/>
      <c r="G69" s="140"/>
      <c r="H69" s="160">
        <v>63</v>
      </c>
      <c r="I69" s="160">
        <v>0.2288424189161975</v>
      </c>
      <c r="J69" s="160">
        <v>263.70769504560826</v>
      </c>
      <c r="K69" s="160">
        <v>2614.053428907579</v>
      </c>
      <c r="L69" s="160">
        <v>981.60684271903017</v>
      </c>
      <c r="M69" s="160">
        <v>0.14837018332052529</v>
      </c>
      <c r="N69" s="140"/>
      <c r="O69" s="140"/>
      <c r="P69" s="140"/>
      <c r="Q69" s="140"/>
      <c r="R69" s="140"/>
      <c r="S69" s="140"/>
      <c r="T69" s="140"/>
      <c r="U69" s="140"/>
      <c r="V69" s="140"/>
      <c r="W69" s="140"/>
      <c r="X69" s="140"/>
    </row>
    <row r="70" spans="1:24" x14ac:dyDescent="0.3">
      <c r="A70" s="140"/>
      <c r="B70" s="140"/>
      <c r="C70" s="140"/>
      <c r="D70" s="140"/>
      <c r="E70" s="140"/>
      <c r="F70" s="140"/>
      <c r="G70" s="140"/>
      <c r="H70" s="160">
        <v>64</v>
      </c>
      <c r="I70" s="160">
        <v>0.23942053893532048</v>
      </c>
      <c r="J70" s="160">
        <v>267.89313898462888</v>
      </c>
      <c r="K70" s="160">
        <v>2615.7835644134966</v>
      </c>
      <c r="L70" s="160">
        <v>981.0725018509828</v>
      </c>
      <c r="M70" s="160">
        <v>0.15479517333765175</v>
      </c>
      <c r="N70" s="140"/>
      <c r="O70" s="140"/>
      <c r="P70" s="140"/>
      <c r="Q70" s="140"/>
      <c r="R70" s="140"/>
      <c r="S70" s="140"/>
      <c r="T70" s="140"/>
      <c r="U70" s="140"/>
      <c r="V70" s="140"/>
      <c r="W70" s="140"/>
      <c r="X70" s="140"/>
    </row>
    <row r="71" spans="1:24" x14ac:dyDescent="0.3">
      <c r="A71" s="140"/>
      <c r="B71" s="140"/>
      <c r="C71" s="140"/>
      <c r="D71" s="140"/>
      <c r="E71" s="140"/>
      <c r="F71" s="140"/>
      <c r="G71" s="140"/>
      <c r="H71" s="160">
        <v>65</v>
      </c>
      <c r="I71" s="160">
        <v>0.25041097904236148</v>
      </c>
      <c r="J71" s="160">
        <v>272.07912436937858</v>
      </c>
      <c r="K71" s="160">
        <v>2617.5106723753242</v>
      </c>
      <c r="L71" s="160">
        <v>980.53245890828418</v>
      </c>
      <c r="M71" s="160">
        <v>0.16145104972848173</v>
      </c>
      <c r="N71" s="140"/>
      <c r="O71" s="140"/>
      <c r="P71" s="140"/>
      <c r="Q71" s="140"/>
      <c r="R71" s="140"/>
      <c r="S71" s="140"/>
      <c r="T71" s="140"/>
      <c r="U71" s="140"/>
      <c r="V71" s="140"/>
      <c r="W71" s="140"/>
      <c r="X71" s="140"/>
    </row>
    <row r="72" spans="1:24" x14ac:dyDescent="0.3">
      <c r="A72" s="140"/>
      <c r="B72" s="140"/>
      <c r="C72" s="140"/>
      <c r="D72" s="140"/>
      <c r="E72" s="140"/>
      <c r="F72" s="140"/>
      <c r="G72" s="140"/>
      <c r="H72" s="160">
        <v>66</v>
      </c>
      <c r="I72" s="160">
        <v>0.26182655199585803</v>
      </c>
      <c r="J72" s="160">
        <v>276.26567303925799</v>
      </c>
      <c r="K72" s="160">
        <v>2619.2346969721343</v>
      </c>
      <c r="L72" s="160">
        <v>979.98676419426477</v>
      </c>
      <c r="M72" s="160">
        <v>0.16834424903878975</v>
      </c>
      <c r="N72" s="140"/>
      <c r="O72" s="140"/>
      <c r="P72" s="140"/>
      <c r="Q72" s="140"/>
      <c r="R72" s="140"/>
      <c r="S72" s="140"/>
      <c r="T72" s="140"/>
      <c r="U72" s="140"/>
      <c r="V72" s="140"/>
      <c r="W72" s="140"/>
      <c r="X72" s="140"/>
    </row>
    <row r="73" spans="1:24" x14ac:dyDescent="0.3">
      <c r="A73" s="140"/>
      <c r="B73" s="140"/>
      <c r="C73" s="140"/>
      <c r="D73" s="140"/>
      <c r="E73" s="140"/>
      <c r="F73" s="140"/>
      <c r="G73" s="140"/>
      <c r="H73" s="160">
        <v>67</v>
      </c>
      <c r="I73" s="160">
        <v>0.27368035252091838</v>
      </c>
      <c r="J73" s="160">
        <v>280.45280681284657</v>
      </c>
      <c r="K73" s="160">
        <v>2620.9555816758575</v>
      </c>
      <c r="L73" s="160">
        <v>979.43546666923521</v>
      </c>
      <c r="M73" s="160">
        <v>0.17548132776209951</v>
      </c>
      <c r="N73" s="140"/>
      <c r="O73" s="140"/>
      <c r="P73" s="140"/>
      <c r="Q73" s="140"/>
      <c r="R73" s="140"/>
      <c r="S73" s="140"/>
      <c r="T73" s="140"/>
      <c r="U73" s="140"/>
      <c r="V73" s="140"/>
      <c r="W73" s="140"/>
      <c r="X73" s="140"/>
    </row>
    <row r="74" spans="1:24" x14ac:dyDescent="0.3">
      <c r="A74" s="140"/>
      <c r="B74" s="140"/>
      <c r="C74" s="140"/>
      <c r="D74" s="140"/>
      <c r="E74" s="140"/>
      <c r="F74" s="140"/>
      <c r="G74" s="140"/>
      <c r="H74" s="160">
        <v>68</v>
      </c>
      <c r="I74" s="160">
        <v>0.28598576021239819</v>
      </c>
      <c r="J74" s="160">
        <v>284.64054749047523</v>
      </c>
      <c r="K74" s="160">
        <v>2622.6732692522937</v>
      </c>
      <c r="L74" s="160">
        <v>978.87861398895643</v>
      </c>
      <c r="M74" s="160">
        <v>0.18286896316770543</v>
      </c>
      <c r="N74" s="140"/>
      <c r="O74" s="140"/>
      <c r="P74" s="140"/>
      <c r="Q74" s="140"/>
      <c r="R74" s="140"/>
      <c r="S74" s="140"/>
      <c r="T74" s="140"/>
      <c r="U74" s="140"/>
      <c r="V74" s="140"/>
      <c r="W74" s="140"/>
      <c r="X74" s="140"/>
    </row>
    <row r="75" spans="1:24" x14ac:dyDescent="0.3">
      <c r="A75" s="140"/>
      <c r="B75" s="140"/>
      <c r="C75" s="140"/>
      <c r="D75" s="140"/>
      <c r="E75" s="140"/>
      <c r="F75" s="140"/>
      <c r="G75" s="140"/>
      <c r="H75" s="160">
        <v>69</v>
      </c>
      <c r="I75" s="160">
        <v>0.29875644239804222</v>
      </c>
      <c r="J75" s="160">
        <v>288.82891685670864</v>
      </c>
      <c r="K75" s="160">
        <v>2624.387701761978</v>
      </c>
      <c r="L75" s="160">
        <v>978.3162525413411</v>
      </c>
      <c r="M75" s="160">
        <v>0.19051395411637062</v>
      </c>
      <c r="N75" s="140"/>
      <c r="O75" s="140"/>
      <c r="P75" s="140"/>
      <c r="Q75" s="140"/>
      <c r="R75" s="140"/>
      <c r="S75" s="140"/>
      <c r="T75" s="140"/>
      <c r="U75" s="140"/>
      <c r="V75" s="140"/>
      <c r="W75" s="140"/>
      <c r="X75" s="140"/>
    </row>
    <row r="76" spans="1:24" x14ac:dyDescent="0.3">
      <c r="A76" s="140"/>
      <c r="B76" s="140"/>
      <c r="C76" s="140"/>
      <c r="D76" s="140"/>
      <c r="E76" s="140"/>
      <c r="F76" s="140"/>
      <c r="G76" s="140"/>
      <c r="H76" s="160">
        <v>70</v>
      </c>
      <c r="I76" s="160">
        <v>0.31200635696061857</v>
      </c>
      <c r="J76" s="160">
        <v>293.01793668276036</v>
      </c>
      <c r="K76" s="160">
        <v>2626.0988205608987</v>
      </c>
      <c r="L76" s="160">
        <v>977.74842748147557</v>
      </c>
      <c r="M76" s="160">
        <v>0.19842322186406494</v>
      </c>
      <c r="N76" s="140"/>
      <c r="O76" s="140"/>
      <c r="P76" s="140"/>
      <c r="Q76" s="140"/>
      <c r="R76" s="140"/>
      <c r="S76" s="140"/>
      <c r="T76" s="140"/>
      <c r="U76" s="140"/>
      <c r="V76" s="140"/>
      <c r="W76" s="140"/>
      <c r="X76" s="140"/>
    </row>
    <row r="77" spans="1:24" x14ac:dyDescent="0.3">
      <c r="A77" s="140"/>
      <c r="B77" s="140"/>
      <c r="C77" s="140"/>
      <c r="D77" s="140"/>
      <c r="E77" s="140"/>
      <c r="F77" s="140"/>
      <c r="G77" s="140"/>
      <c r="H77" s="160">
        <v>71</v>
      </c>
      <c r="I77" s="160">
        <v>0.32574975511817428</v>
      </c>
      <c r="J77" s="160">
        <v>297.2076287288719</v>
      </c>
      <c r="K77" s="160">
        <v>2627.8065663010821</v>
      </c>
      <c r="L77" s="160">
        <v>977.17518276505996</v>
      </c>
      <c r="M77" s="160">
        <v>0.20660381085417234</v>
      </c>
      <c r="N77" s="140"/>
      <c r="O77" s="140"/>
      <c r="P77" s="140"/>
      <c r="Q77" s="140"/>
      <c r="R77" s="140"/>
      <c r="S77" s="140"/>
      <c r="T77" s="140"/>
      <c r="U77" s="140"/>
      <c r="V77" s="140"/>
      <c r="W77" s="140"/>
      <c r="X77" s="140"/>
    </row>
    <row r="78" spans="1:24" x14ac:dyDescent="0.3">
      <c r="A78" s="140"/>
      <c r="B78" s="140"/>
      <c r="C78" s="140"/>
      <c r="D78" s="140"/>
      <c r="E78" s="140"/>
      <c r="F78" s="140"/>
      <c r="G78" s="140"/>
      <c r="H78" s="160">
        <v>72</v>
      </c>
      <c r="I78" s="160">
        <v>0.34000118416150538</v>
      </c>
      <c r="J78" s="160">
        <v>301.39801474667144</v>
      </c>
      <c r="K78" s="160">
        <v>2629.5108789310584</v>
      </c>
      <c r="L78" s="160">
        <v>976.59656118036241</v>
      </c>
      <c r="M78" s="160">
        <v>0.21506288949856825</v>
      </c>
      <c r="N78" s="140"/>
      <c r="O78" s="140"/>
      <c r="P78" s="140"/>
      <c r="Q78" s="140"/>
      <c r="R78" s="140"/>
      <c r="S78" s="140"/>
      <c r="T78" s="140"/>
      <c r="U78" s="140"/>
      <c r="V78" s="140"/>
      <c r="W78" s="140"/>
      <c r="X78" s="140"/>
    </row>
    <row r="79" spans="1:24" x14ac:dyDescent="0.3">
      <c r="A79" s="140"/>
      <c r="B79" s="140"/>
      <c r="C79" s="140"/>
      <c r="D79" s="140"/>
      <c r="E79" s="140"/>
      <c r="F79" s="140"/>
      <c r="G79" s="140"/>
      <c r="H79" s="160">
        <v>73</v>
      </c>
      <c r="I79" s="160">
        <v>0.35477549014805104</v>
      </c>
      <c r="J79" s="160">
        <v>305.58911648155402</v>
      </c>
      <c r="K79" s="160">
        <v>2631.2116976962366</v>
      </c>
      <c r="L79" s="160">
        <v>976.01260437875521</v>
      </c>
      <c r="M79" s="160">
        <v>0.22380775094804037</v>
      </c>
      <c r="N79" s="140"/>
      <c r="O79" s="140"/>
      <c r="P79" s="140"/>
      <c r="Q79" s="140"/>
      <c r="R79" s="140"/>
      <c r="S79" s="140"/>
      <c r="T79" s="140"/>
      <c r="U79" s="140"/>
      <c r="V79" s="140"/>
      <c r="W79" s="140"/>
      <c r="X79" s="140"/>
    </row>
    <row r="80" spans="1:24" x14ac:dyDescent="0.3">
      <c r="A80" s="140"/>
      <c r="B80" s="140"/>
      <c r="C80" s="140"/>
      <c r="D80" s="140"/>
      <c r="E80" s="140"/>
      <c r="F80" s="140"/>
      <c r="G80" s="140"/>
      <c r="H80" s="160">
        <v>74</v>
      </c>
      <c r="I80" s="160">
        <v>0.37008782055138389</v>
      </c>
      <c r="J80" s="160">
        <v>309.7809556750862</v>
      </c>
      <c r="K80" s="160">
        <v>2632.9089611392287</v>
      </c>
      <c r="L80" s="160">
        <v>975.42335290391964</v>
      </c>
      <c r="M80" s="160">
        <v>0.23284581385249664</v>
      </c>
      <c r="N80" s="140"/>
      <c r="O80" s="140"/>
      <c r="P80" s="140"/>
      <c r="Q80" s="140"/>
      <c r="R80" s="140"/>
      <c r="S80" s="140"/>
      <c r="T80" s="140"/>
      <c r="U80" s="140"/>
      <c r="V80" s="140"/>
      <c r="W80" s="140"/>
      <c r="X80" s="140"/>
    </row>
    <row r="81" spans="1:24" x14ac:dyDescent="0.3">
      <c r="A81" s="140"/>
      <c r="B81" s="140"/>
      <c r="C81" s="140"/>
      <c r="D81" s="140"/>
      <c r="E81" s="140"/>
      <c r="F81" s="140"/>
      <c r="G81" s="140"/>
      <c r="H81" s="160">
        <v>75</v>
      </c>
      <c r="I81" s="160">
        <v>0.38595362686556767</v>
      </c>
      <c r="J81" s="160">
        <v>313.97355406744731</v>
      </c>
      <c r="K81" s="160">
        <v>2634.6026071001361</v>
      </c>
      <c r="L81" s="160">
        <v>974.82884621979053</v>
      </c>
      <c r="M81" s="160">
        <v>0.24218462311146269</v>
      </c>
      <c r="N81" s="140"/>
      <c r="O81" s="140"/>
      <c r="P81" s="140"/>
      <c r="Q81" s="140"/>
      <c r="R81" s="140"/>
      <c r="S81" s="140"/>
      <c r="T81" s="140"/>
      <c r="U81" s="140"/>
      <c r="V81" s="140"/>
      <c r="W81" s="140"/>
      <c r="X81" s="140"/>
    </row>
    <row r="82" spans="1:24" x14ac:dyDescent="0.3">
      <c r="A82" s="140"/>
      <c r="B82" s="140"/>
      <c r="C82" s="140"/>
      <c r="D82" s="140"/>
      <c r="E82" s="140"/>
      <c r="F82" s="140"/>
      <c r="G82" s="140"/>
      <c r="H82" s="160">
        <v>76</v>
      </c>
      <c r="I82" s="160">
        <v>0.40238866716365262</v>
      </c>
      <c r="J82" s="160">
        <v>318.16693339994413</v>
      </c>
      <c r="K82" s="160">
        <v>2636.2925727168576</v>
      </c>
      <c r="L82" s="160">
        <v>974.22912273730424</v>
      </c>
      <c r="M82" s="160">
        <v>0.25183185061536212</v>
      </c>
      <c r="N82" s="140"/>
      <c r="O82" s="140"/>
      <c r="P82" s="140"/>
      <c r="Q82" s="140"/>
      <c r="R82" s="140"/>
      <c r="S82" s="140"/>
      <c r="T82" s="140"/>
      <c r="U82" s="140"/>
      <c r="V82" s="140"/>
      <c r="W82" s="140"/>
      <c r="X82" s="140"/>
    </row>
    <row r="83" spans="1:24" x14ac:dyDescent="0.3">
      <c r="A83" s="140"/>
      <c r="B83" s="140"/>
      <c r="C83" s="140"/>
      <c r="D83" s="140"/>
      <c r="E83" s="140"/>
      <c r="F83" s="140"/>
      <c r="G83" s="140"/>
      <c r="H83" s="160">
        <v>77</v>
      </c>
      <c r="I83" s="160">
        <v>0.41940900860961861</v>
      </c>
      <c r="J83" s="160">
        <v>322.36111541758652</v>
      </c>
      <c r="K83" s="160">
        <v>2637.9787944254722</v>
      </c>
      <c r="L83" s="160">
        <v>973.62421984001776</v>
      </c>
      <c r="M83" s="160">
        <v>0.26179529597809159</v>
      </c>
      <c r="N83" s="140"/>
      <c r="O83" s="140"/>
      <c r="P83" s="140"/>
      <c r="Q83" s="140"/>
      <c r="R83" s="140"/>
      <c r="S83" s="140"/>
      <c r="T83" s="140"/>
      <c r="U83" s="140"/>
      <c r="V83" s="140"/>
      <c r="W83" s="140"/>
      <c r="X83" s="140"/>
    </row>
    <row r="84" spans="1:24" x14ac:dyDescent="0.3">
      <c r="A84" s="140"/>
      <c r="B84" s="140"/>
      <c r="C84" s="140"/>
      <c r="D84" s="140"/>
      <c r="E84" s="140"/>
      <c r="F84" s="140"/>
      <c r="G84" s="140"/>
      <c r="H84" s="160">
        <v>78</v>
      </c>
      <c r="I84" s="160">
        <v>0.43703102992315856</v>
      </c>
      <c r="J84" s="160">
        <v>326.5561218717379</v>
      </c>
      <c r="K84" s="160">
        <v>2639.6612079607139</v>
      </c>
      <c r="L84" s="160">
        <v>973.01417390864935</v>
      </c>
      <c r="M84" s="160">
        <v>0.27208288726144569</v>
      </c>
      <c r="N84" s="140"/>
      <c r="O84" s="140"/>
      <c r="P84" s="140"/>
      <c r="Q84" s="140"/>
      <c r="R84" s="140"/>
      <c r="S84" s="140"/>
      <c r="T84" s="140"/>
      <c r="U84" s="140"/>
      <c r="V84" s="140"/>
      <c r="W84" s="140"/>
      <c r="X84" s="140"/>
    </row>
    <row r="85" spans="1:24" x14ac:dyDescent="0.3">
      <c r="A85" s="140"/>
      <c r="B85" s="140"/>
      <c r="C85" s="140"/>
      <c r="D85" s="140"/>
      <c r="E85" s="140"/>
      <c r="F85" s="140"/>
      <c r="G85" s="140"/>
      <c r="H85" s="160">
        <v>79</v>
      </c>
      <c r="I85" s="160">
        <v>0.45527142379664698</v>
      </c>
      <c r="J85" s="160">
        <v>330.75197452286722</v>
      </c>
      <c r="K85" s="160">
        <v>2641.3397483566373</v>
      </c>
      <c r="L85" s="160">
        <v>972.39902034460511</v>
      </c>
      <c r="M85" s="160">
        <v>0.28270268169190726</v>
      </c>
      <c r="N85" s="140"/>
      <c r="O85" s="140"/>
      <c r="P85" s="140"/>
      <c r="Q85" s="140"/>
      <c r="R85" s="140"/>
      <c r="S85" s="140"/>
      <c r="T85" s="140"/>
      <c r="U85" s="140"/>
      <c r="V85" s="140"/>
      <c r="W85" s="140"/>
      <c r="X85" s="140"/>
    </row>
    <row r="86" spans="1:24" x14ac:dyDescent="0.3">
      <c r="A86" s="140"/>
      <c r="B86" s="140"/>
      <c r="C86" s="140"/>
      <c r="D86" s="140"/>
      <c r="E86" s="140"/>
      <c r="F86" s="140"/>
      <c r="G86" s="140"/>
      <c r="H86" s="160">
        <v>80</v>
      </c>
      <c r="I86" s="160">
        <v>0.47414719926378335</v>
      </c>
      <c r="J86" s="160">
        <v>334.94869514337927</v>
      </c>
      <c r="K86" s="160">
        <v>2643.0143499474962</v>
      </c>
      <c r="L86" s="160">
        <v>971.77879359254007</v>
      </c>
      <c r="M86" s="160">
        <v>0.2936628663703974</v>
      </c>
      <c r="N86" s="140"/>
      <c r="O86" s="140"/>
      <c r="P86" s="140"/>
      <c r="Q86" s="140"/>
      <c r="R86" s="140"/>
      <c r="S86" s="140"/>
      <c r="T86" s="140"/>
      <c r="U86" s="140"/>
      <c r="V86" s="140"/>
      <c r="W86" s="140"/>
      <c r="X86" s="140"/>
    </row>
    <row r="87" spans="1:24" x14ac:dyDescent="0.3">
      <c r="A87" s="140"/>
      <c r="B87" s="140"/>
      <c r="C87" s="140"/>
      <c r="D87" s="140"/>
      <c r="E87" s="140"/>
      <c r="F87" s="140"/>
      <c r="G87" s="140"/>
      <c r="H87" s="160">
        <v>81</v>
      </c>
      <c r="I87" s="160">
        <v>0.49367568401933215</v>
      </c>
      <c r="J87" s="160">
        <v>339.14630552054808</v>
      </c>
      <c r="K87" s="160">
        <v>2644.6849463689064</v>
      </c>
      <c r="L87" s="160">
        <v>971.15352716199914</v>
      </c>
      <c r="M87" s="160">
        <v>0.30497175897552903</v>
      </c>
      <c r="N87" s="140"/>
      <c r="O87" s="140"/>
      <c r="P87" s="140"/>
      <c r="Q87" s="140"/>
      <c r="R87" s="140"/>
      <c r="S87" s="140"/>
      <c r="T87" s="140"/>
      <c r="U87" s="140"/>
      <c r="V87" s="140"/>
      <c r="W87" s="140"/>
      <c r="X87" s="140"/>
    </row>
    <row r="88" spans="1:24" x14ac:dyDescent="0.3">
      <c r="A88" s="140"/>
      <c r="B88" s="140"/>
      <c r="C88" s="140"/>
      <c r="D88" s="140"/>
      <c r="E88" s="140"/>
      <c r="F88" s="140"/>
      <c r="G88" s="140"/>
      <c r="H88" s="160">
        <v>82</v>
      </c>
      <c r="I88" s="160">
        <v>0.51387452668949329</v>
      </c>
      <c r="J88" s="160">
        <v>343.34482745955916</v>
      </c>
      <c r="K88" s="160">
        <v>2646.351470559373</v>
      </c>
      <c r="L88" s="160">
        <v>970.52325364818546</v>
      </c>
      <c r="M88" s="160">
        <v>0.31663780846096079</v>
      </c>
      <c r="N88" s="140"/>
      <c r="O88" s="140"/>
      <c r="P88" s="140"/>
      <c r="Q88" s="140"/>
      <c r="R88" s="140"/>
      <c r="S88" s="140"/>
      <c r="T88" s="140"/>
      <c r="U88" s="140"/>
      <c r="V88" s="140"/>
      <c r="W88" s="140"/>
      <c r="X88" s="140"/>
    </row>
    <row r="89" spans="1:24" x14ac:dyDescent="0.3">
      <c r="A89" s="140"/>
      <c r="B89" s="140"/>
      <c r="C89" s="140"/>
      <c r="D89" s="140"/>
      <c r="E89" s="140"/>
      <c r="F89" s="140"/>
      <c r="G89" s="140"/>
      <c r="H89" s="160">
        <v>83</v>
      </c>
      <c r="I89" s="160">
        <v>0.53476169905244608</v>
      </c>
      <c r="J89" s="160">
        <v>347.54428278663966</v>
      </c>
      <c r="K89" s="160">
        <v>2648.013854762215</v>
      </c>
      <c r="L89" s="160">
        <v>969.88800475190169</v>
      </c>
      <c r="M89" s="160">
        <v>0.3286695957474437</v>
      </c>
      <c r="N89" s="140"/>
      <c r="O89" s="140"/>
      <c r="P89" s="140"/>
      <c r="Q89" s="140"/>
      <c r="R89" s="140"/>
      <c r="S89" s="140"/>
      <c r="T89" s="140"/>
      <c r="U89" s="140"/>
      <c r="V89" s="140"/>
      <c r="W89" s="140"/>
      <c r="X89" s="140"/>
    </row>
    <row r="90" spans="1:24" x14ac:dyDescent="0.3">
      <c r="A90" s="140"/>
      <c r="B90" s="140"/>
      <c r="C90" s="140"/>
      <c r="D90" s="140"/>
      <c r="E90" s="140"/>
      <c r="F90" s="140"/>
      <c r="G90" s="140"/>
      <c r="H90" s="160">
        <v>84</v>
      </c>
      <c r="I90" s="160">
        <v>0.55635549820863783</v>
      </c>
      <c r="J90" s="160">
        <v>351.74469335231396</v>
      </c>
      <c r="K90" s="160">
        <v>2649.6720305279782</v>
      </c>
      <c r="L90" s="160">
        <v>969.24781129869962</v>
      </c>
      <c r="M90" s="160">
        <v>0.34107583441015593</v>
      </c>
      <c r="N90" s="140"/>
      <c r="O90" s="140"/>
      <c r="P90" s="140"/>
      <c r="Q90" s="140"/>
      <c r="R90" s="140"/>
      <c r="S90" s="140"/>
      <c r="T90" s="140"/>
      <c r="U90" s="140"/>
      <c r="V90" s="140"/>
      <c r="W90" s="140"/>
      <c r="X90" s="140"/>
    </row>
    <row r="91" spans="1:24" x14ac:dyDescent="0.3">
      <c r="A91" s="140"/>
      <c r="B91" s="140"/>
      <c r="C91" s="140"/>
      <c r="D91" s="140"/>
      <c r="E91" s="140"/>
      <c r="F91" s="140"/>
      <c r="G91" s="140"/>
      <c r="H91" s="160">
        <v>85</v>
      </c>
      <c r="I91" s="160">
        <v>0.57867454870044499</v>
      </c>
      <c r="J91" s="160">
        <v>355.94608103474462</v>
      </c>
      <c r="K91" s="160">
        <v>2651.3259287173823</v>
      </c>
      <c r="L91" s="160">
        <v>968.6027032572772</v>
      </c>
      <c r="M91" s="160">
        <v>0.35386537136193991</v>
      </c>
      <c r="N91" s="140"/>
      <c r="O91" s="140"/>
      <c r="P91" s="140"/>
      <c r="Q91" s="140"/>
      <c r="R91" s="140"/>
      <c r="S91" s="140"/>
      <c r="T91" s="140"/>
      <c r="U91" s="140"/>
      <c r="V91" s="140"/>
      <c r="W91" s="140"/>
      <c r="X91" s="140"/>
    </row>
    <row r="92" spans="1:24" x14ac:dyDescent="0.3">
      <c r="A92" s="140"/>
      <c r="B92" s="140"/>
      <c r="C92" s="140"/>
      <c r="D92" s="140"/>
      <c r="E92" s="140"/>
      <c r="F92" s="140"/>
      <c r="G92" s="140"/>
      <c r="H92" s="160">
        <v>86</v>
      </c>
      <c r="I92" s="160">
        <v>0.60173780458085246</v>
      </c>
      <c r="J92" s="160">
        <v>360.14846774319744</v>
      </c>
      <c r="K92" s="160">
        <v>2652.9754795048862</v>
      </c>
      <c r="L92" s="160">
        <v>967.9527097571596</v>
      </c>
      <c r="M92" s="160">
        <v>0.36704718753305154</v>
      </c>
      <c r="N92" s="140"/>
      <c r="O92" s="140"/>
      <c r="P92" s="140"/>
      <c r="Q92" s="140"/>
      <c r="R92" s="140"/>
      <c r="S92" s="140"/>
      <c r="T92" s="140"/>
      <c r="U92" s="140"/>
      <c r="V92" s="140"/>
      <c r="W92" s="140"/>
      <c r="X92" s="140"/>
    </row>
    <row r="93" spans="1:24" x14ac:dyDescent="0.3">
      <c r="A93" s="140"/>
      <c r="B93" s="140"/>
      <c r="C93" s="140"/>
      <c r="D93" s="140"/>
      <c r="E93" s="140"/>
      <c r="F93" s="140"/>
      <c r="G93" s="140"/>
      <c r="H93" s="160">
        <v>87</v>
      </c>
      <c r="I93" s="160">
        <v>0.62556455143084544</v>
      </c>
      <c r="J93" s="160">
        <v>364.3518754215998</v>
      </c>
      <c r="K93" s="160">
        <v>2654.6206123829143</v>
      </c>
      <c r="L93" s="160">
        <v>967.29785910569683</v>
      </c>
      <c r="M93" s="160">
        <v>0.38063039854804898</v>
      </c>
      <c r="N93" s="140"/>
      <c r="O93" s="140"/>
      <c r="P93" s="140"/>
      <c r="Q93" s="140"/>
      <c r="R93" s="140"/>
      <c r="S93" s="140"/>
      <c r="T93" s="140"/>
      <c r="U93" s="140"/>
      <c r="V93" s="140"/>
      <c r="W93" s="140"/>
      <c r="X93" s="140"/>
    </row>
    <row r="94" spans="1:24" x14ac:dyDescent="0.3">
      <c r="A94" s="140"/>
      <c r="B94" s="140"/>
      <c r="C94" s="140"/>
      <c r="D94" s="140"/>
      <c r="E94" s="140"/>
      <c r="F94" s="140"/>
      <c r="G94" s="140"/>
      <c r="H94" s="160">
        <v>88</v>
      </c>
      <c r="I94" s="160">
        <v>0.65017440832523743</v>
      </c>
      <c r="J94" s="160">
        <v>368.55632605220848</v>
      </c>
      <c r="K94" s="160">
        <v>2656.2612561668179</v>
      </c>
      <c r="L94" s="160">
        <v>966.63817880441059</v>
      </c>
      <c r="M94" s="160">
        <v>0.39462425540044116</v>
      </c>
      <c r="N94" s="140"/>
      <c r="O94" s="140"/>
      <c r="P94" s="140"/>
      <c r="Q94" s="140"/>
      <c r="R94" s="140"/>
      <c r="S94" s="140"/>
      <c r="T94" s="140"/>
      <c r="U94" s="140"/>
      <c r="V94" s="140"/>
      <c r="W94" s="140"/>
      <c r="X94" s="140"/>
    </row>
    <row r="95" spans="1:24" x14ac:dyDescent="0.3">
      <c r="A95" s="140"/>
      <c r="B95" s="140"/>
      <c r="C95" s="140"/>
      <c r="D95" s="140"/>
      <c r="E95" s="140"/>
      <c r="F95" s="140"/>
      <c r="G95" s="140"/>
      <c r="H95" s="160">
        <v>89</v>
      </c>
      <c r="I95" s="160">
        <v>0.67558732974668678</v>
      </c>
      <c r="J95" s="160">
        <v>372.76184165938366</v>
      </c>
      <c r="K95" s="160">
        <v>2657.8973390006322</v>
      </c>
      <c r="L95" s="160">
        <v>965.97369556471267</v>
      </c>
      <c r="M95" s="160">
        <v>0.40903814512572606</v>
      </c>
      <c r="N95" s="140"/>
      <c r="O95" s="140"/>
      <c r="P95" s="140"/>
      <c r="Q95" s="140"/>
      <c r="R95" s="140"/>
      <c r="S95" s="140"/>
      <c r="T95" s="140"/>
      <c r="U95" s="140"/>
      <c r="V95" s="140"/>
      <c r="W95" s="140"/>
      <c r="X95" s="140"/>
    </row>
    <row r="96" spans="1:24" x14ac:dyDescent="0.3">
      <c r="A96" s="140"/>
      <c r="B96" s="140"/>
      <c r="C96" s="140"/>
      <c r="D96" s="140"/>
      <c r="E96" s="140"/>
      <c r="F96" s="140"/>
      <c r="G96" s="140"/>
      <c r="H96" s="160">
        <v>90</v>
      </c>
      <c r="I96" s="160">
        <v>0.70182360744771266</v>
      </c>
      <c r="J96" s="160">
        <v>376.96844431345022</v>
      </c>
      <c r="K96" s="160">
        <v>2659.5287883636602</v>
      </c>
      <c r="L96" s="160">
        <v>965.30443532303411</v>
      </c>
      <c r="M96" s="160">
        <v>0.42388159147346155</v>
      </c>
      <c r="N96" s="140"/>
      <c r="O96" s="140"/>
      <c r="P96" s="140"/>
      <c r="Q96" s="140"/>
      <c r="R96" s="140"/>
      <c r="S96" s="140"/>
      <c r="T96" s="140"/>
      <c r="U96" s="140"/>
      <c r="V96" s="140"/>
      <c r="W96" s="140"/>
      <c r="X96" s="140"/>
    </row>
    <row r="97" spans="1:24" x14ac:dyDescent="0.3">
      <c r="A97" s="140"/>
      <c r="B97" s="140"/>
      <c r="C97" s="140"/>
      <c r="D97" s="140"/>
      <c r="E97" s="140"/>
      <c r="F97" s="140"/>
      <c r="G97" s="140"/>
      <c r="H97" s="160">
        <v>91</v>
      </c>
      <c r="I97" s="160">
        <v>0.72890387226051589</v>
      </c>
      <c r="J97" s="160">
        <v>381.17615613468104</v>
      </c>
      <c r="K97" s="160">
        <v>2661.1555310779763</v>
      </c>
      <c r="L97" s="160">
        <v>964.63042325538527</v>
      </c>
      <c r="M97" s="160">
        <v>0.43916425557898675</v>
      </c>
      <c r="N97" s="140"/>
      <c r="O97" s="140"/>
      <c r="P97" s="140"/>
      <c r="Q97" s="140"/>
      <c r="R97" s="140"/>
      <c r="S97" s="140"/>
      <c r="T97" s="140"/>
      <c r="U97" s="140"/>
      <c r="V97" s="140"/>
      <c r="W97" s="140"/>
      <c r="X97" s="140"/>
    </row>
    <row r="98" spans="1:24" x14ac:dyDescent="0.3">
      <c r="A98" s="140"/>
      <c r="B98" s="140"/>
      <c r="C98" s="140"/>
      <c r="D98" s="140"/>
      <c r="E98" s="140"/>
      <c r="F98" s="140"/>
      <c r="G98" s="140"/>
      <c r="H98" s="160">
        <v>92</v>
      </c>
      <c r="I98" s="160">
        <v>0.75684909585448368</v>
      </c>
      <c r="J98" s="160">
        <v>385.38499929734525</v>
      </c>
      <c r="K98" s="160">
        <v>2662.7774933168589</v>
      </c>
      <c r="L98" s="160">
        <v>963.95168379136339</v>
      </c>
      <c r="M98" s="160">
        <v>0.45489593663544997</v>
      </c>
      <c r="N98" s="140"/>
      <c r="O98" s="140"/>
      <c r="P98" s="140"/>
      <c r="Q98" s="140"/>
      <c r="R98" s="140"/>
      <c r="S98" s="140"/>
      <c r="T98" s="140"/>
      <c r="U98" s="140"/>
      <c r="V98" s="140"/>
      <c r="W98" s="140"/>
      <c r="X98" s="140"/>
    </row>
    <row r="99" spans="1:24" x14ac:dyDescent="0.3">
      <c r="A99" s="140"/>
      <c r="B99" s="140"/>
      <c r="C99" s="140"/>
      <c r="D99" s="140"/>
      <c r="E99" s="140"/>
      <c r="F99" s="140"/>
      <c r="G99" s="140"/>
      <c r="H99" s="160">
        <v>93</v>
      </c>
      <c r="I99" s="160">
        <v>0.78568059244125577</v>
      </c>
      <c r="J99" s="160">
        <v>389.59499603387724</v>
      </c>
      <c r="K99" s="160">
        <v>2664.3946006142</v>
      </c>
      <c r="L99" s="160">
        <v>963.26824062764854</v>
      </c>
      <c r="M99" s="160">
        <v>0.47108657256676462</v>
      </c>
      <c r="N99" s="140"/>
      <c r="O99" s="140"/>
      <c r="P99" s="140"/>
      <c r="Q99" s="140"/>
      <c r="R99" s="140"/>
      <c r="S99" s="140"/>
      <c r="T99" s="140"/>
      <c r="U99" s="140"/>
      <c r="V99" s="140"/>
      <c r="W99" s="140"/>
      <c r="X99" s="140"/>
    </row>
    <row r="100" spans="1:24" x14ac:dyDescent="0.3">
      <c r="A100" s="140"/>
      <c r="B100" s="140"/>
      <c r="C100" s="140"/>
      <c r="D100" s="140"/>
      <c r="E100" s="140"/>
      <c r="F100" s="140"/>
      <c r="G100" s="140"/>
      <c r="H100" s="160">
        <v>94</v>
      </c>
      <c r="I100" s="160">
        <v>0.81542002042730433</v>
      </c>
      <c r="J100" s="160">
        <v>393.80616863911951</v>
      </c>
      <c r="K100" s="160">
        <v>2666.0067778749485</v>
      </c>
      <c r="L100" s="160">
        <v>962.58011674099691</v>
      </c>
      <c r="M100" s="160">
        <v>0.48774624070215439</v>
      </c>
      <c r="N100" s="140"/>
      <c r="O100" s="140"/>
      <c r="P100" s="140"/>
      <c r="Q100" s="140"/>
      <c r="R100" s="140"/>
      <c r="S100" s="140"/>
      <c r="T100" s="140"/>
      <c r="U100" s="140"/>
      <c r="V100" s="140"/>
      <c r="W100" s="140"/>
      <c r="X100" s="140"/>
    </row>
    <row r="101" spans="1:24" x14ac:dyDescent="0.3">
      <c r="A101" s="140"/>
      <c r="B101" s="140"/>
      <c r="C101" s="140"/>
      <c r="D101" s="140"/>
      <c r="E101" s="140"/>
      <c r="F101" s="140"/>
      <c r="G101" s="140"/>
      <c r="H101" s="160">
        <v>95</v>
      </c>
      <c r="I101" s="160">
        <v>0.84608938401395706</v>
      </c>
      <c r="J101" s="160">
        <v>398.01853947466134</v>
      </c>
      <c r="K101" s="160">
        <v>2667.6139493865921</v>
      </c>
      <c r="L101" s="160">
        <v>961.88733440074623</v>
      </c>
      <c r="M101" s="160">
        <v>0.50488515845290827</v>
      </c>
      <c r="N101" s="140"/>
      <c r="O101" s="140"/>
      <c r="P101" s="140"/>
      <c r="Q101" s="140"/>
      <c r="R101" s="140"/>
      <c r="S101" s="140"/>
      <c r="T101" s="140"/>
      <c r="U101" s="140"/>
      <c r="V101" s="140"/>
      <c r="W101" s="140"/>
      <c r="X101" s="140"/>
    </row>
    <row r="102" spans="1:24" x14ac:dyDescent="0.3">
      <c r="A102" s="140"/>
      <c r="B102" s="140"/>
      <c r="C102" s="140"/>
      <c r="D102" s="140"/>
      <c r="E102" s="140"/>
      <c r="F102" s="140"/>
      <c r="G102" s="140"/>
      <c r="H102" s="160">
        <v>96</v>
      </c>
      <c r="I102" s="160">
        <v>0.87771103474486678</v>
      </c>
      <c r="J102" s="160">
        <v>402.23213097325026</v>
      </c>
      <c r="K102" s="160">
        <v>2669.2160388317116</v>
      </c>
      <c r="L102" s="160">
        <v>961.18991518088012</v>
      </c>
      <c r="M102" s="160">
        <v>0.52251368399199583</v>
      </c>
      <c r="N102" s="140"/>
      <c r="O102" s="140"/>
      <c r="P102" s="140"/>
      <c r="Q102" s="140"/>
      <c r="R102" s="140"/>
      <c r="S102" s="140"/>
      <c r="T102" s="140"/>
      <c r="U102" s="140"/>
      <c r="V102" s="140"/>
      <c r="W102" s="140"/>
      <c r="X102" s="140"/>
    </row>
    <row r="103" spans="1:24" x14ac:dyDescent="0.3">
      <c r="A103" s="140"/>
      <c r="B103" s="140"/>
      <c r="C103" s="140"/>
      <c r="D103" s="140"/>
      <c r="E103" s="140"/>
      <c r="F103" s="140"/>
      <c r="G103" s="140"/>
      <c r="H103" s="160">
        <v>97</v>
      </c>
      <c r="I103" s="160">
        <v>0.91030767300094462</v>
      </c>
      <c r="J103" s="160">
        <v>406.44696564329195</v>
      </c>
      <c r="K103" s="160">
        <v>2670.8129693016108</v>
      </c>
      <c r="L103" s="160">
        <v>960.4878799716339</v>
      </c>
      <c r="M103" s="160">
        <v>0.5406423169371839</v>
      </c>
      <c r="N103" s="140"/>
      <c r="O103" s="140"/>
      <c r="P103" s="140"/>
      <c r="Q103" s="140"/>
      <c r="R103" s="140"/>
      <c r="S103" s="140"/>
      <c r="T103" s="140"/>
      <c r="U103" s="140"/>
      <c r="V103" s="140"/>
      <c r="W103" s="140"/>
      <c r="X103" s="140"/>
    </row>
    <row r="104" spans="1:24" x14ac:dyDescent="0.3">
      <c r="A104" s="140"/>
      <c r="B104" s="140"/>
      <c r="C104" s="140"/>
      <c r="D104" s="140"/>
      <c r="E104" s="140"/>
      <c r="F104" s="140"/>
      <c r="G104" s="140"/>
      <c r="H104" s="160">
        <v>98</v>
      </c>
      <c r="I104" s="160">
        <v>0.94390234944282092</v>
      </c>
      <c r="J104" s="160">
        <v>410.66306607343159</v>
      </c>
      <c r="K104" s="160">
        <v>2672.4046633110484</v>
      </c>
      <c r="L104" s="160">
        <v>959.78124899068382</v>
      </c>
      <c r="M104" s="160">
        <v>0.55928169903830227</v>
      </c>
      <c r="N104" s="140"/>
      <c r="O104" s="140"/>
      <c r="P104" s="140"/>
      <c r="Q104" s="140"/>
      <c r="R104" s="140"/>
      <c r="S104" s="140"/>
      <c r="T104" s="140"/>
      <c r="U104" s="140"/>
      <c r="V104" s="140"/>
      <c r="W104" s="140"/>
      <c r="X104" s="140"/>
    </row>
    <row r="105" spans="1:24" x14ac:dyDescent="0.3">
      <c r="A105" s="140"/>
      <c r="B105" s="140"/>
      <c r="C105" s="140"/>
      <c r="D105" s="140"/>
      <c r="E105" s="140"/>
      <c r="F105" s="140"/>
      <c r="G105" s="140"/>
      <c r="H105" s="160">
        <v>99</v>
      </c>
      <c r="I105" s="160">
        <v>0.97851846640090079</v>
      </c>
      <c r="J105" s="160">
        <v>414.88045493719312</v>
      </c>
      <c r="K105" s="160">
        <v>2673.9910428140565</v>
      </c>
      <c r="L105" s="160">
        <v>959.07004179393118</v>
      </c>
      <c r="M105" s="160">
        <v>0.57844261486929771</v>
      </c>
      <c r="N105" s="140"/>
      <c r="O105" s="140"/>
      <c r="P105" s="140"/>
      <c r="Q105" s="140"/>
      <c r="R105" s="140"/>
      <c r="S105" s="140"/>
      <c r="T105" s="140"/>
      <c r="U105" s="140"/>
      <c r="V105" s="140"/>
      <c r="W105" s="140"/>
      <c r="X105" s="140"/>
    </row>
    <row r="106" spans="1:24" x14ac:dyDescent="0.3">
      <c r="A106" s="140"/>
      <c r="B106" s="140"/>
      <c r="C106" s="140"/>
      <c r="D106" s="140"/>
      <c r="E106" s="140"/>
      <c r="F106" s="140"/>
      <c r="G106" s="140"/>
      <c r="H106" s="160">
        <v>100</v>
      </c>
      <c r="I106" s="160">
        <v>1.0141797792131013</v>
      </c>
      <c r="J106" s="160">
        <v>419.09915499770312</v>
      </c>
      <c r="K106" s="160">
        <v>2675.5720292208343</v>
      </c>
      <c r="L106" s="160">
        <v>958.35427728589013</v>
      </c>
      <c r="M106" s="160">
        <v>0.59813599252570293</v>
      </c>
      <c r="N106" s="140"/>
      <c r="O106" s="140"/>
      <c r="P106" s="140"/>
      <c r="Q106" s="140"/>
      <c r="R106" s="140"/>
      <c r="S106" s="140"/>
      <c r="T106" s="140"/>
      <c r="U106" s="140"/>
      <c r="V106" s="140"/>
      <c r="W106" s="140"/>
      <c r="X106" s="140"/>
    </row>
    <row r="107" spans="1:24" x14ac:dyDescent="0.3">
      <c r="A107" s="140"/>
      <c r="B107" s="140"/>
      <c r="C107" s="140"/>
      <c r="D107" s="140"/>
      <c r="E107" s="140"/>
      <c r="F107" s="140"/>
      <c r="G107" s="140"/>
      <c r="H107" s="160">
        <v>101</v>
      </c>
      <c r="I107" s="160">
        <v>1.0509103975104648</v>
      </c>
      <c r="J107" s="160">
        <v>423.31918911247686</v>
      </c>
      <c r="K107" s="160">
        <v>2677.1475434157037</v>
      </c>
      <c r="L107" s="160">
        <v>957.63397372970201</v>
      </c>
      <c r="M107" s="160">
        <v>0.61837290432820291</v>
      </c>
      <c r="N107" s="140"/>
      <c r="O107" s="140"/>
      <c r="P107" s="140"/>
      <c r="Q107" s="140"/>
      <c r="R107" s="140"/>
      <c r="S107" s="140"/>
      <c r="T107" s="140"/>
      <c r="U107" s="140"/>
      <c r="V107" s="140"/>
      <c r="W107" s="140"/>
      <c r="X107" s="140"/>
    </row>
    <row r="108" spans="1:24" x14ac:dyDescent="0.3">
      <c r="A108" s="140"/>
      <c r="B108" s="140"/>
      <c r="C108" s="140"/>
      <c r="D108" s="140"/>
      <c r="E108" s="140"/>
      <c r="F108" s="140"/>
      <c r="G108" s="140"/>
      <c r="H108" s="160">
        <v>102</v>
      </c>
      <c r="I108" s="160">
        <v>1.0887347864507604</v>
      </c>
      <c r="J108" s="160">
        <v>427.54058023826536</v>
      </c>
      <c r="K108" s="160">
        <v>2678.7175057761106</v>
      </c>
      <c r="L108" s="160">
        <v>956.90914875678084</v>
      </c>
      <c r="M108" s="160">
        <v>0.6391645675329124</v>
      </c>
      <c r="N108" s="140"/>
      <c r="O108" s="140"/>
      <c r="P108" s="140"/>
      <c r="Q108" s="140"/>
      <c r="R108" s="140"/>
      <c r="S108" s="140"/>
      <c r="T108" s="140"/>
      <c r="U108" s="140"/>
      <c r="V108" s="140"/>
      <c r="W108" s="140"/>
      <c r="X108" s="140"/>
    </row>
    <row r="109" spans="1:24" x14ac:dyDescent="0.3">
      <c r="A109" s="140"/>
      <c r="B109" s="140"/>
      <c r="C109" s="140"/>
      <c r="D109" s="140"/>
      <c r="E109" s="140"/>
      <c r="F109" s="140"/>
      <c r="G109" s="140"/>
      <c r="H109" s="160">
        <v>103</v>
      </c>
      <c r="I109" s="160">
        <v>1.1276777679003032</v>
      </c>
      <c r="J109" s="160">
        <v>431.76335143596611</v>
      </c>
      <c r="K109" s="160">
        <v>2680.2818361926138</v>
      </c>
      <c r="L109" s="160">
        <v>956.17981937611864</v>
      </c>
      <c r="M109" s="160">
        <v>0.66052234504903784</v>
      </c>
      <c r="N109" s="140"/>
      <c r="O109" s="140"/>
      <c r="P109" s="140"/>
      <c r="Q109" s="140"/>
      <c r="R109" s="140"/>
      <c r="S109" s="140"/>
      <c r="T109" s="140"/>
      <c r="U109" s="140"/>
      <c r="V109" s="140"/>
      <c r="W109" s="140"/>
      <c r="X109" s="140"/>
    </row>
    <row r="110" spans="1:24" x14ac:dyDescent="0.3">
      <c r="A110" s="140"/>
      <c r="B110" s="140"/>
      <c r="C110" s="140"/>
      <c r="D110" s="140"/>
      <c r="E110" s="140"/>
      <c r="F110" s="140"/>
      <c r="G110" s="140"/>
      <c r="H110" s="160">
        <v>104</v>
      </c>
      <c r="I110" s="160">
        <v>1.1677645215641674</v>
      </c>
      <c r="J110" s="160">
        <v>435.98752587559466</v>
      </c>
      <c r="K110" s="160">
        <v>2681.8404540898377</v>
      </c>
      <c r="L110" s="160">
        <v>955.44600198324224</v>
      </c>
      <c r="M110" s="160">
        <v>0.68245774616454968</v>
      </c>
      <c r="N110" s="140"/>
      <c r="O110" s="140"/>
      <c r="P110" s="140"/>
      <c r="Q110" s="140"/>
      <c r="R110" s="140"/>
      <c r="S110" s="140"/>
      <c r="T110" s="140"/>
      <c r="U110" s="140"/>
      <c r="V110" s="140"/>
      <c r="W110" s="140"/>
      <c r="X110" s="140"/>
    </row>
    <row r="111" spans="1:24" x14ac:dyDescent="0.3">
      <c r="A111" s="140"/>
      <c r="B111" s="140"/>
      <c r="C111" s="140"/>
      <c r="D111" s="140"/>
      <c r="E111" s="140"/>
      <c r="F111" s="140"/>
      <c r="G111" s="140"/>
      <c r="H111" s="160">
        <v>105</v>
      </c>
      <c r="I111" s="160">
        <v>1.2090205860650913</v>
      </c>
      <c r="J111" s="160">
        <v>440.21312684129362</v>
      </c>
      <c r="K111" s="160">
        <v>2683.3932784483145</v>
      </c>
      <c r="L111" s="160">
        <v>954.70771236885105</v>
      </c>
      <c r="M111" s="160">
        <v>0.70498242728055449</v>
      </c>
      <c r="N111" s="140"/>
      <c r="O111" s="140"/>
      <c r="P111" s="140"/>
      <c r="Q111" s="140"/>
      <c r="R111" s="140"/>
      <c r="S111" s="140"/>
      <c r="T111" s="140"/>
      <c r="U111" s="140"/>
      <c r="V111" s="140"/>
      <c r="W111" s="140"/>
      <c r="X111" s="140"/>
    </row>
    <row r="112" spans="1:24" x14ac:dyDescent="0.3">
      <c r="A112" s="140"/>
      <c r="B112" s="140"/>
      <c r="C112" s="140"/>
      <c r="D112" s="140"/>
      <c r="E112" s="140"/>
      <c r="F112" s="140"/>
      <c r="G112" s="140"/>
      <c r="H112" s="160">
        <v>106</v>
      </c>
      <c r="I112" s="160">
        <v>1.2514718599713051</v>
      </c>
      <c r="J112" s="160">
        <v>444.44017773642429</v>
      </c>
      <c r="K112" s="160">
        <v>2684.9402278271964</v>
      </c>
      <c r="L112" s="160">
        <v>953.96496572713966</v>
      </c>
      <c r="M112" s="160">
        <v>0.72810819265500615</v>
      </c>
      <c r="N112" s="140"/>
      <c r="O112" s="140"/>
      <c r="P112" s="140"/>
      <c r="Q112" s="140"/>
      <c r="R112" s="140"/>
      <c r="S112" s="140"/>
      <c r="T112" s="140"/>
      <c r="U112" s="140"/>
      <c r="V112" s="140"/>
      <c r="W112" s="140"/>
      <c r="X112" s="140"/>
    </row>
    <row r="113" spans="1:24" x14ac:dyDescent="0.3">
      <c r="A113" s="140"/>
      <c r="B113" s="140"/>
      <c r="C113" s="140"/>
      <c r="D113" s="140"/>
      <c r="E113" s="140"/>
      <c r="F113" s="140"/>
      <c r="G113" s="140"/>
      <c r="H113" s="160">
        <v>107</v>
      </c>
      <c r="I113" s="160">
        <v>1.2951446027735827</v>
      </c>
      <c r="J113" s="160">
        <v>448.66870208866942</v>
      </c>
      <c r="K113" s="160">
        <v>2686.4812203877009</v>
      </c>
      <c r="L113" s="160">
        <v>953.21777666381217</v>
      </c>
      <c r="M113" s="160">
        <v>0.75184699515643016</v>
      </c>
      <c r="N113" s="140"/>
      <c r="O113" s="140"/>
      <c r="P113" s="140"/>
      <c r="Q113" s="140"/>
      <c r="R113" s="140"/>
      <c r="S113" s="140"/>
      <c r="T113" s="140"/>
      <c r="U113" s="140"/>
      <c r="V113" s="140"/>
      <c r="W113" s="140"/>
      <c r="X113" s="140"/>
    </row>
    <row r="114" spans="1:24" x14ac:dyDescent="0.3">
      <c r="A114" s="140"/>
      <c r="B114" s="140"/>
      <c r="C114" s="140"/>
      <c r="D114" s="140"/>
      <c r="E114" s="140"/>
      <c r="F114" s="140"/>
      <c r="G114" s="140"/>
      <c r="H114" s="160">
        <v>108</v>
      </c>
      <c r="I114" s="160">
        <v>1.3400654358118578</v>
      </c>
      <c r="J114" s="160">
        <v>452.89872355521197</v>
      </c>
      <c r="K114" s="160">
        <v>2688.0161739172813</v>
      </c>
      <c r="L114" s="160">
        <v>952.46615920380941</v>
      </c>
      <c r="M114" s="160">
        <v>0.77621093702834476</v>
      </c>
      <c r="N114" s="140"/>
      <c r="O114" s="140"/>
      <c r="P114" s="140"/>
      <c r="Q114" s="140"/>
      <c r="R114" s="140"/>
      <c r="S114" s="140"/>
      <c r="T114" s="140"/>
      <c r="U114" s="140"/>
      <c r="V114" s="140"/>
      <c r="W114" s="140"/>
      <c r="X114" s="140"/>
    </row>
    <row r="115" spans="1:24" x14ac:dyDescent="0.3">
      <c r="A115" s="140"/>
      <c r="B115" s="140"/>
      <c r="C115" s="140"/>
      <c r="D115" s="140"/>
      <c r="E115" s="140"/>
      <c r="F115" s="140"/>
      <c r="G115" s="140"/>
      <c r="H115" s="160">
        <v>109</v>
      </c>
      <c r="I115" s="160">
        <v>1.3862613431517155</v>
      </c>
      <c r="J115" s="160">
        <v>457.13026592794677</v>
      </c>
      <c r="K115" s="160">
        <v>2689.5450058543997</v>
      </c>
      <c r="L115" s="160">
        <v>951.71012679874502</v>
      </c>
      <c r="M115" s="160">
        <v>0.80121227066505085</v>
      </c>
      <c r="N115" s="140"/>
      <c r="O115" s="140"/>
      <c r="P115" s="140"/>
      <c r="Q115" s="140"/>
      <c r="R115" s="140"/>
      <c r="S115" s="140"/>
      <c r="T115" s="140"/>
      <c r="U115" s="140"/>
      <c r="V115" s="140"/>
      <c r="W115" s="140"/>
      <c r="X115" s="140"/>
    </row>
    <row r="116" spans="1:24" x14ac:dyDescent="0.3">
      <c r="A116" s="140"/>
      <c r="B116" s="140"/>
      <c r="C116" s="140"/>
      <c r="D116" s="140"/>
      <c r="E116" s="140"/>
      <c r="F116" s="140"/>
      <c r="G116" s="140"/>
      <c r="H116" s="160">
        <v>110</v>
      </c>
      <c r="I116" s="160">
        <v>1.433759672411149</v>
      </c>
      <c r="J116" s="160">
        <v>461.36335313871649</v>
      </c>
      <c r="K116" s="160">
        <v>2691.067633313794</v>
      </c>
      <c r="L116" s="160">
        <v>950.94969233406937</v>
      </c>
      <c r="M116" s="160">
        <v>0.82686339939949716</v>
      </c>
      <c r="N116" s="140"/>
      <c r="O116" s="140"/>
      <c r="P116" s="140"/>
      <c r="Q116" s="140"/>
      <c r="R116" s="140"/>
      <c r="S116" s="140"/>
      <c r="T116" s="140"/>
      <c r="U116" s="140"/>
      <c r="V116" s="140"/>
      <c r="W116" s="140"/>
      <c r="X116" s="140"/>
    </row>
    <row r="117" spans="1:24" x14ac:dyDescent="0.3">
      <c r="A117" s="140"/>
      <c r="B117" s="140"/>
      <c r="C117" s="140"/>
      <c r="D117" s="140"/>
      <c r="E117" s="140"/>
      <c r="F117" s="140"/>
      <c r="G117" s="140"/>
      <c r="H117" s="160">
        <v>111</v>
      </c>
      <c r="I117" s="160">
        <v>1.4825881355379524</v>
      </c>
      <c r="J117" s="160">
        <v>465.59800926462555</v>
      </c>
      <c r="K117" s="160">
        <v>2692.5839731121996</v>
      </c>
      <c r="L117" s="160">
        <v>950.18486813596837</v>
      </c>
      <c r="M117" s="160">
        <v>0.85317687830391842</v>
      </c>
      <c r="N117" s="140"/>
      <c r="O117" s="140"/>
      <c r="P117" s="140"/>
      <c r="Q117" s="140"/>
      <c r="R117" s="140"/>
      <c r="S117" s="140"/>
      <c r="T117" s="140"/>
      <c r="U117" s="140"/>
      <c r="V117" s="140"/>
      <c r="W117" s="140"/>
      <c r="X117" s="140"/>
    </row>
    <row r="118" spans="1:24" x14ac:dyDescent="0.3">
      <c r="H118" s="160">
        <v>112</v>
      </c>
      <c r="I118" s="160">
        <v>1.5327748095381608</v>
      </c>
      <c r="J118" s="160">
        <v>469.83425853334091</v>
      </c>
      <c r="K118" s="160">
        <v>2694.0939417943455</v>
      </c>
      <c r="L118" s="160">
        <v>949.41566597800147</v>
      </c>
      <c r="M118" s="160">
        <v>0.88016541500396905</v>
      </c>
    </row>
    <row r="119" spans="1:24" x14ac:dyDescent="0.3">
      <c r="H119" s="160">
        <v>113</v>
      </c>
      <c r="I119" s="160">
        <v>1.5843481371559918</v>
      </c>
      <c r="J119" s="160">
        <v>474.07212532846938</v>
      </c>
      <c r="K119" s="160">
        <v>2695.5974556591786</v>
      </c>
      <c r="L119" s="160">
        <v>948.64209708748592</v>
      </c>
      <c r="M119" s="160">
        <v>0.90784187050709664</v>
      </c>
    </row>
    <row r="120" spans="1:24" x14ac:dyDescent="0.3">
      <c r="H120" s="160">
        <v>114</v>
      </c>
      <c r="I120" s="160">
        <v>1.6373369275056744</v>
      </c>
      <c r="J120" s="160">
        <v>478.31163419493652</v>
      </c>
      <c r="K120" s="160">
        <v>2697.0944307861569</v>
      </c>
      <c r="L120" s="160">
        <v>947.86417215164477</v>
      </c>
      <c r="M120" s="160">
        <v>0.93621926004587497</v>
      </c>
    </row>
    <row r="121" spans="1:24" x14ac:dyDescent="0.3">
      <c r="H121" s="160">
        <v>115</v>
      </c>
      <c r="I121" s="160">
        <v>1.6917703566557443</v>
      </c>
      <c r="J121" s="160">
        <v>482.55280984442766</v>
      </c>
      <c r="K121" s="160">
        <v>2698.5847830615171</v>
      </c>
      <c r="L121" s="160">
        <v>947.08190132351342</v>
      </c>
      <c r="M121" s="160">
        <v>0.96531075393712473</v>
      </c>
    </row>
    <row r="122" spans="1:24" x14ac:dyDescent="0.3">
      <c r="H122" s="160">
        <v>116</v>
      </c>
      <c r="I122" s="160">
        <v>1.747677968166127</v>
      </c>
      <c r="J122" s="160">
        <v>486.7956771608072</v>
      </c>
      <c r="K122" s="160">
        <v>2700.0684282043658</v>
      </c>
      <c r="L122" s="160">
        <v>946.29529422761561</v>
      </c>
      <c r="M122" s="160">
        <v>0.99512967845751188</v>
      </c>
    </row>
    <row r="123" spans="1:24" x14ac:dyDescent="0.3">
      <c r="H123" s="160">
        <v>117</v>
      </c>
      <c r="I123" s="160">
        <v>1.8050896735787156</v>
      </c>
      <c r="J123" s="160">
        <v>491.04026120562685</v>
      </c>
      <c r="K123" s="160">
        <v>2701.5452817925179</v>
      </c>
      <c r="L123" s="160">
        <v>945.50435996541955</v>
      </c>
      <c r="M123" s="160">
        <v>1.0256895167365547</v>
      </c>
    </row>
    <row r="124" spans="1:24" x14ac:dyDescent="0.3">
      <c r="H124" s="160">
        <v>118</v>
      </c>
      <c r="I124" s="160">
        <v>1.8640357528618003</v>
      </c>
      <c r="J124" s="160">
        <v>495.28658722361183</v>
      </c>
      <c r="K124" s="160">
        <v>2703.0152592878867</v>
      </c>
      <c r="L124" s="160">
        <v>944.70910712057116</v>
      </c>
      <c r="M124" s="160">
        <v>1.0570039096677679</v>
      </c>
    </row>
    <row r="125" spans="1:24" x14ac:dyDescent="0.3">
      <c r="H125" s="160">
        <v>119</v>
      </c>
      <c r="I125" s="160">
        <v>1.9245468548089619</v>
      </c>
      <c r="J125" s="160">
        <v>499.53468064818873</v>
      </c>
      <c r="K125" s="160">
        <v>2704.4782760613525</v>
      </c>
      <c r="L125" s="160">
        <v>943.9095437639246</v>
      </c>
      <c r="M125" s="160">
        <v>1.0890866568388495</v>
      </c>
    </row>
    <row r="126" spans="1:24" x14ac:dyDescent="0.3">
      <c r="H126" s="160">
        <v>120</v>
      </c>
      <c r="I126" s="160">
        <v>1.9866539973930202</v>
      </c>
      <c r="J126" s="160">
        <v>503.78456710703352</v>
      </c>
      <c r="K126" s="160">
        <v>2705.9342474169584</v>
      </c>
      <c r="L126" s="160">
        <v>943.10567745835419</v>
      </c>
      <c r="M126" s="160">
        <v>1.1219517174818008</v>
      </c>
    </row>
    <row r="127" spans="1:24" x14ac:dyDescent="0.3">
      <c r="H127" s="160">
        <v>121</v>
      </c>
      <c r="I127" s="160">
        <v>2.0503885680755243</v>
      </c>
      <c r="J127" s="160">
        <v>508.03627242765708</v>
      </c>
      <c r="K127" s="160">
        <v>2707.3830886153091</v>
      </c>
      <c r="L127" s="160">
        <v>942.29751526337475</v>
      </c>
      <c r="M127" s="160">
        <v>1.1556132114438522</v>
      </c>
    </row>
    <row r="128" spans="1:24" x14ac:dyDescent="0.3">
      <c r="H128" s="160">
        <v>122</v>
      </c>
      <c r="I128" s="160">
        <v>2.1157823240724669</v>
      </c>
      <c r="J128" s="160">
        <v>512.28982264297417</v>
      </c>
      <c r="K128" s="160">
        <v>2708.8247148960313</v>
      </c>
      <c r="L128" s="160">
        <v>941.48506373956252</v>
      </c>
      <c r="M128" s="160">
        <v>1.1900854201801814</v>
      </c>
    </row>
    <row r="129" spans="8:13" x14ac:dyDescent="0.3">
      <c r="H129" s="160">
        <v>123</v>
      </c>
      <c r="I129" s="160">
        <v>2.1828673925767244</v>
      </c>
      <c r="J129" s="160">
        <v>516.54524399693526</v>
      </c>
      <c r="K129" s="160">
        <v>2710.2590414991996</v>
      </c>
      <c r="L129" s="160">
        <v>940.66832895278242</v>
      </c>
      <c r="M129" s="160">
        <v>1.2253827877693297</v>
      </c>
    </row>
    <row r="130" spans="8:13" x14ac:dyDescent="0.3">
      <c r="H130" s="160">
        <v>124</v>
      </c>
      <c r="I130" s="160">
        <v>2.2516762709379985</v>
      </c>
      <c r="J130" s="160">
        <v>520.80256295015045</v>
      </c>
      <c r="K130" s="160">
        <v>2711.6859836855911</v>
      </c>
      <c r="L130" s="160">
        <v>939.84731647822946</v>
      </c>
      <c r="M130" s="160">
        <v>1.2615199219524258</v>
      </c>
    </row>
    <row r="131" spans="8:13" x14ac:dyDescent="0.3">
      <c r="H131" s="160">
        <v>125</v>
      </c>
      <c r="I131" s="160">
        <v>2.3222418268006821</v>
      </c>
      <c r="J131" s="160">
        <v>525.06180618554049</v>
      </c>
      <c r="K131" s="160">
        <v>2713.1054567556453</v>
      </c>
      <c r="L131" s="160">
        <v>939.02203140428958</v>
      </c>
      <c r="M131" s="160">
        <v>1.298511595197108</v>
      </c>
    </row>
    <row r="132" spans="8:13" x14ac:dyDescent="0.3">
      <c r="H132" s="160">
        <v>126</v>
      </c>
      <c r="I132" s="160">
        <v>2.3945972982004866</v>
      </c>
      <c r="J132" s="160">
        <v>529.32300061400417</v>
      </c>
      <c r="K132" s="160">
        <v>2714.5173760670355</v>
      </c>
      <c r="L132" s="160">
        <v>938.19247833621603</v>
      </c>
      <c r="M132" s="160">
        <v>1.3363727457873491</v>
      </c>
    </row>
    <row r="133" spans="8:13" x14ac:dyDescent="0.3">
      <c r="H133" s="160">
        <v>127</v>
      </c>
      <c r="I133" s="160">
        <v>2.468776293620385</v>
      </c>
      <c r="J133" s="160">
        <v>533.58617338011106</v>
      </c>
      <c r="K133" s="160">
        <v>2715.921657050741</v>
      </c>
      <c r="L133" s="160">
        <v>937.35866139963503</v>
      </c>
      <c r="M133" s="160">
        <v>1.3751184789402069</v>
      </c>
    </row>
    <row r="134" spans="8:13" x14ac:dyDescent="0.3">
      <c r="H134" s="160">
        <v>128</v>
      </c>
      <c r="I134" s="160">
        <v>2.5448127920065451</v>
      </c>
      <c r="J134" s="160">
        <v>537.85135186779837</v>
      </c>
      <c r="K134" s="160">
        <v>2717.3182152255008</v>
      </c>
      <c r="L134" s="160">
        <v>936.52058424387849</v>
      </c>
      <c r="M134" s="160">
        <v>1.4147640679506608</v>
      </c>
    </row>
    <row r="135" spans="8:13" x14ac:dyDescent="0.3">
      <c r="H135" s="160">
        <v>129</v>
      </c>
      <c r="I135" s="160">
        <v>2.6227411427450713</v>
      </c>
      <c r="J135" s="160">
        <v>542.11856370610337</v>
      </c>
      <c r="K135" s="160">
        <v>2718.7069662106037</v>
      </c>
      <c r="L135" s="160">
        <v>935.67825004514634</v>
      </c>
      <c r="M135" s="160">
        <v>1.455324955365777</v>
      </c>
    </row>
    <row r="136" spans="8:13" x14ac:dyDescent="0.3">
      <c r="H136" s="160">
        <v>130</v>
      </c>
      <c r="I136" s="160">
        <v>2.7025960655999848</v>
      </c>
      <c r="J136" s="160">
        <v>546.38783677489505</v>
      </c>
      <c r="K136" s="160">
        <v>2720.0878257368822</v>
      </c>
      <c r="L136" s="160">
        <v>934.83166150950717</v>
      </c>
      <c r="M136" s="160">
        <v>1.4968167541892796</v>
      </c>
    </row>
    <row r="137" spans="8:13" x14ac:dyDescent="0.3">
      <c r="H137" s="160">
        <v>131</v>
      </c>
      <c r="I137" s="160">
        <v>2.7844126506133797</v>
      </c>
      <c r="J137" s="160">
        <v>550.6591992106421</v>
      </c>
      <c r="K137" s="160">
        <v>2721.4607096558566</v>
      </c>
      <c r="L137" s="160">
        <v>933.98082087573391</v>
      </c>
      <c r="M137" s="160">
        <v>1.5392552491179006</v>
      </c>
    </row>
    <row r="138" spans="8:13" x14ac:dyDescent="0.3">
      <c r="H138" s="160">
        <v>132</v>
      </c>
      <c r="I138" s="160">
        <v>2.8682263579684535</v>
      </c>
      <c r="J138" s="160">
        <v>554.93267941217641</v>
      </c>
      <c r="K138" s="160">
        <v>2722.8255339469824</v>
      </c>
      <c r="L138" s="160">
        <v>933.12572991798368</v>
      </c>
      <c r="M138" s="160">
        <v>1.582656397810805</v>
      </c>
    </row>
    <row r="139" spans="8:13" x14ac:dyDescent="0.3">
      <c r="H139" s="160">
        <v>133</v>
      </c>
      <c r="I139" s="160">
        <v>2.9540730178160257</v>
      </c>
      <c r="J139" s="160">
        <v>559.20830604650428</v>
      </c>
      <c r="K139" s="160">
        <v>2724.1822147229086</v>
      </c>
      <c r="L139" s="160">
        <v>932.26638994831694</v>
      </c>
      <c r="M139" s="160">
        <v>1.6270363321933485</v>
      </c>
    </row>
    <row r="140" spans="8:13" x14ac:dyDescent="0.3">
      <c r="H140" s="160">
        <v>134</v>
      </c>
      <c r="I140" s="160">
        <v>3.0419888300652675</v>
      </c>
      <c r="J140" s="160">
        <v>563.4861080546051</v>
      </c>
      <c r="K140" s="160">
        <v>2725.5306682327223</v>
      </c>
      <c r="L140" s="160">
        <v>931.40280181906769</v>
      </c>
      <c r="M140" s="160">
        <v>1.6724113597965411</v>
      </c>
    </row>
    <row r="141" spans="8:13" x14ac:dyDescent="0.3">
      <c r="H141" s="160">
        <v>135</v>
      </c>
      <c r="I141" s="160">
        <v>3.1320103641396217</v>
      </c>
      <c r="J141" s="160">
        <v>567.76611465728104</v>
      </c>
      <c r="K141" s="160">
        <v>2726.8708108631567</v>
      </c>
      <c r="L141" s="160">
        <v>930.53496592506087</v>
      </c>
      <c r="M141" s="160">
        <v>1.7187979651337502</v>
      </c>
    </row>
    <row r="142" spans="8:13" x14ac:dyDescent="0.3">
      <c r="H142" s="160">
        <v>136</v>
      </c>
      <c r="I142" s="160">
        <v>3.2241745586984054</v>
      </c>
      <c r="J142" s="160">
        <v>572.04835536099972</v>
      </c>
      <c r="K142" s="160">
        <v>2728.2025591376982</v>
      </c>
      <c r="L142" s="160">
        <v>929.6628822056781</v>
      </c>
      <c r="M142" s="160">
        <v>1.7662128111159507</v>
      </c>
    </row>
    <row r="143" spans="8:13" x14ac:dyDescent="0.3">
      <c r="H143" s="160">
        <v>137</v>
      </c>
      <c r="I143" s="160">
        <v>3.3185187213249909</v>
      </c>
      <c r="J143" s="160">
        <v>576.3328599637689</v>
      </c>
      <c r="K143" s="160">
        <v>2729.525829713617</v>
      </c>
      <c r="L143" s="160">
        <v>928.7865501467802</v>
      </c>
      <c r="M143" s="160">
        <v>1.814672740507087</v>
      </c>
    </row>
    <row r="144" spans="8:13" x14ac:dyDescent="0.3">
      <c r="H144" s="160">
        <v>138</v>
      </c>
      <c r="I144" s="160">
        <v>3.4150805281822256</v>
      </c>
      <c r="J144" s="160">
        <v>580.61965856104109</v>
      </c>
      <c r="K144" s="160">
        <v>2730.8405393769035</v>
      </c>
      <c r="L144" s="160">
        <v>927.90596878248596</v>
      </c>
      <c r="M144" s="160">
        <v>1.8641947774210059</v>
      </c>
    </row>
    <row r="145" spans="8:13" x14ac:dyDescent="0.3">
      <c r="H145" s="160">
        <v>139</v>
      </c>
      <c r="I145" s="160">
        <v>3.5138980236361701</v>
      </c>
      <c r="J145" s="160">
        <v>584.90878155162693</v>
      </c>
      <c r="K145" s="160">
        <v>2732.1466050351055</v>
      </c>
      <c r="L145" s="160">
        <v>927.02113669680239</v>
      </c>
      <c r="M145" s="160">
        <v>1.9147961288616966</v>
      </c>
    </row>
    <row r="146" spans="8:13" x14ac:dyDescent="0.3">
      <c r="H146" s="160">
        <v>140</v>
      </c>
      <c r="I146" s="160">
        <v>3.6150096198484878</v>
      </c>
      <c r="J146" s="160">
        <v>589.20025964363992</v>
      </c>
      <c r="K146" s="160">
        <v>2733.4439437081132</v>
      </c>
      <c r="L146" s="160">
        <v>926.1320520251254</v>
      </c>
      <c r="M146" s="160">
        <v>1.9664941863081917</v>
      </c>
    </row>
    <row r="147" spans="8:13" x14ac:dyDescent="0.3">
      <c r="H147" s="160">
        <v>141</v>
      </c>
      <c r="I147" s="160">
        <v>3.7184540963386556</v>
      </c>
      <c r="J147" s="160">
        <v>593.49412386046629</v>
      </c>
      <c r="K147" s="160">
        <v>2734.7324725168892</v>
      </c>
      <c r="L147" s="160">
        <v>925.23871245558587</v>
      </c>
      <c r="M147" s="160">
        <v>2.019306527345976</v>
      </c>
    </row>
    <row r="148" spans="8:13" x14ac:dyDescent="0.3">
      <c r="H148" s="160">
        <v>142</v>
      </c>
      <c r="I148" s="160">
        <v>3.8242705995167068</v>
      </c>
      <c r="J148" s="160">
        <v>597.79040554676033</v>
      </c>
      <c r="K148" s="160">
        <v>2736.0121086701997</v>
      </c>
      <c r="L148" s="160">
        <v>924.34111523027309</v>
      </c>
      <c r="M148" s="160">
        <v>2.0732509173465297</v>
      </c>
    </row>
    <row r="149" spans="8:13" x14ac:dyDescent="0.3">
      <c r="H149" s="160">
        <v>143</v>
      </c>
      <c r="I149" s="160">
        <v>3.9324986421870878</v>
      </c>
      <c r="J149" s="160">
        <v>602.08913637445789</v>
      </c>
      <c r="K149" s="160">
        <v>2737.2827694494063</v>
      </c>
      <c r="L149" s="160">
        <v>923.43925714631598</v>
      </c>
      <c r="M149" s="160">
        <v>2.1283453111965982</v>
      </c>
    </row>
    <row r="150" spans="8:13" x14ac:dyDescent="0.3">
      <c r="H150" s="160">
        <v>144</v>
      </c>
      <c r="I150" s="160">
        <v>4.0431781030248519</v>
      </c>
      <c r="J150" s="160">
        <v>606.39034834883626</v>
      </c>
      <c r="K150" s="160">
        <v>2738.5443721913443</v>
      </c>
      <c r="L150" s="160">
        <v>922.53313455682689</v>
      </c>
      <c r="M150" s="160">
        <v>2.1846078550791641</v>
      </c>
    </row>
    <row r="151" spans="8:13" x14ac:dyDescent="0.3">
      <c r="H151" s="160">
        <v>145</v>
      </c>
      <c r="I151" s="160">
        <v>4.1563492260246973</v>
      </c>
      <c r="J151" s="160">
        <v>610.69407381458848</v>
      </c>
      <c r="K151" s="160">
        <v>2739.7968342693921</v>
      </c>
      <c r="L151" s="160">
        <v>921.622743371718</v>
      </c>
      <c r="M151" s="160">
        <v>2.2420568883077312</v>
      </c>
    </row>
    <row r="152" spans="8:13" x14ac:dyDescent="0.3">
      <c r="H152" s="160">
        <v>146</v>
      </c>
      <c r="I152" s="160">
        <v>4.2720526199237687</v>
      </c>
      <c r="J152" s="160">
        <v>615.00034546194718</v>
      </c>
      <c r="K152" s="160">
        <v>2741.0400730727947</v>
      </c>
      <c r="L152" s="160">
        <v>920.70807905838228</v>
      </c>
      <c r="M152" s="160">
        <v>2.3007109452157977</v>
      </c>
    </row>
    <row r="153" spans="8:13" x14ac:dyDescent="0.3">
      <c r="H153" s="160">
        <v>147</v>
      </c>
      <c r="I153" s="160">
        <v>4.3903292575990278</v>
      </c>
      <c r="J153" s="160">
        <v>619.30919633281053</v>
      </c>
      <c r="K153" s="160">
        <v>2742.2740059843022</v>
      </c>
      <c r="L153" s="160">
        <v>919.78913664224604</v>
      </c>
      <c r="M153" s="160">
        <v>2.3605887571033519</v>
      </c>
    </row>
    <row r="154" spans="8:13" x14ac:dyDescent="0.3">
      <c r="H154" s="160">
        <v>148</v>
      </c>
      <c r="I154" s="160">
        <v>4.5112204754401883</v>
      </c>
      <c r="J154" s="160">
        <v>623.62065982694389</v>
      </c>
      <c r="K154" s="160">
        <v>2743.4985503562634</v>
      </c>
      <c r="L154" s="160">
        <v>918.86591070718873</v>
      </c>
      <c r="M154" s="160">
        <v>2.4217092542423719</v>
      </c>
    </row>
    <row r="155" spans="8:13" x14ac:dyDescent="0.3">
      <c r="H155" s="160">
        <v>149</v>
      </c>
      <c r="I155" s="160">
        <v>4.6347679726988869</v>
      </c>
      <c r="J155" s="160">
        <v>627.93476970819438</v>
      </c>
      <c r="K155" s="160">
        <v>2744.7136234852437</v>
      </c>
      <c r="L155" s="160">
        <v>917.93839539583621</v>
      </c>
      <c r="M155" s="160">
        <v>2.4840915679431572</v>
      </c>
    </row>
    <row r="156" spans="8:13" x14ac:dyDescent="0.3">
      <c r="H156" s="160">
        <v>150</v>
      </c>
      <c r="I156" s="160">
        <v>4.7610138108149203</v>
      </c>
      <c r="J156" s="160">
        <v>632.25156011073318</v>
      </c>
      <c r="K156" s="160">
        <v>2745.9191425852528</v>
      </c>
      <c r="L156" s="160">
        <v>917.00658440972325</v>
      </c>
      <c r="M156" s="160">
        <v>2.5477550326834275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7</vt:i4>
      </vt:variant>
    </vt:vector>
  </HeadingPairs>
  <TitlesOfParts>
    <vt:vector size="9" baseType="lpstr">
      <vt:lpstr>Stoommodel</vt:lpstr>
      <vt:lpstr>Instructie</vt:lpstr>
      <vt:lpstr>Stoommodel!Afdrukbereik</vt:lpstr>
      <vt:lpstr>druk</vt:lpstr>
      <vt:lpstr>rendement</vt:lpstr>
      <vt:lpstr>stoomtabel_d</vt:lpstr>
      <vt:lpstr>stoomtabel_t</vt:lpstr>
      <vt:lpstr>temp_rookgas</vt:lpstr>
      <vt:lpstr>temperatuur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Fons Heuven</dc:creator>
  <cp:lastModifiedBy>Toetenel, S.A. (Sabina)</cp:lastModifiedBy>
  <dcterms:created xsi:type="dcterms:W3CDTF">2022-01-04T10:27:14Z</dcterms:created>
  <dcterms:modified xsi:type="dcterms:W3CDTF">2022-12-01T13:28:58Z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2022-12-01T13:28:31Z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6a094c3d-89f3-43bc-b0f1-222a52c11ed4</vt:lpwstr>
  </property>
  <property fmtid="{D5CDD505-2E9C-101B-9397-08002B2CF9AE}" pid="8" name="MSIP_Label_4bde8109-f994-4a60-a1d3-5c95e2ff3620_ContentBits">
    <vt:lpwstr>0</vt:lpwstr>
  </property>
</Properties>
</file>