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lnv.intern\grp\DR\Contentmanagement\Opdrachten 2023\Opmaak pdf\SDE\"/>
    </mc:Choice>
  </mc:AlternateContent>
  <xr:revisionPtr revIDLastSave="0" documentId="8_{6594FFFE-FA06-4714-B600-46C7CB13953B}" xr6:coauthVersionLast="47" xr6:coauthVersionMax="47" xr10:uidLastSave="{00000000-0000-0000-0000-000000000000}"/>
  <workbookProtection workbookAlgorithmName="SHA-512" workbookHashValue="gqmCmkfWcpjfmn2wI0n9Z65gWUIX7GpimXhRkCRt6ELWCjPViM72vNOYa+jtqaPOy5/Ooc3uxCs8dJCVMwg3yw==" workbookSaltValue="i/jzJFSogg/165knrst2Tw==" workbookSpinCount="100000" lockStructure="1"/>
  <bookViews>
    <workbookView xWindow="-120" yWindow="-120" windowWidth="29040" windowHeight="15840" xr2:uid="{06C84F82-475F-47D1-A093-DF452E609559}"/>
  </bookViews>
  <sheets>
    <sheet name="Keuzeblad maatregelen" sheetId="1" r:id="rId1"/>
    <sheet name="Hulpblad"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6" i="2" l="1"/>
  <c r="A93" i="1" s="1"/>
  <c r="C6" i="2"/>
  <c r="A20" i="1" s="1"/>
  <c r="F40" i="2"/>
  <c r="F39" i="2"/>
  <c r="F38" i="2"/>
  <c r="E114" i="2" l="1"/>
  <c r="E115" i="2"/>
  <c r="E4" i="2"/>
  <c r="E5" i="2"/>
  <c r="F35" i="2"/>
  <c r="K55" i="1"/>
  <c r="G42" i="1"/>
  <c r="F36" i="2"/>
  <c r="F37" i="2"/>
  <c r="C32" i="2"/>
  <c r="B38" i="2" s="1"/>
  <c r="A44" i="1" s="1"/>
  <c r="D147" i="2"/>
  <c r="D167" i="2"/>
  <c r="D157" i="2"/>
  <c r="B86" i="2"/>
  <c r="B82" i="2"/>
  <c r="B78" i="2"/>
  <c r="C105" i="2"/>
  <c r="O78" i="1" s="1"/>
  <c r="B70" i="2" s="1"/>
  <c r="D109" i="2"/>
  <c r="D108" i="2"/>
  <c r="C110" i="2"/>
  <c r="O86" i="1" s="1"/>
  <c r="Q86" i="1" s="1"/>
  <c r="B26" i="2"/>
  <c r="B25" i="2"/>
  <c r="B21" i="2"/>
  <c r="B17" i="2"/>
  <c r="C18" i="2" s="1"/>
  <c r="B13" i="2"/>
  <c r="B12" i="2"/>
  <c r="C14" i="2" s="1"/>
  <c r="A69" i="1"/>
  <c r="F6" i="2" l="1"/>
  <c r="E11" i="2"/>
  <c r="G31" i="1"/>
  <c r="H38" i="2"/>
  <c r="D64" i="2" s="1"/>
  <c r="H35" i="2"/>
  <c r="D63" i="2" s="1"/>
  <c r="E16" i="2"/>
  <c r="B71" i="2"/>
  <c r="B35" i="2"/>
  <c r="A42" i="1" s="1"/>
  <c r="B55" i="2"/>
  <c r="B56" i="2"/>
  <c r="C27" i="2"/>
  <c r="H14" i="2"/>
  <c r="E17" i="2"/>
  <c r="E12" i="2"/>
  <c r="G29" i="1"/>
  <c r="C22" i="2"/>
  <c r="F116" i="2"/>
  <c r="Q78" i="1"/>
  <c r="B85" i="2"/>
  <c r="B84" i="2"/>
  <c r="B83" i="2"/>
  <c r="B81" i="2"/>
  <c r="B80" i="2"/>
  <c r="B79" i="2"/>
  <c r="B77" i="2"/>
  <c r="B76" i="2"/>
  <c r="F142" i="2"/>
  <c r="F143" i="2"/>
  <c r="F144" i="2"/>
  <c r="F145" i="2"/>
  <c r="F146" i="2"/>
  <c r="F148" i="2"/>
  <c r="F149" i="2"/>
  <c r="F150" i="2"/>
  <c r="F151" i="2"/>
  <c r="F152" i="2"/>
  <c r="F153" i="2"/>
  <c r="F154" i="2"/>
  <c r="F155" i="2"/>
  <c r="F156" i="2"/>
  <c r="F158" i="2"/>
  <c r="F159" i="2"/>
  <c r="F160" i="2"/>
  <c r="F161" i="2"/>
  <c r="F162" i="2"/>
  <c r="F163" i="2"/>
  <c r="F164" i="2"/>
  <c r="F165" i="2"/>
  <c r="F166" i="2"/>
  <c r="F141" i="2"/>
  <c r="K38" i="2" l="1"/>
  <c r="K35" i="2"/>
  <c r="H114" i="2"/>
  <c r="H115" i="2"/>
  <c r="A95" i="1"/>
  <c r="E93" i="1"/>
  <c r="E20" i="1"/>
  <c r="B63" i="2"/>
  <c r="F13" i="2"/>
  <c r="B64" i="2" s="1"/>
  <c r="F18" i="2"/>
  <c r="B65" i="2" s="1"/>
  <c r="E20" i="2"/>
  <c r="D38" i="2"/>
  <c r="D35" i="2"/>
  <c r="G35" i="1"/>
  <c r="E24" i="2"/>
  <c r="E25" i="2"/>
  <c r="C87" i="2"/>
  <c r="B90" i="2" s="1"/>
  <c r="E21" i="2"/>
  <c r="G33" i="1"/>
  <c r="F22" i="2" l="1"/>
  <c r="B66" i="2" s="1"/>
  <c r="I116" i="2"/>
  <c r="A97" i="1" s="1"/>
  <c r="A72" i="1"/>
  <c r="F26" i="2"/>
  <c r="B67" i="2" s="1"/>
  <c r="C97" i="2"/>
  <c r="B91" i="2"/>
  <c r="C93" i="2" s="1"/>
  <c r="D93" i="2" s="1"/>
  <c r="C96" i="2"/>
  <c r="B92" i="2"/>
  <c r="K115" i="2" l="1"/>
  <c r="K114" i="2"/>
  <c r="E95" i="1"/>
  <c r="G72" i="1"/>
  <c r="O60" i="1" s="1"/>
  <c r="L116" i="2" l="1"/>
  <c r="B69" i="2"/>
  <c r="O98" i="1" l="1"/>
  <c r="E97" i="1"/>
  <c r="B44" i="2"/>
  <c r="A48" i="1" s="1"/>
  <c r="B41" i="2"/>
  <c r="A46" i="1" s="1"/>
  <c r="B59" i="2"/>
  <c r="B50" i="2"/>
  <c r="A52" i="1" s="1"/>
  <c r="B47" i="2"/>
  <c r="A50" i="1" s="1"/>
  <c r="B60" i="2"/>
  <c r="D50" i="2" l="1"/>
  <c r="D44" i="2"/>
  <c r="D41" i="2"/>
  <c r="D47" i="2"/>
  <c r="F48" i="2" l="1"/>
  <c r="F49" i="2"/>
  <c r="F47" i="2"/>
  <c r="F46" i="2"/>
  <c r="F44" i="2"/>
  <c r="F45" i="2"/>
  <c r="F42" i="2"/>
  <c r="F43" i="2"/>
  <c r="F41" i="2"/>
  <c r="F52" i="2"/>
  <c r="F50" i="2"/>
  <c r="F51" i="2"/>
  <c r="H41" i="2" l="1"/>
  <c r="D65" i="2" s="1"/>
  <c r="H47" i="2"/>
  <c r="H50" i="2"/>
  <c r="H44" i="2"/>
  <c r="K44" i="2" l="1"/>
  <c r="D66" i="2"/>
  <c r="K47" i="2"/>
  <c r="D67" i="2"/>
  <c r="K50" i="2"/>
  <c r="D68" i="2"/>
  <c r="K41" i="2"/>
  <c r="D69" i="2" l="1"/>
  <c r="B68" i="2" s="1"/>
  <c r="C72" i="2" s="1"/>
  <c r="L50" i="2" s="1"/>
  <c r="M50" i="2" s="1"/>
  <c r="I52" i="1" s="1"/>
  <c r="Q52" i="1" s="1"/>
  <c r="J13" i="2" l="1"/>
  <c r="K13" i="2" s="1"/>
  <c r="J26" i="2"/>
  <c r="K26" i="2" s="1"/>
  <c r="L41" i="2"/>
  <c r="M41" i="2" s="1"/>
  <c r="I46" i="1" s="1"/>
  <c r="Q46" i="1" s="1"/>
  <c r="J21" i="2"/>
  <c r="K21" i="2" s="1"/>
  <c r="L38" i="2"/>
  <c r="M38" i="2" s="1"/>
  <c r="I44" i="1" s="1"/>
  <c r="M44" i="1" s="1"/>
  <c r="J16" i="2"/>
  <c r="K16" i="2" s="1"/>
  <c r="J20" i="2"/>
  <c r="K20" i="2" s="1"/>
  <c r="J17" i="2"/>
  <c r="K17" i="2" s="1"/>
  <c r="J11" i="2"/>
  <c r="K11" i="2" s="1"/>
  <c r="J25" i="2"/>
  <c r="K25" i="2" s="1"/>
  <c r="J12" i="2"/>
  <c r="K12" i="2" s="1"/>
  <c r="I29" i="1" s="1"/>
  <c r="M29" i="1" s="1"/>
  <c r="O29" i="1" s="1"/>
  <c r="J24" i="2"/>
  <c r="K24" i="2" s="1"/>
  <c r="I35" i="1" s="1"/>
  <c r="L44" i="2"/>
  <c r="M44" i="2" s="1"/>
  <c r="I48" i="1" s="1"/>
  <c r="Q48" i="1" s="1"/>
  <c r="L35" i="2"/>
  <c r="M35" i="2" s="1"/>
  <c r="I42" i="1" s="1"/>
  <c r="Q42" i="1" s="1"/>
  <c r="L47" i="2"/>
  <c r="M47" i="2" s="1"/>
  <c r="I50" i="1" s="1"/>
  <c r="Q50" i="1" s="1"/>
  <c r="M35" i="1" l="1"/>
  <c r="O35" i="1" s="1"/>
  <c r="Q35" i="1"/>
  <c r="I33" i="1"/>
  <c r="Q44" i="1"/>
  <c r="I31" i="1"/>
  <c r="Q29" i="1"/>
  <c r="O44" i="1"/>
  <c r="M52" i="1"/>
  <c r="O52" i="1" s="1"/>
  <c r="M33" i="1" l="1"/>
  <c r="O33" i="1" s="1"/>
  <c r="Q33" i="1"/>
  <c r="Q31" i="1"/>
  <c r="M31" i="1"/>
  <c r="O31" i="1" s="1"/>
  <c r="M48" i="1"/>
  <c r="O48" i="1" s="1"/>
  <c r="M42" i="1" l="1"/>
  <c r="M50" i="1" s="1"/>
  <c r="O50" i="1" s="1"/>
  <c r="O42" i="1" l="1"/>
  <c r="M46" i="1"/>
  <c r="O46" i="1" l="1"/>
  <c r="O57" i="1" s="1"/>
  <c r="O102" i="1" s="1"/>
  <c r="M55" i="1"/>
  <c r="Q5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RVO</author>
  </authors>
  <commentList>
    <comment ref="M55" authorId="0" shapeId="0" xr:uid="{107DA202-5AD8-496D-AFF7-164D7EE92795}">
      <text>
        <r>
          <rPr>
            <b/>
            <sz val="9"/>
            <color indexed="81"/>
            <rFont val="Tahoma"/>
            <family val="2"/>
          </rPr>
          <t>Toelichting:</t>
        </r>
        <r>
          <rPr>
            <sz val="9"/>
            <color indexed="81"/>
            <rFont val="Tahoma"/>
            <family val="2"/>
          </rPr>
          <t xml:space="preserve">
Het minimum subsidiabele oppervlak bedraagt 8 m².Bij een kleiner oppervlak komen isolerend glas, panelen en deuren niet in aanmerking voor subsidie. 
Bij overschrijding van het maximum van 45 m² aan glas, paneel en deuroppervlak wordt per maatregel het aantal m² afgetopt. Aan de techniek met het hoogste bedrag per m² worden eerst de subsidiable m² toegekend. Daarna aan de techniek met het op één na hoogste bedrag per m², etc. Tot het maximum van 45 m² is bereikt. De volgorde daarbij is:
Triple glas U ≤ 0,7 W/m²K
Isolerende deur Ud ≤ 1,0 W/m²K
Panelen in kozijn U ≤ 0,7 W/m²K
HR++ glas U ≤ 1,2 W/m²K
Isolerende deur Ud ≤  1,5 W/m²K
Panelen in kozijn U ≤ 1,2 W/m²K
</t>
        </r>
      </text>
    </comment>
  </commentList>
</comments>
</file>

<file path=xl/sharedStrings.xml><?xml version="1.0" encoding="utf-8"?>
<sst xmlns="http://schemas.openxmlformats.org/spreadsheetml/2006/main" count="258" uniqueCount="181">
  <si>
    <t xml:space="preserve">Warmtepomp </t>
  </si>
  <si>
    <t>Aansluiting op het warmtenet</t>
  </si>
  <si>
    <t>Isolatiemaatregelen en/of glas-, kozijnpanelen- of deurisolatie</t>
  </si>
  <si>
    <t>Keuzelijst isolatiemaatregelen</t>
  </si>
  <si>
    <t>Dakisolatie</t>
  </si>
  <si>
    <t>Gevelisolatie</t>
  </si>
  <si>
    <t>Spouwmuurisolatie</t>
  </si>
  <si>
    <t>Glasisolatie</t>
  </si>
  <si>
    <t>Vloerisolatie</t>
  </si>
  <si>
    <t>Zonneboiler</t>
  </si>
  <si>
    <t>Categorieën</t>
  </si>
  <si>
    <t>Vast bedrag</t>
  </si>
  <si>
    <t>Bedrag</t>
  </si>
  <si>
    <t>Lucht-water &lt; 1 kW</t>
  </si>
  <si>
    <r>
      <t xml:space="preserve">Lucht-water </t>
    </r>
    <r>
      <rPr>
        <sz val="11"/>
        <color theme="1"/>
        <rFont val="Calibri"/>
        <family val="2"/>
      </rPr>
      <t>≥ 1 kW en &lt; 70 kW</t>
    </r>
  </si>
  <si>
    <t>Grond-water &lt; 1 kW</t>
  </si>
  <si>
    <t>Grond-water ≥ 1 kW en &lt; 10 kW</t>
  </si>
  <si>
    <t>Grond-water ≥ 10 kW en &lt; 70 kW</t>
  </si>
  <si>
    <t>Water-water &lt; 1 kW</t>
  </si>
  <si>
    <t>Water-water ≥ 1 kW en &lt; 10 kW</t>
  </si>
  <si>
    <t>Water-water ≥ 10 kW en &lt; 70 kW</t>
  </si>
  <si>
    <t>Lucht-water &lt; 1 kW, energieklasse A+</t>
  </si>
  <si>
    <t>Lucht-water &lt; 1 kW, energieklasse A t/m G</t>
  </si>
  <si>
    <t>Lucht-water &lt; 1 kW, energieklasse A++ of hoger</t>
  </si>
  <si>
    <r>
      <t xml:space="preserve">Lucht-water </t>
    </r>
    <r>
      <rPr>
        <sz val="11"/>
        <color theme="1"/>
        <rFont val="Calibri"/>
        <family val="2"/>
      </rPr>
      <t>≥ 1 kW en &lt; 70 kW</t>
    </r>
    <r>
      <rPr>
        <sz val="11"/>
        <color theme="1"/>
        <rFont val="Calibri"/>
        <family val="2"/>
        <scheme val="minor"/>
      </rPr>
      <t>, energieklasse A++ of hoger</t>
    </r>
  </si>
  <si>
    <t>Grond-water &lt; 1 kW, energieklasse A++ of hoger</t>
  </si>
  <si>
    <t>Grond-water ≥ 1 kW en &lt; 10 kW, energieklasse A++ of hoger</t>
  </si>
  <si>
    <t>Grond-water ≥ 10 kW en &lt; 70 kW, energieklasse A++ of hoger</t>
  </si>
  <si>
    <t>Water-water &lt; 1 kW, energieklasse A++ of hoger</t>
  </si>
  <si>
    <t>Water-water ≥ 1 kW en &lt; 10 kW, energieklasse A++ of hoger</t>
  </si>
  <si>
    <t>Water-water ≥ 10 kW en &lt; 70 kW, energieklasse A++ of hoger</t>
  </si>
  <si>
    <r>
      <t xml:space="preserve">Lucht-water </t>
    </r>
    <r>
      <rPr>
        <sz val="11"/>
        <color theme="1"/>
        <rFont val="Calibri"/>
        <family val="2"/>
      </rPr>
      <t>≥ 1 kW en &lt; 70 kW</t>
    </r>
    <r>
      <rPr>
        <sz val="11"/>
        <color theme="1"/>
        <rFont val="Calibri"/>
        <family val="2"/>
        <scheme val="minor"/>
      </rPr>
      <t>, energieklasse A+</t>
    </r>
  </si>
  <si>
    <t>Grond-water &lt; 1 kW, energieklasse A+</t>
  </si>
  <si>
    <t>Grond-water ≥ 1 kW en &lt; 10 kW, energieklasse A+</t>
  </si>
  <si>
    <t>Grond-water ≥ 10 kW en &lt; 70 kW, energieklasse A+</t>
  </si>
  <si>
    <t>Water-water &lt; 1 kW, energieklasse A+</t>
  </si>
  <si>
    <t>Water-water ≥ 1 kW en &lt; 10 kW, energieklasse A+</t>
  </si>
  <si>
    <t>Water-water ≥ 10 kW en &lt; 70 kW, energieklasse A+</t>
  </si>
  <si>
    <t>Grond-water &lt; 1 kW, energieklasse A t/m G</t>
  </si>
  <si>
    <t>Grond-water ≥ 1 kW en &lt; 10 kW, energieklasse A t/m G</t>
  </si>
  <si>
    <t>Grond-water ≥ 10 kW en &lt; 70 kW, energieklasse A t/m G</t>
  </si>
  <si>
    <t>Water-water &lt; 1 kW, energieklasse A t/m G</t>
  </si>
  <si>
    <t>Water-water ≥ 1 kW en &lt; 10 kW, energieklasse A t/m G</t>
  </si>
  <si>
    <t>Water-water ≥ 10 kW en &lt; 70 kW, energieklasse A t/m G</t>
  </si>
  <si>
    <t>Warmtepomp</t>
  </si>
  <si>
    <t>Isolerende maatregel</t>
  </si>
  <si>
    <t>Zonneboilercombi</t>
  </si>
  <si>
    <r>
      <t xml:space="preserve">Zonneboiler </t>
    </r>
    <r>
      <rPr>
        <sz val="11"/>
        <color theme="1"/>
        <rFont val="Calibri"/>
        <family val="2"/>
      </rPr>
      <t>≤ 5 m</t>
    </r>
    <r>
      <rPr>
        <vertAlign val="superscript"/>
        <sz val="11"/>
        <color theme="1"/>
        <rFont val="Calibri"/>
        <family val="2"/>
      </rPr>
      <t>2</t>
    </r>
  </si>
  <si>
    <r>
      <t xml:space="preserve">Zonneboiler &gt; 5 en </t>
    </r>
    <r>
      <rPr>
        <sz val="11"/>
        <color theme="1"/>
        <rFont val="Calibri"/>
        <family val="2"/>
      </rPr>
      <t>≤ 10 m</t>
    </r>
    <r>
      <rPr>
        <vertAlign val="superscript"/>
        <sz val="11"/>
        <color theme="1"/>
        <rFont val="Calibri"/>
        <family val="2"/>
      </rPr>
      <t>2</t>
    </r>
  </si>
  <si>
    <r>
      <t xml:space="preserve">Zonneboilercombi </t>
    </r>
    <r>
      <rPr>
        <sz val="11"/>
        <color theme="1"/>
        <rFont val="Calibri"/>
        <family val="2"/>
      </rPr>
      <t>≤ 5 m</t>
    </r>
    <r>
      <rPr>
        <vertAlign val="superscript"/>
        <sz val="11"/>
        <color theme="1"/>
        <rFont val="Calibri"/>
        <family val="2"/>
      </rPr>
      <t>2</t>
    </r>
  </si>
  <si>
    <r>
      <t xml:space="preserve">Zonneboilercombi &gt; 5 en </t>
    </r>
    <r>
      <rPr>
        <sz val="11"/>
        <color theme="1"/>
        <rFont val="Calibri"/>
        <family val="2"/>
      </rPr>
      <t>≤ 10 m</t>
    </r>
    <r>
      <rPr>
        <vertAlign val="superscript"/>
        <sz val="11"/>
        <color theme="1"/>
        <rFont val="Calibri"/>
        <family val="2"/>
      </rPr>
      <t>2</t>
    </r>
  </si>
  <si>
    <t>Aansluiting op warmtenet</t>
  </si>
  <si>
    <t>boven 10 kW</t>
  </si>
  <si>
    <t>boven 1 kW</t>
  </si>
  <si>
    <t>Verhoging</t>
  </si>
  <si>
    <t>Totaal vast bedrag</t>
  </si>
  <si>
    <t>Opmerking</t>
  </si>
  <si>
    <t>Extra bedrag/kW</t>
  </si>
  <si>
    <r>
      <t xml:space="preserve">Lucht-water </t>
    </r>
    <r>
      <rPr>
        <sz val="11"/>
        <color theme="1"/>
        <rFont val="Calibri"/>
        <family val="2"/>
      </rPr>
      <t>≥ 1 kW en &lt; 70 kW</t>
    </r>
    <r>
      <rPr>
        <sz val="11"/>
        <color theme="1"/>
        <rFont val="Calibri"/>
        <family val="2"/>
        <scheme val="minor"/>
      </rPr>
      <t>, energieklasse A t/m G</t>
    </r>
  </si>
  <si>
    <r>
      <t>Minimum m</t>
    </r>
    <r>
      <rPr>
        <b/>
        <vertAlign val="superscript"/>
        <sz val="11"/>
        <color theme="1"/>
        <rFont val="Calibri"/>
        <family val="2"/>
        <scheme val="minor"/>
      </rPr>
      <t>2</t>
    </r>
    <r>
      <rPr>
        <b/>
        <sz val="11"/>
        <color theme="1"/>
        <rFont val="Calibri"/>
        <family val="2"/>
        <scheme val="minor"/>
      </rPr>
      <t xml:space="preserve">  (bij glas, deur, panelen per combi)</t>
    </r>
  </si>
  <si>
    <r>
      <t>Maximum m</t>
    </r>
    <r>
      <rPr>
        <b/>
        <vertAlign val="superscript"/>
        <sz val="11"/>
        <color theme="1"/>
        <rFont val="Calibri"/>
        <family val="2"/>
        <scheme val="minor"/>
      </rPr>
      <t>2</t>
    </r>
    <r>
      <rPr>
        <b/>
        <sz val="11"/>
        <color theme="1"/>
        <rFont val="Calibri"/>
        <family val="2"/>
        <scheme val="minor"/>
      </rPr>
      <t xml:space="preserve">  (bij glas, deur, panelen per combi)</t>
    </r>
  </si>
  <si>
    <t>Indicatief, werkelijk bijdrage volgens apparatenlijst</t>
  </si>
  <si>
    <t>Kozijnpanelen en isolerende deur alleen in combinatie met HR++ of triple glas</t>
  </si>
  <si>
    <r>
      <t xml:space="preserve">Dakisolatie, Rd </t>
    </r>
    <r>
      <rPr>
        <sz val="11"/>
        <color theme="1"/>
        <rFont val="Calibri"/>
        <family val="2"/>
      </rPr>
      <t xml:space="preserve">≥ 3,5 </t>
    </r>
    <r>
      <rPr>
        <sz val="11"/>
        <color theme="1"/>
        <rFont val="Calibri"/>
        <family val="2"/>
        <scheme val="minor"/>
      </rPr>
      <t>m</t>
    </r>
    <r>
      <rPr>
        <vertAlign val="superscript"/>
        <sz val="11"/>
        <color theme="1"/>
        <rFont val="Calibri"/>
        <family val="2"/>
        <scheme val="minor"/>
      </rPr>
      <t>2</t>
    </r>
    <r>
      <rPr>
        <sz val="11"/>
        <color theme="1"/>
        <rFont val="Calibri"/>
        <family val="2"/>
        <scheme val="minor"/>
      </rPr>
      <t xml:space="preserve"> K/W</t>
    </r>
  </si>
  <si>
    <r>
      <t>Zolder-of vlieringisolatie, Rd ≥ 3,5 m</t>
    </r>
    <r>
      <rPr>
        <vertAlign val="superscript"/>
        <sz val="11"/>
        <color theme="1"/>
        <rFont val="Calibri"/>
        <family val="2"/>
        <scheme val="minor"/>
      </rPr>
      <t>2</t>
    </r>
    <r>
      <rPr>
        <sz val="11"/>
        <color theme="1"/>
        <rFont val="Calibri"/>
        <family val="2"/>
        <scheme val="minor"/>
      </rPr>
      <t xml:space="preserve"> K/W</t>
    </r>
  </si>
  <si>
    <r>
      <t>Binnen-of buitengevelisolatie, Rd ≥ 3,5m</t>
    </r>
    <r>
      <rPr>
        <vertAlign val="superscript"/>
        <sz val="11"/>
        <color theme="1"/>
        <rFont val="Calibri"/>
        <family val="2"/>
        <scheme val="minor"/>
      </rPr>
      <t>2</t>
    </r>
    <r>
      <rPr>
        <sz val="11"/>
        <color theme="1"/>
        <rFont val="Calibri"/>
        <family val="2"/>
        <scheme val="minor"/>
      </rPr>
      <t xml:space="preserve"> K/W</t>
    </r>
  </si>
  <si>
    <r>
      <t>Spouwmuurisolatie, Rd ≥ 1,1 m</t>
    </r>
    <r>
      <rPr>
        <vertAlign val="superscript"/>
        <sz val="11"/>
        <color theme="1"/>
        <rFont val="Calibri"/>
        <family val="2"/>
        <scheme val="minor"/>
      </rPr>
      <t>2</t>
    </r>
    <r>
      <rPr>
        <sz val="11"/>
        <color theme="1"/>
        <rFont val="Calibri"/>
        <family val="2"/>
        <scheme val="minor"/>
      </rPr>
      <t xml:space="preserve"> K/W</t>
    </r>
  </si>
  <si>
    <r>
      <t>Vloerisolatie, Rd ≥ 3,5m</t>
    </r>
    <r>
      <rPr>
        <vertAlign val="superscript"/>
        <sz val="11"/>
        <color theme="1"/>
        <rFont val="Calibri"/>
        <family val="2"/>
        <scheme val="minor"/>
      </rPr>
      <t>2</t>
    </r>
    <r>
      <rPr>
        <sz val="11"/>
        <color theme="1"/>
        <rFont val="Calibri"/>
        <family val="2"/>
        <scheme val="minor"/>
      </rPr>
      <t xml:space="preserve"> K/W</t>
    </r>
  </si>
  <si>
    <r>
      <t>Bodemisolatie, Rd ≥ 3,5m</t>
    </r>
    <r>
      <rPr>
        <vertAlign val="superscript"/>
        <sz val="11"/>
        <color theme="1"/>
        <rFont val="Calibri"/>
        <family val="2"/>
        <scheme val="minor"/>
      </rPr>
      <t>2</t>
    </r>
    <r>
      <rPr>
        <sz val="11"/>
        <color theme="1"/>
        <rFont val="Calibri"/>
        <family val="2"/>
        <scheme val="minor"/>
      </rPr>
      <t xml:space="preserve"> K/W</t>
    </r>
  </si>
  <si>
    <r>
      <t xml:space="preserve">HR++ glas, U </t>
    </r>
    <r>
      <rPr>
        <sz val="11"/>
        <color theme="1"/>
        <rFont val="Calibri"/>
        <family val="2"/>
      </rPr>
      <t xml:space="preserve">≤ 1,2 </t>
    </r>
    <r>
      <rPr>
        <sz val="11"/>
        <color theme="1"/>
        <rFont val="Calibri"/>
        <family val="2"/>
        <scheme val="minor"/>
      </rPr>
      <t>W/m</t>
    </r>
    <r>
      <rPr>
        <vertAlign val="superscript"/>
        <sz val="11"/>
        <color theme="1"/>
        <rFont val="Calibri"/>
        <family val="2"/>
        <scheme val="minor"/>
      </rPr>
      <t>2</t>
    </r>
    <r>
      <rPr>
        <sz val="11"/>
        <color theme="1"/>
        <rFont val="Calibri"/>
        <family val="2"/>
        <scheme val="minor"/>
      </rPr>
      <t>K</t>
    </r>
  </si>
  <si>
    <r>
      <t>Panelen in kozijn, U ≤ 1,2 W/m</t>
    </r>
    <r>
      <rPr>
        <vertAlign val="superscript"/>
        <sz val="11"/>
        <color theme="1"/>
        <rFont val="Calibri"/>
        <family val="2"/>
        <scheme val="minor"/>
      </rPr>
      <t>2</t>
    </r>
    <r>
      <rPr>
        <sz val="11"/>
        <color theme="1"/>
        <rFont val="Calibri"/>
        <family val="2"/>
        <scheme val="minor"/>
      </rPr>
      <t>K</t>
    </r>
  </si>
  <si>
    <r>
      <t>Triple glas, U ≤ 0,7 W/m</t>
    </r>
    <r>
      <rPr>
        <vertAlign val="superscript"/>
        <sz val="11"/>
        <color theme="1"/>
        <rFont val="Calibri"/>
        <family val="2"/>
        <scheme val="minor"/>
      </rPr>
      <t>2</t>
    </r>
    <r>
      <rPr>
        <sz val="11"/>
        <color theme="1"/>
        <rFont val="Calibri"/>
        <family val="2"/>
        <scheme val="minor"/>
      </rPr>
      <t>K</t>
    </r>
  </si>
  <si>
    <r>
      <t>Panelen in kozijn, U ≤ 0,7 W/m</t>
    </r>
    <r>
      <rPr>
        <vertAlign val="superscript"/>
        <sz val="11"/>
        <color theme="1"/>
        <rFont val="Calibri"/>
        <family val="2"/>
        <scheme val="minor"/>
      </rPr>
      <t>2</t>
    </r>
    <r>
      <rPr>
        <sz val="11"/>
        <color theme="1"/>
        <rFont val="Calibri"/>
        <family val="2"/>
        <scheme val="minor"/>
      </rPr>
      <t>K</t>
    </r>
  </si>
  <si>
    <r>
      <t>Isolerende deur, Ud ≤ 1,0 W/m</t>
    </r>
    <r>
      <rPr>
        <vertAlign val="superscript"/>
        <sz val="11"/>
        <color theme="1"/>
        <rFont val="Calibri"/>
        <family val="2"/>
        <scheme val="minor"/>
      </rPr>
      <t>2</t>
    </r>
    <r>
      <rPr>
        <sz val="11"/>
        <color theme="1"/>
        <rFont val="Calibri"/>
        <family val="2"/>
        <scheme val="minor"/>
      </rPr>
      <t>K</t>
    </r>
  </si>
  <si>
    <r>
      <t>Isolerende deur, Ud ≤ 1,5 W/m</t>
    </r>
    <r>
      <rPr>
        <vertAlign val="superscript"/>
        <sz val="11"/>
        <color theme="1"/>
        <rFont val="Calibri"/>
        <family val="2"/>
        <scheme val="minor"/>
      </rPr>
      <t>2</t>
    </r>
    <r>
      <rPr>
        <sz val="11"/>
        <color theme="1"/>
        <rFont val="Calibri"/>
        <family val="2"/>
        <scheme val="minor"/>
      </rPr>
      <t>K</t>
    </r>
  </si>
  <si>
    <t xml:space="preserve">Glas-, kozijnpanelen- of isolerende deur	</t>
  </si>
  <si>
    <t>Keuzelijst warmtepomp</t>
  </si>
  <si>
    <t>Geen warmtepomp</t>
  </si>
  <si>
    <t>Kies soort warmtepomp:</t>
  </si>
  <si>
    <r>
      <t>Subsidiebedrag warmtepomp (</t>
    </r>
    <r>
      <rPr>
        <sz val="11"/>
        <rFont val="Calibri"/>
        <family val="2"/>
      </rPr>
      <t>€)</t>
    </r>
    <r>
      <rPr>
        <sz val="11"/>
        <rFont val="Calibri"/>
        <family val="2"/>
        <scheme val="minor"/>
      </rPr>
      <t>:</t>
    </r>
  </si>
  <si>
    <t>Kies soort zonneboiler:</t>
  </si>
  <si>
    <r>
      <t>Subsidiebedrag zonneboiler (</t>
    </r>
    <r>
      <rPr>
        <sz val="11"/>
        <rFont val="Calibri"/>
        <family val="2"/>
      </rPr>
      <t>€)</t>
    </r>
    <r>
      <rPr>
        <sz val="11"/>
        <rFont val="Calibri"/>
        <family val="2"/>
        <scheme val="minor"/>
      </rPr>
      <t>:</t>
    </r>
  </si>
  <si>
    <t>Keuzelijst zonneboiler</t>
  </si>
  <si>
    <t>Geen zonneboiler</t>
  </si>
  <si>
    <t>Keuzelijst aansluiting op een warmtenet</t>
  </si>
  <si>
    <t>Hulpcel voor invoerbegrenzing invulveld warmtepompvermogen en berekening subsidiebedrag warmtepomp</t>
  </si>
  <si>
    <t>Kies dakisolatie:</t>
  </si>
  <si>
    <t>Kies gevelisolatie:</t>
  </si>
  <si>
    <t>Kies spouwmuurisolatie:</t>
  </si>
  <si>
    <t>Kies vloerisolatie:</t>
  </si>
  <si>
    <t>Geen dakisolatie</t>
  </si>
  <si>
    <t>Geen gevelisolatie</t>
  </si>
  <si>
    <t>Geen spouwmuurisolatie</t>
  </si>
  <si>
    <t>Geen vloerisolatie</t>
  </si>
  <si>
    <t>Geen glasisolatie</t>
  </si>
  <si>
    <t>Geen elektrische kookvoorziening</t>
  </si>
  <si>
    <t>Elektrische kookvoorziening</t>
  </si>
  <si>
    <t>Elektrische kookvoorziening alleen in combinatie met aansluiting op warmtenet</t>
  </si>
  <si>
    <t>Niet van toepassing</t>
  </si>
  <si>
    <r>
      <t>Subsidiebedrag aansluiting op warmtenet (</t>
    </r>
    <r>
      <rPr>
        <sz val="11"/>
        <rFont val="Calibri"/>
        <family val="2"/>
      </rPr>
      <t>€)</t>
    </r>
    <r>
      <rPr>
        <sz val="11"/>
        <rFont val="Calibri"/>
        <family val="2"/>
        <scheme val="minor"/>
      </rPr>
      <t>:</t>
    </r>
  </si>
  <si>
    <r>
      <t>Subsidiebedrag elektrische kookvoorziening (</t>
    </r>
    <r>
      <rPr>
        <sz val="11"/>
        <rFont val="Calibri"/>
        <family val="2"/>
      </rPr>
      <t>€)</t>
    </r>
    <r>
      <rPr>
        <sz val="11"/>
        <rFont val="Calibri"/>
        <family val="2"/>
        <scheme val="minor"/>
      </rPr>
      <t>:</t>
    </r>
  </si>
  <si>
    <t>Keuzelijst energie-efficiency klasse</t>
  </si>
  <si>
    <t>Toeslag</t>
  </si>
  <si>
    <t>Toeslag euro/kW vermogen</t>
  </si>
  <si>
    <t>Grond-water ≥ 70 kW en ≤ 400 kW</t>
  </si>
  <si>
    <t>Water-water ≥ 70 kW en ≤ 400 kW</t>
  </si>
  <si>
    <t>boven 70 kW</t>
  </si>
  <si>
    <t>Ondergrens vermogen voor toeslag euro/kW</t>
  </si>
  <si>
    <t>Bovengrens vermogen voor toeslag euro/kW</t>
  </si>
  <si>
    <t>Ondergrens</t>
  </si>
  <si>
    <t>Bovengrens</t>
  </si>
  <si>
    <t>Overzicht categorieën en kentallen</t>
  </si>
  <si>
    <t>Keuzelijsten en vervolglijsten</t>
  </si>
  <si>
    <r>
      <t xml:space="preserve">Lucht-water </t>
    </r>
    <r>
      <rPr>
        <sz val="11"/>
        <rFont val="Calibri"/>
        <family val="2"/>
      </rPr>
      <t>≥ 70 kW en ≤ 400 kW</t>
    </r>
  </si>
  <si>
    <r>
      <t xml:space="preserve">Lucht-water ≥ 70 kW en </t>
    </r>
    <r>
      <rPr>
        <sz val="11"/>
        <rFont val="Calibri"/>
        <family val="2"/>
      </rPr>
      <t>≤</t>
    </r>
    <r>
      <rPr>
        <sz val="11"/>
        <rFont val="Calibri"/>
        <family val="2"/>
        <scheme val="minor"/>
      </rPr>
      <t xml:space="preserve"> 400 kW</t>
    </r>
  </si>
  <si>
    <r>
      <t xml:space="preserve">Grond-water ≥ 70 kW en </t>
    </r>
    <r>
      <rPr>
        <sz val="11"/>
        <rFont val="Calibri"/>
        <family val="2"/>
      </rPr>
      <t>≤</t>
    </r>
    <r>
      <rPr>
        <sz val="11"/>
        <rFont val="Calibri"/>
        <family val="2"/>
        <scheme val="minor"/>
      </rPr>
      <t xml:space="preserve"> 400 kW</t>
    </r>
  </si>
  <si>
    <r>
      <t xml:space="preserve">Water-water ≥ 70 kW en </t>
    </r>
    <r>
      <rPr>
        <sz val="11"/>
        <rFont val="Calibri"/>
        <family val="2"/>
      </rPr>
      <t>≤</t>
    </r>
    <r>
      <rPr>
        <sz val="11"/>
        <rFont val="Calibri"/>
        <family val="2"/>
        <scheme val="minor"/>
      </rPr>
      <t xml:space="preserve"> 400 kW</t>
    </r>
  </si>
  <si>
    <t>Keuzelijst dakisolatie</t>
  </si>
  <si>
    <t>keuzelijst gevelisolatie</t>
  </si>
  <si>
    <t>keuzelijst spouwmuurisolatie</t>
  </si>
  <si>
    <t>Keuzelijst vloerisolatie</t>
  </si>
  <si>
    <r>
      <t>Totale indicatieve subsidiebedrag (</t>
    </r>
    <r>
      <rPr>
        <b/>
        <sz val="14"/>
        <color theme="1"/>
        <rFont val="Calibri"/>
        <family val="2"/>
      </rPr>
      <t>€):</t>
    </r>
  </si>
  <si>
    <r>
      <t>Subsidiebedrag maatregel (</t>
    </r>
    <r>
      <rPr>
        <sz val="11"/>
        <color theme="1"/>
        <rFont val="Calibri"/>
        <family val="2"/>
      </rPr>
      <t>€)</t>
    </r>
  </si>
  <si>
    <r>
      <t>Subsidiebedrag per m</t>
    </r>
    <r>
      <rPr>
        <vertAlign val="superscript"/>
        <sz val="11"/>
        <color theme="1"/>
        <rFont val="Calibri"/>
        <family val="2"/>
        <scheme val="minor"/>
      </rPr>
      <t>2</t>
    </r>
    <r>
      <rPr>
        <sz val="11"/>
        <color theme="1"/>
        <rFont val="Calibri"/>
        <family val="2"/>
        <scheme val="minor"/>
      </rPr>
      <t xml:space="preserve"> (€)</t>
    </r>
  </si>
  <si>
    <r>
      <t>Te isoleren oppervlak (m</t>
    </r>
    <r>
      <rPr>
        <vertAlign val="superscript"/>
        <sz val="11"/>
        <color theme="1"/>
        <rFont val="Calibri"/>
        <family val="2"/>
        <scheme val="minor"/>
      </rPr>
      <t>2</t>
    </r>
    <r>
      <rPr>
        <sz val="11"/>
        <color theme="1"/>
        <rFont val="Calibri"/>
        <family val="2"/>
        <scheme val="minor"/>
      </rPr>
      <t>)</t>
    </r>
  </si>
  <si>
    <t>Minimum subsidiabel oppervlak</t>
  </si>
  <si>
    <t>Maximum subsidiabel oppervlak</t>
  </si>
  <si>
    <r>
      <t>Subsidiabel oppervlak min. (m</t>
    </r>
    <r>
      <rPr>
        <vertAlign val="superscript"/>
        <sz val="11"/>
        <color theme="1"/>
        <rFont val="Calibri"/>
        <family val="2"/>
        <scheme val="minor"/>
      </rPr>
      <t>2</t>
    </r>
    <r>
      <rPr>
        <sz val="11"/>
        <color theme="1"/>
        <rFont val="Calibri"/>
        <family val="2"/>
        <scheme val="minor"/>
      </rPr>
      <t>) - max. (m</t>
    </r>
    <r>
      <rPr>
        <vertAlign val="superscript"/>
        <sz val="11"/>
        <color theme="1"/>
        <rFont val="Calibri"/>
        <family val="2"/>
        <scheme val="minor"/>
      </rPr>
      <t>2</t>
    </r>
    <r>
      <rPr>
        <sz val="11"/>
        <color theme="1"/>
        <rFont val="Calibri"/>
        <family val="2"/>
        <scheme val="minor"/>
      </rPr>
      <t>)</t>
    </r>
  </si>
  <si>
    <t>Datum uitvoering isolatiemaatregel</t>
  </si>
  <si>
    <t>Keuzelijst datum uitvoering maatregel</t>
  </si>
  <si>
    <t>HR++ glas, U ≤ 1,2 W/m2K en/of Triple glas, U ≤ 0,7 W/m2K</t>
  </si>
  <si>
    <t>Tabel bij keuze HR++ glas, U ≤ 1,2 W/m2K en/of Triple glas, U ≤ 0,7 W/m2K</t>
  </si>
  <si>
    <r>
      <t>Totaal glas, deuren, panelen m</t>
    </r>
    <r>
      <rPr>
        <b/>
        <vertAlign val="superscript"/>
        <sz val="11"/>
        <color theme="1"/>
        <rFont val="Calibri"/>
        <family val="2"/>
        <scheme val="minor"/>
      </rPr>
      <t>2</t>
    </r>
    <r>
      <rPr>
        <b/>
        <sz val="11"/>
        <color theme="1"/>
        <rFont val="Calibri"/>
        <family val="2"/>
        <scheme val="minor"/>
      </rPr>
      <t>:</t>
    </r>
  </si>
  <si>
    <t>Antwoord op vraag uitvoeringsdatum</t>
  </si>
  <si>
    <r>
      <t>Gezamenlijk subsidiabel oppervlak glas+panelen+deuren 
min. (m</t>
    </r>
    <r>
      <rPr>
        <vertAlign val="superscript"/>
        <sz val="11"/>
        <color theme="1"/>
        <rFont val="Calibri"/>
        <family val="2"/>
        <scheme val="minor"/>
      </rPr>
      <t>2</t>
    </r>
    <r>
      <rPr>
        <sz val="11"/>
        <color theme="1"/>
        <rFont val="Calibri"/>
        <family val="2"/>
        <scheme val="minor"/>
      </rPr>
      <t>) - max. (m</t>
    </r>
    <r>
      <rPr>
        <vertAlign val="superscript"/>
        <sz val="11"/>
        <color theme="1"/>
        <rFont val="Calibri"/>
        <family val="2"/>
        <scheme val="minor"/>
      </rPr>
      <t>2</t>
    </r>
    <r>
      <rPr>
        <sz val="11"/>
        <color theme="1"/>
        <rFont val="Calibri"/>
        <family val="2"/>
        <scheme val="minor"/>
      </rPr>
      <t>)</t>
    </r>
  </si>
  <si>
    <t>Subsidiebedrag  2022 (euro/m2)</t>
  </si>
  <si>
    <t>Subsidiebedrag  2023 (euro/m2)</t>
  </si>
  <si>
    <r>
      <t xml:space="preserve">Bedrag </t>
    </r>
    <r>
      <rPr>
        <b/>
        <sz val="11"/>
        <color theme="1"/>
        <rFont val="Calibri"/>
        <family val="2"/>
      </rPr>
      <t>€/m</t>
    </r>
    <r>
      <rPr>
        <b/>
        <vertAlign val="superscript"/>
        <sz val="11"/>
        <color theme="1"/>
        <rFont val="Calibri"/>
        <family val="2"/>
      </rPr>
      <t>2</t>
    </r>
    <r>
      <rPr>
        <b/>
        <sz val="11"/>
        <color theme="1"/>
        <rFont val="Calibri"/>
        <family val="2"/>
        <scheme val="minor"/>
      </rPr>
      <t xml:space="preserve"> isolatie
bij één maatregel (alleen vanaf 2 april 2022)</t>
    </r>
  </si>
  <si>
    <r>
      <t xml:space="preserve">Bedrag </t>
    </r>
    <r>
      <rPr>
        <b/>
        <sz val="11"/>
        <color theme="1"/>
        <rFont val="Calibri"/>
        <family val="2"/>
      </rPr>
      <t>€/m</t>
    </r>
    <r>
      <rPr>
        <b/>
        <vertAlign val="superscript"/>
        <sz val="11"/>
        <color theme="1"/>
        <rFont val="Calibri"/>
        <family val="2"/>
      </rPr>
      <t>2</t>
    </r>
    <r>
      <rPr>
        <b/>
        <sz val="11"/>
        <color theme="1"/>
        <rFont val="Calibri"/>
        <family val="2"/>
        <scheme val="minor"/>
      </rPr>
      <t xml:space="preserve"> isolatie
bij één maatregel vanaf 1 januari 2023</t>
    </r>
  </si>
  <si>
    <t xml:space="preserve">Totaal aantal geselecteerde cateogorieën </t>
  </si>
  <si>
    <t>Subsidiebedrag multiplier</t>
  </si>
  <si>
    <t>Subsidiebedrag bij één maatregel</t>
  </si>
  <si>
    <t>Berekend subsidiebedrag per m2 (afhankelijk van uitvoeringsdatum en aantal maatregelen)</t>
  </si>
  <si>
    <t>Tarief o.b.v. gekozen jaar</t>
  </si>
  <si>
    <t>Tellertje aantal geselecteerde technieken t.b.v. verdubbeling tarief isolatiemaatregelen</t>
  </si>
  <si>
    <t xml:space="preserve">Keuzelijst vraag type glas </t>
  </si>
  <si>
    <t>Keuzelijst type panelen en deuren</t>
  </si>
  <si>
    <t>Antwoord op ja/nee vraag bij type glas, deuren en panelen (1=Ja, 2=Nee)</t>
  </si>
  <si>
    <r>
      <t>Subsidiabele m</t>
    </r>
    <r>
      <rPr>
        <vertAlign val="superscript"/>
        <sz val="11"/>
        <color theme="1"/>
        <rFont val="Calibri"/>
        <family val="2"/>
        <scheme val="minor"/>
      </rPr>
      <t>2</t>
    </r>
    <r>
      <rPr>
        <sz val="11"/>
        <color theme="1"/>
        <rFont val="Calibri"/>
        <family val="2"/>
        <scheme val="minor"/>
      </rPr>
      <t xml:space="preserve"> (rekening houdend met 45 m</t>
    </r>
    <r>
      <rPr>
        <vertAlign val="superscript"/>
        <sz val="11"/>
        <color theme="1"/>
        <rFont val="Calibri"/>
        <family val="2"/>
        <scheme val="minor"/>
      </rPr>
      <t xml:space="preserve">2 </t>
    </r>
    <r>
      <rPr>
        <sz val="11"/>
        <color theme="1"/>
        <rFont val="Calibri"/>
        <family val="2"/>
        <scheme val="minor"/>
      </rPr>
      <t>maximum)</t>
    </r>
  </si>
  <si>
    <t>1. Heeft u al eerder ISDE-subsidie ontvangen?</t>
  </si>
  <si>
    <t>Heeft u al eerder ISDE-subsidie ontvangen?</t>
  </si>
  <si>
    <t>Keuzelijst vraag eerder ISDE-subsidie ontvangen</t>
  </si>
  <si>
    <t>Ja</t>
  </si>
  <si>
    <t>Nee</t>
  </si>
  <si>
    <r>
      <t>Totaal glas, paneel en deurisolatie (</t>
    </r>
    <r>
      <rPr>
        <b/>
        <sz val="11"/>
        <color theme="1"/>
        <rFont val="Calibri"/>
        <family val="2"/>
      </rPr>
      <t>€)</t>
    </r>
    <r>
      <rPr>
        <b/>
        <sz val="11"/>
        <color theme="1"/>
        <rFont val="Calibri"/>
        <family val="2"/>
        <scheme val="minor"/>
      </rPr>
      <t>:</t>
    </r>
  </si>
  <si>
    <t xml:space="preserve">Meer informatie over de onderstaande technieken vindt u op de ISDE-website: </t>
  </si>
  <si>
    <t>2. Wilt u isolatiemaatregelen laten uitvoeren?</t>
  </si>
  <si>
    <t xml:space="preserve">Let op: </t>
  </si>
  <si>
    <t xml:space="preserve">Kies in uw subsidieaanvraag tussen dakisolatie of zolder/vlieringisolatie: u krijgt maar voor één van deze maatregelen subsidie. </t>
  </si>
  <si>
    <t>Kies in uw subsidieaanvraag tussen vloerisolatie of bodemisolatie: u krijgt maar voor één van deze maatregelen subsidie.</t>
  </si>
  <si>
    <t>5. Wilt u een bestaande koopwoning laten aansluiten op een warmtenet?</t>
  </si>
  <si>
    <t>3. Wilt u een warmtepomp laten installeren?</t>
  </si>
  <si>
    <t>4. Wilt u een zonneboiler laten installeren?</t>
  </si>
  <si>
    <t>Wilt u glasisolatie laten plaatsen?</t>
  </si>
  <si>
    <t xml:space="preserve">Rekentool ISDE voor woningeigenaren </t>
  </si>
  <si>
    <t xml:space="preserve"> (versie januari 2023) </t>
  </si>
  <si>
    <t xml:space="preserve">Kiest u voor HR++ en/of Triple glasisolatie? Dan komen ook onderstaande types panelen en deuren in aanmerking. </t>
  </si>
  <si>
    <t xml:space="preserve">Bereken met deze rekentool ISDE voor woningeigenaren (eigenaar-bewoners) hoeveel subsidie u kunt verwachten als u één of meerdere maatregelen neemt. Welke maatregelen wilt u laten uitvoeren?
Vraag in 2023 subsidie aan voor maatregelen die zijn uitgevoerd op of ná 1 januari 2022. 
Subsidie aanvragen voor isolatiemaatregelen die zijn uitgevoerd vóór 2 april 2022? Dat kan alleen als er sprake is van minimaal twee maatregelen. Dat mogen twee verschillende typen isolatiemaatregelen zijn of een isolatiemaatregel gecombineerd met de installatie van een warmtepomp of zonneboiler of aansluiting op een warmtenet. 
Subsidie aanvragen voor één enkele isolatiemaatregel? Dat kan als u de maatregel heeft laten uitvoeren vanaf 2 april 2022. Bij één isolatiemaatregel is het subsidiebedrag wat lager dan bij twee of meer maatregelen. Maar dit bedrag wordt verdubbeld als u binnen 24 maanden een 2e (of meer) maatregelen neemt. 
Vul deze rekentool volledig in en krijg een goede indicatie van het te verwachten subsidiebedrag. Deze tool houdt rekening met het aantal maatregelen en wanneer die zijn uitgevoerd. Aan de berekening kunnen geen rechten worden ontleend. </t>
  </si>
  <si>
    <t>Heeft u voor de aansluiting warmtenet al  eerder  subsidie ontvangen van de Rijksoverheid?</t>
  </si>
  <si>
    <t>Aansluiting op een warmtenet op of ná 1 januari 2022</t>
  </si>
  <si>
    <t xml:space="preserve"> </t>
  </si>
  <si>
    <t>Keuzelijsten elektrische kookvoorziening</t>
  </si>
  <si>
    <t xml:space="preserve"> Is uw woning aangesloten op een warmtenet?</t>
  </si>
  <si>
    <t>Is uw woning afgesloten van het aardgasnet en de elektrische kookvoorziening aangeschaft op of ná 1 april 2022?</t>
  </si>
  <si>
    <t>Heeft u uw woning op een warmtenet aangesloten?</t>
  </si>
  <si>
    <t>Geen aansluiting warmtenet/aansluiting vóór 1 januari 2022</t>
  </si>
  <si>
    <r>
      <t>Subsidiabele m</t>
    </r>
    <r>
      <rPr>
        <vertAlign val="superscript"/>
        <sz val="11"/>
        <color theme="1"/>
        <rFont val="Calibri"/>
        <family val="2"/>
        <scheme val="minor"/>
      </rPr>
      <t>2</t>
    </r>
    <r>
      <rPr>
        <sz val="11"/>
        <color theme="1"/>
        <rFont val="Calibri"/>
        <family val="2"/>
        <scheme val="minor"/>
      </rPr>
      <t xml:space="preserve"> </t>
    </r>
  </si>
  <si>
    <t xml:space="preserve">6. Wilt u een elektrische kookvoorziening aanschaffen? </t>
  </si>
  <si>
    <t>Wilt u een elektrische kookvoorziening aanschaffen?</t>
  </si>
  <si>
    <t>Subtellertje glastechnieken en m2</t>
  </si>
  <si>
    <t>Bereken in zes stappen uw mogelijke subsidie (Let op! U kunt alleen de blauwe velden invullen of aanpassen):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</si>
</sst>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32">
    <font>
      <sz val="11"/>
      <color theme="1"/>
      <name val="Calibri"/>
      <family val="2"/>
      <scheme val="minor"/>
    </font>
    <font>
      <u/>
      <sz val="11"/>
      <color theme="10"/>
      <name val="Calibri"/>
      <family val="2"/>
      <scheme val="minor"/>
    </font>
    <font>
      <b/>
      <sz val="24"/>
      <name val="Sans"/>
    </font>
    <font>
      <sz val="12"/>
      <name val="Sans"/>
    </font>
    <font>
      <sz val="18"/>
      <name val="Sans"/>
    </font>
    <font>
      <u/>
      <sz val="11"/>
      <name val="Calibri"/>
      <family val="2"/>
      <scheme val="minor"/>
    </font>
    <font>
      <b/>
      <sz val="11"/>
      <color theme="1"/>
      <name val="Calibri"/>
      <family val="2"/>
      <scheme val="minor"/>
    </font>
    <font>
      <sz val="11"/>
      <color rgb="FFFF0000"/>
      <name val="Calibri"/>
      <family val="2"/>
      <scheme val="minor"/>
    </font>
    <font>
      <sz val="11"/>
      <color theme="1"/>
      <name val="Calibri"/>
      <family val="2"/>
    </font>
    <font>
      <sz val="8"/>
      <name val="Calibri"/>
      <family val="2"/>
      <scheme val="minor"/>
    </font>
    <font>
      <b/>
      <sz val="11"/>
      <color theme="1"/>
      <name val="Calibri"/>
      <family val="2"/>
    </font>
    <font>
      <vertAlign val="superscript"/>
      <sz val="11"/>
      <color theme="1"/>
      <name val="Calibri"/>
      <family val="2"/>
    </font>
    <font>
      <b/>
      <vertAlign val="superscript"/>
      <sz val="11"/>
      <color theme="1"/>
      <name val="Calibri"/>
      <family val="2"/>
      <scheme val="minor"/>
    </font>
    <font>
      <b/>
      <sz val="11"/>
      <color rgb="FFFF0000"/>
      <name val="Calibri"/>
      <family val="2"/>
      <scheme val="minor"/>
    </font>
    <font>
      <sz val="11"/>
      <name val="Calibri"/>
      <family val="2"/>
      <scheme val="minor"/>
    </font>
    <font>
      <b/>
      <sz val="11"/>
      <name val="Calibri"/>
      <family val="2"/>
      <scheme val="minor"/>
    </font>
    <font>
      <b/>
      <vertAlign val="superscript"/>
      <sz val="11"/>
      <color theme="1"/>
      <name val="Calibri"/>
      <family val="2"/>
    </font>
    <font>
      <vertAlign val="superscript"/>
      <sz val="11"/>
      <color theme="1"/>
      <name val="Calibri"/>
      <family val="2"/>
      <scheme val="minor"/>
    </font>
    <font>
      <sz val="11"/>
      <name val="Calibri"/>
      <family val="2"/>
    </font>
    <font>
      <b/>
      <sz val="14"/>
      <color theme="1"/>
      <name val="Calibri"/>
      <family val="2"/>
      <scheme val="minor"/>
    </font>
    <font>
      <b/>
      <sz val="14"/>
      <color theme="1"/>
      <name val="Calibri"/>
      <family val="2"/>
    </font>
    <font>
      <b/>
      <sz val="12"/>
      <color rgb="FF000000"/>
      <name val="Sans"/>
    </font>
    <font>
      <b/>
      <sz val="12"/>
      <name val="Sans"/>
    </font>
    <font>
      <b/>
      <sz val="14"/>
      <name val="Calibri"/>
      <family val="2"/>
      <scheme val="minor"/>
    </font>
    <font>
      <sz val="9"/>
      <color indexed="81"/>
      <name val="Tahoma"/>
      <family val="2"/>
    </font>
    <font>
      <b/>
      <sz val="9"/>
      <color indexed="81"/>
      <name val="Tahoma"/>
      <family val="2"/>
    </font>
    <font>
      <sz val="18"/>
      <color rgb="FF000000"/>
      <name val="Sans"/>
    </font>
    <font>
      <sz val="11"/>
      <color rgb="FF000000"/>
      <name val="Calibri"/>
      <family val="2"/>
    </font>
    <font>
      <sz val="11"/>
      <color rgb="FFC00000"/>
      <name val="Calibri"/>
      <family val="2"/>
      <scheme val="minor"/>
    </font>
    <font>
      <b/>
      <sz val="11"/>
      <color rgb="FFC00000"/>
      <name val="Calibri"/>
      <family val="2"/>
      <scheme val="minor"/>
    </font>
    <font>
      <b/>
      <sz val="11"/>
      <color rgb="FFD4351C"/>
      <name val="Calibri"/>
      <family val="2"/>
      <scheme val="minor"/>
    </font>
    <font>
      <sz val="11"/>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8F8F8"/>
        <bgColor indexed="64"/>
      </patternFill>
    </fill>
    <fill>
      <patternFill patternType="solid">
        <fgColor rgb="FF007BC7"/>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applyNumberFormat="0" applyFill="0" applyBorder="0" applyAlignment="0" applyProtection="0"/>
  </cellStyleXfs>
  <cellXfs count="97">
    <xf numFmtId="0" fontId="0" fillId="0" borderId="0" xfId="0"/>
    <xf numFmtId="0" fontId="6" fillId="0" borderId="0" xfId="0" applyFont="1"/>
    <xf numFmtId="0" fontId="6" fillId="0" borderId="0" xfId="0" applyFont="1" applyAlignment="1">
      <alignment horizontal="right"/>
    </xf>
    <xf numFmtId="0" fontId="7" fillId="0" borderId="0" xfId="0" applyFont="1"/>
    <xf numFmtId="0" fontId="14" fillId="0" borderId="0" xfId="0" applyFont="1"/>
    <xf numFmtId="0" fontId="15" fillId="0" borderId="0" xfId="0" applyFont="1" applyAlignment="1">
      <alignment horizontal="right"/>
    </xf>
    <xf numFmtId="0" fontId="13" fillId="0" borderId="0" xfId="0" applyFont="1" applyAlignment="1">
      <alignment horizontal="left"/>
    </xf>
    <xf numFmtId="0" fontId="6" fillId="0" borderId="0" xfId="0" applyFont="1" applyAlignment="1">
      <alignment horizontal="left" wrapText="1"/>
    </xf>
    <xf numFmtId="0" fontId="6" fillId="0" borderId="0" xfId="0" applyFont="1" applyAlignment="1">
      <alignment horizontal="right" vertical="top" wrapText="1"/>
    </xf>
    <xf numFmtId="0" fontId="0" fillId="0" borderId="0" xfId="0" applyFill="1"/>
    <xf numFmtId="0" fontId="6" fillId="0" borderId="0" xfId="0" applyFont="1" applyAlignment="1">
      <alignment vertical="top"/>
    </xf>
    <xf numFmtId="0" fontId="0" fillId="0" borderId="0" xfId="0" applyFont="1"/>
    <xf numFmtId="0" fontId="15" fillId="0" borderId="0" xfId="0" applyFont="1"/>
    <xf numFmtId="0" fontId="0" fillId="0" borderId="0" xfId="0" applyFont="1" applyAlignment="1">
      <alignment horizontal="right"/>
    </xf>
    <xf numFmtId="0" fontId="14" fillId="0" borderId="0" xfId="0" applyFont="1" applyAlignment="1">
      <alignment horizontal="right"/>
    </xf>
    <xf numFmtId="0" fontId="13" fillId="0" borderId="0" xfId="0" applyFont="1"/>
    <xf numFmtId="0" fontId="0" fillId="0" borderId="0" xfId="0" applyAlignment="1">
      <alignment wrapText="1"/>
    </xf>
    <xf numFmtId="0" fontId="19" fillId="0" borderId="0" xfId="0" applyFont="1"/>
    <xf numFmtId="0" fontId="23" fillId="0" borderId="0" xfId="0" applyFont="1"/>
    <xf numFmtId="0" fontId="14" fillId="0" borderId="0" xfId="0" applyFont="1" applyFill="1"/>
    <xf numFmtId="0" fontId="0" fillId="2" borderId="0" xfId="0" applyFill="1" applyProtection="1"/>
    <xf numFmtId="0" fontId="0" fillId="0" borderId="0" xfId="0" applyAlignment="1">
      <alignment wrapText="1"/>
    </xf>
    <xf numFmtId="0" fontId="0" fillId="3" borderId="0" xfId="0" applyFill="1" applyProtection="1"/>
    <xf numFmtId="0" fontId="2" fillId="3" borderId="0" xfId="0" applyFont="1" applyFill="1" applyProtection="1"/>
    <xf numFmtId="0" fontId="3" fillId="3" borderId="0" xfId="0" applyFont="1" applyFill="1" applyAlignment="1" applyProtection="1">
      <alignment vertical="center" wrapText="1"/>
    </xf>
    <xf numFmtId="0" fontId="0" fillId="3" borderId="0" xfId="0" applyFill="1" applyAlignment="1" applyProtection="1">
      <alignment wrapText="1"/>
    </xf>
    <xf numFmtId="0" fontId="22" fillId="3" borderId="0" xfId="0" applyFont="1" applyFill="1" applyAlignment="1" applyProtection="1">
      <alignment vertical="center"/>
    </xf>
    <xf numFmtId="0" fontId="5" fillId="3" borderId="0" xfId="1" applyFont="1" applyFill="1" applyAlignment="1" applyProtection="1">
      <alignment horizontal="left" vertical="center"/>
    </xf>
    <xf numFmtId="0" fontId="0" fillId="3" borderId="0" xfId="0" applyFill="1" applyAlignment="1" applyProtection="1">
      <alignment vertical="center"/>
    </xf>
    <xf numFmtId="0" fontId="1" fillId="3" borderId="0" xfId="1" applyFill="1" applyAlignment="1" applyProtection="1">
      <alignment horizontal="left" vertical="center"/>
    </xf>
    <xf numFmtId="0" fontId="5" fillId="3" borderId="0" xfId="1" applyFont="1" applyFill="1" applyAlignment="1" applyProtection="1">
      <alignment horizontal="left" vertical="center" wrapText="1"/>
    </xf>
    <xf numFmtId="0" fontId="21" fillId="3" borderId="0" xfId="0" applyFont="1" applyFill="1" applyAlignment="1" applyProtection="1">
      <alignment vertical="center" wrapText="1"/>
    </xf>
    <xf numFmtId="0" fontId="6" fillId="3" borderId="0" xfId="0" applyFont="1" applyFill="1" applyAlignment="1" applyProtection="1">
      <alignment wrapText="1"/>
    </xf>
    <xf numFmtId="0" fontId="26" fillId="3" borderId="0" xfId="0" applyFont="1" applyFill="1" applyAlignment="1" applyProtection="1">
      <alignment vertical="center"/>
    </xf>
    <xf numFmtId="0" fontId="27" fillId="3" borderId="0" xfId="0" applyFont="1" applyFill="1" applyAlignment="1" applyProtection="1">
      <alignment vertical="center"/>
    </xf>
    <xf numFmtId="0" fontId="27" fillId="3" borderId="0" xfId="0" applyFont="1" applyFill="1" applyAlignment="1" applyProtection="1">
      <alignment vertical="center" wrapText="1"/>
    </xf>
    <xf numFmtId="0" fontId="30" fillId="3" borderId="0" xfId="0" applyFont="1" applyFill="1" applyProtection="1"/>
    <xf numFmtId="0" fontId="4" fillId="3" borderId="0" xfId="0" applyFont="1" applyFill="1" applyAlignment="1" applyProtection="1">
      <alignment vertical="center"/>
    </xf>
    <xf numFmtId="0" fontId="30" fillId="3" borderId="0" xfId="0" applyFont="1" applyFill="1"/>
    <xf numFmtId="0" fontId="14" fillId="3" borderId="0" xfId="0" applyFont="1" applyFill="1" applyProtection="1"/>
    <xf numFmtId="0" fontId="0" fillId="3" borderId="0" xfId="0" applyFill="1" applyAlignment="1" applyProtection="1">
      <alignment horizontal="left" wrapText="1"/>
    </xf>
    <xf numFmtId="0" fontId="0" fillId="3" borderId="0" xfId="0" applyFill="1" applyBorder="1" applyProtection="1"/>
    <xf numFmtId="0" fontId="0" fillId="3" borderId="1" xfId="0" applyFill="1" applyBorder="1" applyAlignment="1" applyProtection="1">
      <alignment horizontal="center"/>
    </xf>
    <xf numFmtId="43" fontId="0" fillId="3" borderId="1" xfId="0" applyNumberFormat="1" applyFill="1" applyBorder="1" applyAlignment="1" applyProtection="1"/>
    <xf numFmtId="0" fontId="0" fillId="3" borderId="1" xfId="0" applyFill="1" applyBorder="1" applyProtection="1"/>
    <xf numFmtId="4" fontId="0" fillId="3" borderId="1" xfId="0" applyNumberFormat="1" applyFill="1" applyBorder="1" applyProtection="1"/>
    <xf numFmtId="0" fontId="0" fillId="3" borderId="0" xfId="0" applyFill="1" applyAlignment="1" applyProtection="1">
      <alignment horizontal="center"/>
    </xf>
    <xf numFmtId="0" fontId="0" fillId="3" borderId="0" xfId="0" applyFill="1" applyBorder="1" applyAlignment="1" applyProtection="1">
      <alignment horizontal="center"/>
    </xf>
    <xf numFmtId="0" fontId="6" fillId="3" borderId="0" xfId="0" applyFont="1" applyFill="1" applyProtection="1"/>
    <xf numFmtId="3" fontId="0" fillId="3" borderId="0" xfId="0" applyNumberFormat="1" applyFill="1" applyBorder="1" applyProtection="1"/>
    <xf numFmtId="0" fontId="6" fillId="3" borderId="0" xfId="0" applyFont="1" applyFill="1" applyAlignment="1" applyProtection="1">
      <alignment vertical="center"/>
    </xf>
    <xf numFmtId="0" fontId="13" fillId="3" borderId="0" xfId="0" applyFont="1" applyFill="1" applyProtection="1"/>
    <xf numFmtId="0" fontId="13" fillId="3" borderId="0" xfId="0" applyFont="1" applyFill="1" applyBorder="1" applyProtection="1"/>
    <xf numFmtId="0" fontId="6" fillId="3" borderId="0" xfId="0" applyFont="1" applyFill="1" applyAlignment="1" applyProtection="1">
      <alignment horizontal="left"/>
    </xf>
    <xf numFmtId="0" fontId="0" fillId="3" borderId="0" xfId="0" applyFill="1" applyBorder="1" applyAlignment="1" applyProtection="1">
      <alignment wrapText="1"/>
    </xf>
    <xf numFmtId="0" fontId="0" fillId="3" borderId="0" xfId="0" applyNumberFormat="1" applyFill="1" applyBorder="1" applyProtection="1"/>
    <xf numFmtId="0" fontId="30" fillId="3" borderId="0" xfId="0" applyFont="1" applyFill="1" applyAlignment="1">
      <alignment vertical="top" wrapText="1"/>
    </xf>
    <xf numFmtId="0" fontId="0" fillId="3" borderId="0" xfId="0" applyFill="1" applyAlignment="1" applyProtection="1">
      <alignment horizontal="left"/>
    </xf>
    <xf numFmtId="0" fontId="6" fillId="3" borderId="0" xfId="0" applyFont="1" applyFill="1" applyAlignment="1" applyProtection="1">
      <alignment horizontal="right"/>
    </xf>
    <xf numFmtId="0" fontId="0" fillId="3" borderId="0" xfId="0" applyFill="1" applyAlignment="1" applyProtection="1">
      <alignment horizontal="right"/>
    </xf>
    <xf numFmtId="0" fontId="4" fillId="3" borderId="0" xfId="0" applyFont="1" applyFill="1" applyProtection="1"/>
    <xf numFmtId="0" fontId="10" fillId="3" borderId="0" xfId="0" applyFont="1" applyFill="1" applyProtection="1"/>
    <xf numFmtId="0" fontId="7" fillId="3" borderId="0" xfId="0" applyFont="1" applyFill="1" applyProtection="1"/>
    <xf numFmtId="0" fontId="0" fillId="3" borderId="0" xfId="0" applyFill="1" applyAlignment="1" applyProtection="1"/>
    <xf numFmtId="0" fontId="28" fillId="3" borderId="0" xfId="0" applyFont="1" applyFill="1" applyProtection="1"/>
    <xf numFmtId="0" fontId="14" fillId="3" borderId="0" xfId="0" applyFont="1" applyFill="1" applyAlignment="1" applyProtection="1">
      <alignment wrapText="1"/>
    </xf>
    <xf numFmtId="0" fontId="29" fillId="3" borderId="0" xfId="0" applyFont="1" applyFill="1" applyAlignment="1" applyProtection="1">
      <alignment wrapText="1"/>
    </xf>
    <xf numFmtId="0" fontId="28" fillId="3" borderId="0" xfId="0" applyFont="1" applyFill="1" applyAlignment="1" applyProtection="1">
      <alignment wrapText="1"/>
    </xf>
    <xf numFmtId="0" fontId="28" fillId="3" borderId="0" xfId="0" applyFont="1" applyFill="1" applyBorder="1" applyAlignment="1" applyProtection="1">
      <alignment vertical="top"/>
    </xf>
    <xf numFmtId="0" fontId="14" fillId="3" borderId="0" xfId="0" applyFont="1" applyFill="1" applyAlignment="1" applyProtection="1">
      <alignment vertical="top" wrapText="1"/>
    </xf>
    <xf numFmtId="0" fontId="14" fillId="3" borderId="0" xfId="0" applyFont="1" applyFill="1" applyBorder="1" applyAlignment="1" applyProtection="1">
      <alignment vertical="top"/>
    </xf>
    <xf numFmtId="0" fontId="0" fillId="3" borderId="0" xfId="0" applyFill="1" applyAlignment="1" applyProtection="1">
      <alignment vertical="top"/>
    </xf>
    <xf numFmtId="0" fontId="19" fillId="3" borderId="0" xfId="0" applyFont="1" applyFill="1" applyProtection="1"/>
    <xf numFmtId="4" fontId="19" fillId="3" borderId="1" xfId="0" applyNumberFormat="1" applyFont="1" applyFill="1" applyBorder="1" applyProtection="1"/>
    <xf numFmtId="0" fontId="31" fillId="4" borderId="1" xfId="0" applyFont="1" applyFill="1" applyBorder="1" applyAlignment="1" applyProtection="1">
      <alignment horizontal="right"/>
      <protection locked="0"/>
    </xf>
    <xf numFmtId="0" fontId="31" fillId="4" borderId="1" xfId="0" applyNumberFormat="1" applyFont="1" applyFill="1" applyBorder="1" applyProtection="1">
      <protection locked="0"/>
    </xf>
    <xf numFmtId="0" fontId="31" fillId="4" borderId="1" xfId="0" applyFont="1" applyFill="1" applyBorder="1" applyProtection="1">
      <protection locked="0"/>
    </xf>
    <xf numFmtId="0" fontId="14" fillId="3" borderId="0" xfId="0" applyFont="1" applyFill="1" applyAlignment="1" applyProtection="1">
      <alignment vertical="top" wrapText="1"/>
    </xf>
    <xf numFmtId="0" fontId="0" fillId="3" borderId="0" xfId="0" applyFill="1" applyAlignment="1" applyProtection="1">
      <alignment vertical="top" wrapText="1"/>
    </xf>
    <xf numFmtId="0" fontId="14" fillId="3" borderId="0" xfId="0" applyFont="1" applyFill="1" applyAlignment="1" applyProtection="1">
      <alignment wrapText="1"/>
    </xf>
    <xf numFmtId="0" fontId="0" fillId="3" borderId="0" xfId="0" applyFill="1" applyAlignment="1" applyProtection="1">
      <alignment wrapText="1"/>
    </xf>
    <xf numFmtId="0" fontId="30" fillId="3" borderId="0" xfId="0" applyFont="1" applyFill="1" applyAlignment="1" applyProtection="1">
      <alignment vertical="top" wrapText="1"/>
    </xf>
    <xf numFmtId="0" fontId="5" fillId="3" borderId="0" xfId="1" applyFont="1" applyFill="1" applyAlignment="1" applyProtection="1">
      <alignment horizontal="left" vertical="center" wrapText="1"/>
    </xf>
    <xf numFmtId="0" fontId="0" fillId="3" borderId="0" xfId="0" applyFill="1" applyAlignment="1" applyProtection="1">
      <alignment vertical="center"/>
    </xf>
    <xf numFmtId="0" fontId="30" fillId="3" borderId="0" xfId="0" applyFont="1" applyFill="1" applyAlignment="1">
      <alignment vertical="top" wrapText="1"/>
    </xf>
    <xf numFmtId="0" fontId="0" fillId="3" borderId="0" xfId="0" applyFill="1" applyAlignment="1" applyProtection="1">
      <alignment vertical="center" wrapText="1"/>
    </xf>
    <xf numFmtId="0" fontId="0" fillId="3" borderId="0" xfId="0" applyFill="1" applyAlignment="1">
      <alignment wrapText="1"/>
    </xf>
    <xf numFmtId="0" fontId="3" fillId="3" borderId="0" xfId="0" applyFont="1" applyFill="1" applyAlignment="1" applyProtection="1">
      <alignment vertical="center" wrapText="1"/>
    </xf>
    <xf numFmtId="0" fontId="14" fillId="3" borderId="2" xfId="0" applyNumberFormat="1" applyFont="1" applyFill="1" applyBorder="1" applyAlignment="1" applyProtection="1">
      <alignment horizontal="center" vertical="center" wrapText="1"/>
    </xf>
    <xf numFmtId="0" fontId="14" fillId="3" borderId="4" xfId="0" applyNumberFormat="1" applyFont="1" applyFill="1" applyBorder="1" applyAlignment="1" applyProtection="1">
      <alignment horizontal="center" vertical="center" wrapText="1"/>
    </xf>
    <xf numFmtId="0" fontId="14" fillId="3" borderId="3" xfId="0" applyNumberFormat="1" applyFont="1" applyFill="1" applyBorder="1" applyAlignment="1" applyProtection="1">
      <alignment horizontal="center" vertical="center" wrapText="1"/>
    </xf>
    <xf numFmtId="0" fontId="0" fillId="3" borderId="0" xfId="0" applyFont="1" applyFill="1" applyAlignment="1" applyProtection="1">
      <alignment wrapText="1"/>
    </xf>
    <xf numFmtId="0" fontId="6" fillId="0" borderId="0" xfId="0" applyFont="1" applyAlignment="1">
      <alignment wrapText="1"/>
    </xf>
    <xf numFmtId="0" fontId="13" fillId="0" borderId="0" xfId="0" applyFont="1" applyAlignment="1">
      <alignment wrapText="1"/>
    </xf>
    <xf numFmtId="0" fontId="0" fillId="0" borderId="0" xfId="0" applyAlignment="1">
      <alignment wrapText="1"/>
    </xf>
    <xf numFmtId="0" fontId="21" fillId="3" borderId="0" xfId="0" applyFont="1" applyFill="1" applyAlignment="1" applyProtection="1">
      <alignment vertical="center"/>
    </xf>
    <xf numFmtId="0" fontId="6" fillId="3" borderId="0" xfId="0" applyFont="1" applyFill="1" applyAlignment="1" applyProtection="1"/>
  </cellXfs>
  <cellStyles count="2">
    <cellStyle name="Hyperlink" xfId="1" builtinId="8"/>
    <cellStyle name="Standaard" xfId="0" builtinId="0"/>
  </cellStyles>
  <dxfs count="0"/>
  <tableStyles count="0" defaultTableStyle="TableStyleMedium2" defaultPivotStyle="PivotStyleLight16"/>
  <colors>
    <mruColors>
      <color rgb="FF007BC7"/>
      <color rgb="FF8FCAE7"/>
      <color rgb="FFFFB612"/>
      <color rgb="FFFFE9B7"/>
      <color rgb="FFF8F8F8"/>
      <color rgb="FFEEF7FB"/>
      <color rgb="FFF3F3F3"/>
      <color rgb="FFD4351C"/>
      <color rgb="FFE1F3F9"/>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List" dx="22" fmlaLink="Hulpblad!$K$116" fmlaRange="Hulpblad!$K$114:$K$115" sel="1" val="0"/>
</file>

<file path=xl/ctrlProps/ctrlProp10.xml><?xml version="1.0" encoding="utf-8"?>
<formControlPr xmlns="http://schemas.microsoft.com/office/spreadsheetml/2009/9/main" objectType="List" dx="22" fmlaLink="Hulpblad!$E$13" fmlaRange="Hulpblad!$E$11:$E$12" sel="1" val="0"/>
</file>

<file path=xl/ctrlProps/ctrlProp11.xml><?xml version="1.0" encoding="utf-8"?>
<formControlPr xmlns="http://schemas.microsoft.com/office/spreadsheetml/2009/9/main" objectType="List" dx="22" fmlaLink="Hulpblad!$E$18" fmlaRange="Hulpblad!$E$16:$E$17" sel="1" val="0"/>
</file>

<file path=xl/ctrlProps/ctrlProp12.xml><?xml version="1.0" encoding="utf-8"?>
<formControlPr xmlns="http://schemas.microsoft.com/office/spreadsheetml/2009/9/main" objectType="List" dx="22" fmlaLink="Hulpblad!$E$22" fmlaRange="Hulpblad!$E$20:$E$21" sel="1" val="0"/>
</file>

<file path=xl/ctrlProps/ctrlProp13.xml><?xml version="1.0" encoding="utf-8"?>
<formControlPr xmlns="http://schemas.microsoft.com/office/spreadsheetml/2009/9/main" objectType="List" dx="22" fmlaLink="Hulpblad!$E$26" fmlaRange="Hulpblad!$E$24:$E$25" sel="1" val="0"/>
</file>

<file path=xl/ctrlProps/ctrlProp14.xml><?xml version="1.0" encoding="utf-8"?>
<formControlPr xmlns="http://schemas.microsoft.com/office/spreadsheetml/2009/9/main" objectType="List" dx="22" fmlaLink="Hulpblad!$B$32" fmlaRange="Hulpblad!$B$30:$B$31" sel="1" val="0"/>
</file>

<file path=xl/ctrlProps/ctrlProp15.xml><?xml version="1.0" encoding="utf-8"?>
<formControlPr xmlns="http://schemas.microsoft.com/office/spreadsheetml/2009/9/main" objectType="List" dx="22" fmlaLink="Hulpblad!$C$35" fmlaRange="Hulpblad!$B$55:$B$56" sel="1" val="0"/>
</file>

<file path=xl/ctrlProps/ctrlProp16.xml><?xml version="1.0" encoding="utf-8"?>
<formControlPr xmlns="http://schemas.microsoft.com/office/spreadsheetml/2009/9/main" objectType="List" dx="22" fmlaLink="Hulpblad!$C$38" fmlaRange="Hulpblad!$B$55:$B$56" sel="1" val="0"/>
</file>

<file path=xl/ctrlProps/ctrlProp17.xml><?xml version="1.0" encoding="utf-8"?>
<formControlPr xmlns="http://schemas.microsoft.com/office/spreadsheetml/2009/9/main" objectType="List" dx="22" fmlaLink="Hulpblad!$C$41" fmlaRange="Hulpblad!$B$59:$B$60" sel="1" val="0"/>
</file>

<file path=xl/ctrlProps/ctrlProp18.xml><?xml version="1.0" encoding="utf-8"?>
<formControlPr xmlns="http://schemas.microsoft.com/office/spreadsheetml/2009/9/main" objectType="List" dx="22" fmlaLink="Hulpblad!$C$44" fmlaRange="Hulpblad!$B$59:$B$60" sel="1" val="0"/>
</file>

<file path=xl/ctrlProps/ctrlProp19.xml><?xml version="1.0" encoding="utf-8"?>
<formControlPr xmlns="http://schemas.microsoft.com/office/spreadsheetml/2009/9/main" objectType="List" dx="22" fmlaLink="Hulpblad!$C$47" fmlaRange="Hulpblad!$B$59:$B$60" sel="1" val="0"/>
</file>

<file path=xl/ctrlProps/ctrlProp2.xml><?xml version="1.0" encoding="utf-8"?>
<formControlPr xmlns="http://schemas.microsoft.com/office/spreadsheetml/2009/9/main" objectType="List" dx="22" fmlaLink="Hulpblad!$B$110" fmlaRange="Hulpblad!$B$108:$B$109" sel="1" val="0"/>
</file>

<file path=xl/ctrlProps/ctrlProp20.xml><?xml version="1.0" encoding="utf-8"?>
<formControlPr xmlns="http://schemas.microsoft.com/office/spreadsheetml/2009/9/main" objectType="List" dx="22" fmlaLink="Hulpblad!$C$50" fmlaRange="Hulpblad!$B$59:$B$60" sel="1" val="0"/>
</file>

<file path=xl/ctrlProps/ctrlProp21.xml><?xml version="1.0" encoding="utf-8"?>
<formControlPr xmlns="http://schemas.microsoft.com/office/spreadsheetml/2009/9/main" objectType="List" dx="22" fmlaLink="Hulpblad!$G$35" fmlaRange="Hulpblad!$F$35:$F$37" sel="1" val="0"/>
</file>

<file path=xl/ctrlProps/ctrlProp22.xml><?xml version="1.0" encoding="utf-8"?>
<formControlPr xmlns="http://schemas.microsoft.com/office/spreadsheetml/2009/9/main" objectType="List" dx="22" fmlaLink="Hulpblad!$G$38" fmlaRange="Hulpblad!$F$38:$F$40" sel="1" val="0"/>
</file>

<file path=xl/ctrlProps/ctrlProp23.xml><?xml version="1.0" encoding="utf-8"?>
<formControlPr xmlns="http://schemas.microsoft.com/office/spreadsheetml/2009/9/main" objectType="List" dx="22" fmlaLink="Hulpblad!$G$41" fmlaRange="Hulpblad!$F$41:$F$43" sel="1" val="0"/>
</file>

<file path=xl/ctrlProps/ctrlProp24.xml><?xml version="1.0" encoding="utf-8"?>
<formControlPr xmlns="http://schemas.microsoft.com/office/spreadsheetml/2009/9/main" objectType="List" dx="22" fmlaLink="Hulpblad!$G$44" fmlaRange="Hulpblad!$F$44:$F$46" sel="1" val="0"/>
</file>

<file path=xl/ctrlProps/ctrlProp25.xml><?xml version="1.0" encoding="utf-8"?>
<formControlPr xmlns="http://schemas.microsoft.com/office/spreadsheetml/2009/9/main" objectType="List" dx="22" fmlaLink="Hulpblad!$G$47" fmlaRange="Hulpblad!$F$47:$F$49" sel="1" val="0"/>
</file>

<file path=xl/ctrlProps/ctrlProp26.xml><?xml version="1.0" encoding="utf-8"?>
<formControlPr xmlns="http://schemas.microsoft.com/office/spreadsheetml/2009/9/main" objectType="List" dx="22" fmlaLink="Hulpblad!$G$50" fmlaRange="Hulpblad!$F$50:$F$52" sel="1" val="0"/>
</file>

<file path=xl/ctrlProps/ctrlProp27.xml><?xml version="1.0" encoding="utf-8"?>
<formControlPr xmlns="http://schemas.microsoft.com/office/spreadsheetml/2009/9/main" objectType="List" dx="22" fmlaLink="Hulpblad!$B$6" fmlaRange="Hulpblad!$B$4:$B$5" sel="1" val="0"/>
</file>

<file path=xl/ctrlProps/ctrlProp28.xml><?xml version="1.0" encoding="utf-8"?>
<formControlPr xmlns="http://schemas.microsoft.com/office/spreadsheetml/2009/9/main" objectType="List" dx="22" fmlaLink="Hulpblad!$E$6" fmlaRange="Hulpblad!$E$4:$E$5" sel="1" val="0"/>
</file>

<file path=xl/ctrlProps/ctrlProp29.xml><?xml version="1.0" encoding="utf-8"?>
<formControlPr xmlns="http://schemas.microsoft.com/office/spreadsheetml/2009/9/main" objectType="List" dx="22" fmlaLink="Hulpblad!$E$116" fmlaRange="Hulpblad!$E$114:$E$115" sel="1" val="0"/>
</file>

<file path=xl/ctrlProps/ctrlProp3.xml><?xml version="1.0" encoding="utf-8"?>
<formControlPr xmlns="http://schemas.microsoft.com/office/spreadsheetml/2009/9/main" objectType="List" dx="22" fmlaLink="Hulpblad!$B$105" fmlaRange="Hulpblad!$B$100:$B$104" sel="1" val="0"/>
</file>

<file path=xl/ctrlProps/ctrlProp30.xml><?xml version="1.0" encoding="utf-8"?>
<formControlPr xmlns="http://schemas.microsoft.com/office/spreadsheetml/2009/9/main" objectType="List" dx="22" fmlaLink="Hulpblad!$H$116" fmlaRange="Hulpblad!$H$114:$H$115" sel="1" val="0"/>
</file>

<file path=xl/ctrlProps/ctrlProp31.xml><?xml version="1.0" encoding="utf-8"?>
<formControlPr xmlns="http://schemas.microsoft.com/office/spreadsheetml/2009/9/main" objectType="List" dx="22" fmlaLink="Hulpblad!$B$116" fmlaRange="Hulpblad!$B$114:$B$115" sel="1" val="0"/>
</file>

<file path=xl/ctrlProps/ctrlProp4.xml><?xml version="1.0" encoding="utf-8"?>
<formControlPr xmlns="http://schemas.microsoft.com/office/spreadsheetml/2009/9/main" objectType="List" dx="22" fmlaLink="Hulpblad!$B$87" fmlaRange="Hulpblad!$B$75:$B$86" sel="1" val="0"/>
</file>

<file path=xl/ctrlProps/ctrlProp5.xml><?xml version="1.0" encoding="utf-8"?>
<formControlPr xmlns="http://schemas.microsoft.com/office/spreadsheetml/2009/9/main" objectType="List" dx="22" fmlaLink="Hulpblad!$B$93" fmlaRange="Hulpblad!$B$90:$B$92" sel="1" val="0"/>
</file>

<file path=xl/ctrlProps/ctrlProp6.xml><?xml version="1.0" encoding="utf-8"?>
<formControlPr xmlns="http://schemas.microsoft.com/office/spreadsheetml/2009/9/main" objectType="List" dx="22" fmlaLink="Hulpblad!$B$14" fmlaRange="Hulpblad!$B$11:$B$13" sel="1" val="0"/>
</file>

<file path=xl/ctrlProps/ctrlProp7.xml><?xml version="1.0" encoding="utf-8"?>
<formControlPr xmlns="http://schemas.microsoft.com/office/spreadsheetml/2009/9/main" objectType="List" dx="22" fmlaLink="Hulpblad!$B$18" fmlaRange="Hulpblad!$B$16:$B$17" sel="1" val="0"/>
</file>

<file path=xl/ctrlProps/ctrlProp8.xml><?xml version="1.0" encoding="utf-8"?>
<formControlPr xmlns="http://schemas.microsoft.com/office/spreadsheetml/2009/9/main" objectType="List" dx="22" fmlaLink="Hulpblad!$B$22" fmlaRange="Hulpblad!$B$20:$B$21" sel="1" val="0"/>
</file>

<file path=xl/ctrlProps/ctrlProp9.xml><?xml version="1.0" encoding="utf-8"?>
<formControlPr xmlns="http://schemas.microsoft.com/office/spreadsheetml/2009/9/main" objectType="List" dx="22" fmlaLink="Hulpblad!$B$27" fmlaRange="Hulpblad!$B$24:$B$26"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350436</xdr:colOff>
      <xdr:row>0</xdr:row>
      <xdr:rowOff>0</xdr:rowOff>
    </xdr:from>
    <xdr:to>
      <xdr:col>9</xdr:col>
      <xdr:colOff>138437</xdr:colOff>
      <xdr:row>1</xdr:row>
      <xdr:rowOff>0</xdr:rowOff>
    </xdr:to>
    <xdr:pic>
      <xdr:nvPicPr>
        <xdr:cNvPr id="3" name="Afbeelding 2" descr="Logo Rijksdienst voor Ondernemend Nederland">
          <a:extLst>
            <a:ext uri="{FF2B5EF4-FFF2-40B4-BE49-F238E27FC236}">
              <a16:creationId xmlns:a16="http://schemas.microsoft.com/office/drawing/2014/main" id="{00000000-0008-0000-0000-000003000000}"/>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stretch>
          <a:fillRect/>
        </a:stretch>
      </xdr:blipFill>
      <xdr:spPr>
        <a:xfrm>
          <a:off x="4320857" y="0"/>
          <a:ext cx="8166419" cy="1734553"/>
        </a:xfrm>
        <a:prstGeom prst="rect">
          <a:avLst/>
        </a:prstGeom>
      </xdr:spPr>
    </xdr:pic>
    <xdr:clientData/>
  </xdr:twoCellAnchor>
  <mc:AlternateContent xmlns:mc="http://schemas.openxmlformats.org/markup-compatibility/2006">
    <mc:Choice xmlns:a14="http://schemas.microsoft.com/office/drawing/2010/main" Requires="a14">
      <xdr:twoCellAnchor>
        <xdr:from>
          <xdr:col>1</xdr:col>
          <xdr:colOff>238125</xdr:colOff>
          <xdr:row>96</xdr:row>
          <xdr:rowOff>38100</xdr:rowOff>
        </xdr:from>
        <xdr:to>
          <xdr:col>3</xdr:col>
          <xdr:colOff>38100</xdr:colOff>
          <xdr:row>96</xdr:row>
          <xdr:rowOff>361950</xdr:rowOff>
        </xdr:to>
        <xdr:sp macro="" textlink="">
          <xdr:nvSpPr>
            <xdr:cNvPr id="1058" name="List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85</xdr:row>
          <xdr:rowOff>19050</xdr:rowOff>
        </xdr:from>
        <xdr:to>
          <xdr:col>3</xdr:col>
          <xdr:colOff>19050</xdr:colOff>
          <xdr:row>86</xdr:row>
          <xdr:rowOff>123825</xdr:rowOff>
        </xdr:to>
        <xdr:sp macro="" textlink="">
          <xdr:nvSpPr>
            <xdr:cNvPr id="1060" name="List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77</xdr:row>
          <xdr:rowOff>19050</xdr:rowOff>
        </xdr:from>
        <xdr:to>
          <xdr:col>3</xdr:col>
          <xdr:colOff>28575</xdr:colOff>
          <xdr:row>80</xdr:row>
          <xdr:rowOff>152400</xdr:rowOff>
        </xdr:to>
        <xdr:sp macro="" textlink="">
          <xdr:nvSpPr>
            <xdr:cNvPr id="1063" name="List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58</xdr:row>
          <xdr:rowOff>190500</xdr:rowOff>
        </xdr:from>
        <xdr:to>
          <xdr:col>3</xdr:col>
          <xdr:colOff>38100</xdr:colOff>
          <xdr:row>66</xdr:row>
          <xdr:rowOff>152400</xdr:rowOff>
        </xdr:to>
        <xdr:sp macro="" textlink="">
          <xdr:nvSpPr>
            <xdr:cNvPr id="1066" name="List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68</xdr:row>
          <xdr:rowOff>38100</xdr:rowOff>
        </xdr:from>
        <xdr:to>
          <xdr:col>3</xdr:col>
          <xdr:colOff>28575</xdr:colOff>
          <xdr:row>70</xdr:row>
          <xdr:rowOff>95250</xdr:rowOff>
        </xdr:to>
        <xdr:sp macro="" textlink="">
          <xdr:nvSpPr>
            <xdr:cNvPr id="1067" name="List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28</xdr:row>
          <xdr:rowOff>9525</xdr:rowOff>
        </xdr:from>
        <xdr:to>
          <xdr:col>3</xdr:col>
          <xdr:colOff>19050</xdr:colOff>
          <xdr:row>29</xdr:row>
          <xdr:rowOff>247650</xdr:rowOff>
        </xdr:to>
        <xdr:sp macro="" textlink="">
          <xdr:nvSpPr>
            <xdr:cNvPr id="1069" name="List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30</xdr:row>
          <xdr:rowOff>19050</xdr:rowOff>
        </xdr:from>
        <xdr:to>
          <xdr:col>3</xdr:col>
          <xdr:colOff>19050</xdr:colOff>
          <xdr:row>31</xdr:row>
          <xdr:rowOff>133350</xdr:rowOff>
        </xdr:to>
        <xdr:sp macro="" textlink="">
          <xdr:nvSpPr>
            <xdr:cNvPr id="1075" name="List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32</xdr:row>
          <xdr:rowOff>28575</xdr:rowOff>
        </xdr:from>
        <xdr:to>
          <xdr:col>3</xdr:col>
          <xdr:colOff>19050</xdr:colOff>
          <xdr:row>33</xdr:row>
          <xdr:rowOff>142875</xdr:rowOff>
        </xdr:to>
        <xdr:sp macro="" textlink="">
          <xdr:nvSpPr>
            <xdr:cNvPr id="1078" name="List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34</xdr:row>
          <xdr:rowOff>9525</xdr:rowOff>
        </xdr:from>
        <xdr:to>
          <xdr:col>3</xdr:col>
          <xdr:colOff>19050</xdr:colOff>
          <xdr:row>35</xdr:row>
          <xdr:rowOff>209550</xdr:rowOff>
        </xdr:to>
        <xdr:sp macro="" textlink="">
          <xdr:nvSpPr>
            <xdr:cNvPr id="1079" name="List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28</xdr:row>
          <xdr:rowOff>9525</xdr:rowOff>
        </xdr:from>
        <xdr:to>
          <xdr:col>5</xdr:col>
          <xdr:colOff>19050</xdr:colOff>
          <xdr:row>29</xdr:row>
          <xdr:rowOff>142875</xdr:rowOff>
        </xdr:to>
        <xdr:sp macro="" textlink="">
          <xdr:nvSpPr>
            <xdr:cNvPr id="1086" name="List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30</xdr:row>
          <xdr:rowOff>19050</xdr:rowOff>
        </xdr:from>
        <xdr:to>
          <xdr:col>5</xdr:col>
          <xdr:colOff>19050</xdr:colOff>
          <xdr:row>31</xdr:row>
          <xdr:rowOff>152400</xdr:rowOff>
        </xdr:to>
        <xdr:sp macro="" textlink="">
          <xdr:nvSpPr>
            <xdr:cNvPr id="1087" name="List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32</xdr:row>
          <xdr:rowOff>19050</xdr:rowOff>
        </xdr:from>
        <xdr:to>
          <xdr:col>5</xdr:col>
          <xdr:colOff>19050</xdr:colOff>
          <xdr:row>33</xdr:row>
          <xdr:rowOff>152400</xdr:rowOff>
        </xdr:to>
        <xdr:sp macro="" textlink="">
          <xdr:nvSpPr>
            <xdr:cNvPr id="1089" name="List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34</xdr:row>
          <xdr:rowOff>19050</xdr:rowOff>
        </xdr:from>
        <xdr:to>
          <xdr:col>5</xdr:col>
          <xdr:colOff>19050</xdr:colOff>
          <xdr:row>35</xdr:row>
          <xdr:rowOff>152400</xdr:rowOff>
        </xdr:to>
        <xdr:sp macro="" textlink="">
          <xdr:nvSpPr>
            <xdr:cNvPr id="1090" name="List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39</xdr:row>
          <xdr:rowOff>542925</xdr:rowOff>
        </xdr:from>
        <xdr:to>
          <xdr:col>3</xdr:col>
          <xdr:colOff>57150</xdr:colOff>
          <xdr:row>40</xdr:row>
          <xdr:rowOff>38100</xdr:rowOff>
        </xdr:to>
        <xdr:sp macro="" textlink="">
          <xdr:nvSpPr>
            <xdr:cNvPr id="1094" name="List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41</xdr:row>
          <xdr:rowOff>19050</xdr:rowOff>
        </xdr:from>
        <xdr:to>
          <xdr:col>3</xdr:col>
          <xdr:colOff>57150</xdr:colOff>
          <xdr:row>42</xdr:row>
          <xdr:rowOff>123825</xdr:rowOff>
        </xdr:to>
        <xdr:sp macro="" textlink="">
          <xdr:nvSpPr>
            <xdr:cNvPr id="1097" name="List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43</xdr:row>
          <xdr:rowOff>19050</xdr:rowOff>
        </xdr:from>
        <xdr:to>
          <xdr:col>3</xdr:col>
          <xdr:colOff>57150</xdr:colOff>
          <xdr:row>44</xdr:row>
          <xdr:rowOff>123825</xdr:rowOff>
        </xdr:to>
        <xdr:sp macro="" textlink="">
          <xdr:nvSpPr>
            <xdr:cNvPr id="1104" name="List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45</xdr:row>
          <xdr:rowOff>19050</xdr:rowOff>
        </xdr:from>
        <xdr:to>
          <xdr:col>3</xdr:col>
          <xdr:colOff>57150</xdr:colOff>
          <xdr:row>46</xdr:row>
          <xdr:rowOff>123825</xdr:rowOff>
        </xdr:to>
        <xdr:sp macro="" textlink="">
          <xdr:nvSpPr>
            <xdr:cNvPr id="1105" name="List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47</xdr:row>
          <xdr:rowOff>19050</xdr:rowOff>
        </xdr:from>
        <xdr:to>
          <xdr:col>3</xdr:col>
          <xdr:colOff>57150</xdr:colOff>
          <xdr:row>48</xdr:row>
          <xdr:rowOff>123825</xdr:rowOff>
        </xdr:to>
        <xdr:sp macro="" textlink="">
          <xdr:nvSpPr>
            <xdr:cNvPr id="1106" name="List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49</xdr:row>
          <xdr:rowOff>19050</xdr:rowOff>
        </xdr:from>
        <xdr:to>
          <xdr:col>3</xdr:col>
          <xdr:colOff>57150</xdr:colOff>
          <xdr:row>50</xdr:row>
          <xdr:rowOff>123825</xdr:rowOff>
        </xdr:to>
        <xdr:sp macro="" textlink="">
          <xdr:nvSpPr>
            <xdr:cNvPr id="1107" name="List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51</xdr:row>
          <xdr:rowOff>19050</xdr:rowOff>
        </xdr:from>
        <xdr:to>
          <xdr:col>3</xdr:col>
          <xdr:colOff>57150</xdr:colOff>
          <xdr:row>52</xdr:row>
          <xdr:rowOff>123825</xdr:rowOff>
        </xdr:to>
        <xdr:sp macro="" textlink="">
          <xdr:nvSpPr>
            <xdr:cNvPr id="1109" name="List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228600</xdr:colOff>
          <xdr:row>41</xdr:row>
          <xdr:rowOff>9525</xdr:rowOff>
        </xdr:from>
        <xdr:to>
          <xdr:col>5</xdr:col>
          <xdr:colOff>57150</xdr:colOff>
          <xdr:row>42</xdr:row>
          <xdr:rowOff>228600</xdr:rowOff>
        </xdr:to>
        <xdr:sp macro="" textlink="">
          <xdr:nvSpPr>
            <xdr:cNvPr id="1111" name="List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228600</xdr:colOff>
          <xdr:row>43</xdr:row>
          <xdr:rowOff>19050</xdr:rowOff>
        </xdr:from>
        <xdr:to>
          <xdr:col>5</xdr:col>
          <xdr:colOff>57150</xdr:colOff>
          <xdr:row>44</xdr:row>
          <xdr:rowOff>266700</xdr:rowOff>
        </xdr:to>
        <xdr:sp macro="" textlink="">
          <xdr:nvSpPr>
            <xdr:cNvPr id="1112" name="List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228600</xdr:colOff>
          <xdr:row>45</xdr:row>
          <xdr:rowOff>19050</xdr:rowOff>
        </xdr:from>
        <xdr:to>
          <xdr:col>5</xdr:col>
          <xdr:colOff>57150</xdr:colOff>
          <xdr:row>46</xdr:row>
          <xdr:rowOff>266700</xdr:rowOff>
        </xdr:to>
        <xdr:sp macro="" textlink="">
          <xdr:nvSpPr>
            <xdr:cNvPr id="1113" name="List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47</xdr:row>
          <xdr:rowOff>19050</xdr:rowOff>
        </xdr:from>
        <xdr:to>
          <xdr:col>5</xdr:col>
          <xdr:colOff>47625</xdr:colOff>
          <xdr:row>48</xdr:row>
          <xdr:rowOff>276225</xdr:rowOff>
        </xdr:to>
        <xdr:sp macro="" textlink="">
          <xdr:nvSpPr>
            <xdr:cNvPr id="1115" name="List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228600</xdr:colOff>
          <xdr:row>49</xdr:row>
          <xdr:rowOff>9525</xdr:rowOff>
        </xdr:from>
        <xdr:to>
          <xdr:col>5</xdr:col>
          <xdr:colOff>57150</xdr:colOff>
          <xdr:row>50</xdr:row>
          <xdr:rowOff>228600</xdr:rowOff>
        </xdr:to>
        <xdr:sp macro="" textlink="">
          <xdr:nvSpPr>
            <xdr:cNvPr id="1117" name="List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219075</xdr:colOff>
          <xdr:row>51</xdr:row>
          <xdr:rowOff>9525</xdr:rowOff>
        </xdr:from>
        <xdr:to>
          <xdr:col>5</xdr:col>
          <xdr:colOff>47625</xdr:colOff>
          <xdr:row>53</xdr:row>
          <xdr:rowOff>66675</xdr:rowOff>
        </xdr:to>
        <xdr:sp macro="" textlink="">
          <xdr:nvSpPr>
            <xdr:cNvPr id="1118" name="List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17</xdr:row>
          <xdr:rowOff>9525</xdr:rowOff>
        </xdr:from>
        <xdr:to>
          <xdr:col>3</xdr:col>
          <xdr:colOff>19050</xdr:colOff>
          <xdr:row>18</xdr:row>
          <xdr:rowOff>123825</xdr:rowOff>
        </xdr:to>
        <xdr:sp macro="" textlink="">
          <xdr:nvSpPr>
            <xdr:cNvPr id="1121" name="List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238125</xdr:colOff>
          <xdr:row>19</xdr:row>
          <xdr:rowOff>28575</xdr:rowOff>
        </xdr:from>
        <xdr:to>
          <xdr:col>3</xdr:col>
          <xdr:colOff>28575</xdr:colOff>
          <xdr:row>20</xdr:row>
          <xdr:rowOff>142875</xdr:rowOff>
        </xdr:to>
        <xdr:sp macro="" textlink="">
          <xdr:nvSpPr>
            <xdr:cNvPr id="1122" name="List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92</xdr:row>
          <xdr:rowOff>0</xdr:rowOff>
        </xdr:from>
        <xdr:to>
          <xdr:col>3</xdr:col>
          <xdr:colOff>28575</xdr:colOff>
          <xdr:row>93</xdr:row>
          <xdr:rowOff>104775</xdr:rowOff>
        </xdr:to>
        <xdr:sp macro="" textlink="">
          <xdr:nvSpPr>
            <xdr:cNvPr id="1123" name="List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94</xdr:row>
          <xdr:rowOff>38100</xdr:rowOff>
        </xdr:from>
        <xdr:to>
          <xdr:col>3</xdr:col>
          <xdr:colOff>28575</xdr:colOff>
          <xdr:row>94</xdr:row>
          <xdr:rowOff>361950</xdr:rowOff>
        </xdr:to>
        <xdr:sp macro="" textlink="">
          <xdr:nvSpPr>
            <xdr:cNvPr id="1124" name="List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90</xdr:row>
          <xdr:rowOff>19050</xdr:rowOff>
        </xdr:from>
        <xdr:to>
          <xdr:col>3</xdr:col>
          <xdr:colOff>28575</xdr:colOff>
          <xdr:row>91</xdr:row>
          <xdr:rowOff>123825</xdr:rowOff>
        </xdr:to>
        <xdr:sp macro="" textlink="">
          <xdr:nvSpPr>
            <xdr:cNvPr id="1125" name="List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26" Type="http://schemas.openxmlformats.org/officeDocument/2006/relationships/ctrlProp" Target="../ctrlProps/ctrlProp19.xml"/><Relationship Id="rId39" Type="http://schemas.openxmlformats.org/officeDocument/2006/relationships/comments" Target="../comments1.xml"/><Relationship Id="rId3" Type="http://schemas.openxmlformats.org/officeDocument/2006/relationships/hyperlink" Target="http://www.rvo.nl/isde-isolatie" TargetMode="External"/><Relationship Id="rId21" Type="http://schemas.openxmlformats.org/officeDocument/2006/relationships/ctrlProp" Target="../ctrlProps/ctrlProp14.xml"/><Relationship Id="rId34" Type="http://schemas.openxmlformats.org/officeDocument/2006/relationships/ctrlProp" Target="../ctrlProps/ctrlProp27.xm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33" Type="http://schemas.openxmlformats.org/officeDocument/2006/relationships/ctrlProp" Target="../ctrlProps/ctrlProp26.xml"/><Relationship Id="rId38" Type="http://schemas.openxmlformats.org/officeDocument/2006/relationships/ctrlProp" Target="../ctrlProps/ctrlProp31.xml"/><Relationship Id="rId2" Type="http://schemas.openxmlformats.org/officeDocument/2006/relationships/hyperlink" Target="https://www.rvo.nl/subsidies-financiering/isde/woningeigenaren/zonneboiler" TargetMode="External"/><Relationship Id="rId16" Type="http://schemas.openxmlformats.org/officeDocument/2006/relationships/ctrlProp" Target="../ctrlProps/ctrlProp9.xml"/><Relationship Id="rId20" Type="http://schemas.openxmlformats.org/officeDocument/2006/relationships/ctrlProp" Target="../ctrlProps/ctrlProp13.xml"/><Relationship Id="rId29" Type="http://schemas.openxmlformats.org/officeDocument/2006/relationships/ctrlProp" Target="../ctrlProps/ctrlProp22.xml"/><Relationship Id="rId1" Type="http://schemas.openxmlformats.org/officeDocument/2006/relationships/hyperlink" Target="https://www.rvo.nl/subsidies-financiering/isde/woningeigenaren/warmtepomp" TargetMode="External"/><Relationship Id="rId6" Type="http://schemas.openxmlformats.org/officeDocument/2006/relationships/drawing" Target="../drawings/drawing1.xml"/><Relationship Id="rId11" Type="http://schemas.openxmlformats.org/officeDocument/2006/relationships/ctrlProp" Target="../ctrlProps/ctrlProp4.xml"/><Relationship Id="rId24" Type="http://schemas.openxmlformats.org/officeDocument/2006/relationships/ctrlProp" Target="../ctrlProps/ctrlProp17.xml"/><Relationship Id="rId32" Type="http://schemas.openxmlformats.org/officeDocument/2006/relationships/ctrlProp" Target="../ctrlProps/ctrlProp25.xml"/><Relationship Id="rId37" Type="http://schemas.openxmlformats.org/officeDocument/2006/relationships/ctrlProp" Target="../ctrlProps/ctrlProp30.xml"/><Relationship Id="rId5" Type="http://schemas.openxmlformats.org/officeDocument/2006/relationships/printerSettings" Target="../printerSettings/printerSettings1.bin"/><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36" Type="http://schemas.openxmlformats.org/officeDocument/2006/relationships/ctrlProp" Target="../ctrlProps/ctrlProp29.xml"/><Relationship Id="rId10" Type="http://schemas.openxmlformats.org/officeDocument/2006/relationships/ctrlProp" Target="../ctrlProps/ctrlProp3.xml"/><Relationship Id="rId19" Type="http://schemas.openxmlformats.org/officeDocument/2006/relationships/ctrlProp" Target="../ctrlProps/ctrlProp12.xml"/><Relationship Id="rId31" Type="http://schemas.openxmlformats.org/officeDocument/2006/relationships/ctrlProp" Target="../ctrlProps/ctrlProp24.xml"/><Relationship Id="rId4" Type="http://schemas.openxmlformats.org/officeDocument/2006/relationships/hyperlink" Target="http://www.rvo.nl/isde-warmtenet" TargetMode="Externa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 Id="rId27" Type="http://schemas.openxmlformats.org/officeDocument/2006/relationships/ctrlProp" Target="../ctrlProps/ctrlProp20.xml"/><Relationship Id="rId30" Type="http://schemas.openxmlformats.org/officeDocument/2006/relationships/ctrlProp" Target="../ctrlProps/ctrlProp23.xml"/><Relationship Id="rId35" Type="http://schemas.openxmlformats.org/officeDocument/2006/relationships/ctrlProp" Target="../ctrlProps/ctrlProp2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08070-2492-4A7C-A539-0AEACF9B4667}">
  <sheetPr>
    <pageSetUpPr fitToPage="1"/>
  </sheetPr>
  <dimension ref="A1:Q104"/>
  <sheetViews>
    <sheetView tabSelected="1" zoomScaleNormal="100" workbookViewId="0">
      <selection activeCell="Q104" sqref="Q104"/>
    </sheetView>
  </sheetViews>
  <sheetFormatPr defaultColWidth="9.140625" defaultRowHeight="15"/>
  <cols>
    <col min="1" max="1" width="55.85546875" style="22" customWidth="1"/>
    <col min="2" max="2" width="3.7109375" style="22" customWidth="1"/>
    <col min="3" max="3" width="50.28515625" style="22" customWidth="1"/>
    <col min="4" max="4" width="3.7109375" style="22" customWidth="1"/>
    <col min="5" max="5" width="24" style="22" customWidth="1"/>
    <col min="6" max="6" width="3.7109375" style="22" customWidth="1"/>
    <col min="7" max="7" width="22" style="22" customWidth="1"/>
    <col min="8" max="8" width="3.7109375" style="22" customWidth="1"/>
    <col min="9" max="9" width="18" style="22" customWidth="1"/>
    <col min="10" max="10" width="3.7109375" style="22" customWidth="1"/>
    <col min="11" max="11" width="15.7109375" style="22" customWidth="1"/>
    <col min="12" max="12" width="3.7109375" style="22" customWidth="1"/>
    <col min="13" max="13" width="16.28515625" style="22" customWidth="1"/>
    <col min="14" max="14" width="9.42578125" style="22" customWidth="1"/>
    <col min="15" max="15" width="15.85546875" style="22" customWidth="1"/>
    <col min="16" max="16" width="3.7109375" style="22" customWidth="1"/>
    <col min="17" max="17" width="100.42578125" style="22" customWidth="1"/>
    <col min="18" max="16384" width="9.140625" style="22"/>
  </cols>
  <sheetData>
    <row r="1" spans="1:16" ht="136.5" customHeight="1">
      <c r="A1" s="20"/>
      <c r="B1" s="20"/>
      <c r="C1" s="20"/>
      <c r="D1" s="20"/>
      <c r="E1" s="20"/>
      <c r="F1" s="20"/>
      <c r="G1" s="20"/>
      <c r="H1" s="20"/>
      <c r="I1" s="20"/>
      <c r="J1" s="20"/>
      <c r="K1" s="20"/>
      <c r="L1" s="20"/>
      <c r="M1" s="20"/>
      <c r="N1" s="20"/>
      <c r="O1" s="20"/>
      <c r="P1" s="20"/>
    </row>
    <row r="2" spans="1:16" ht="36.75" customHeight="1">
      <c r="A2" s="23" t="s">
        <v>164</v>
      </c>
      <c r="B2" s="23"/>
      <c r="C2" s="23"/>
    </row>
    <row r="3" spans="1:16">
      <c r="A3" s="22" t="s">
        <v>165</v>
      </c>
    </row>
    <row r="5" spans="1:16" ht="184.5" customHeight="1">
      <c r="A5" s="87" t="s">
        <v>167</v>
      </c>
      <c r="B5" s="87"/>
      <c r="C5" s="80"/>
      <c r="D5" s="80"/>
      <c r="E5" s="80"/>
      <c r="F5" s="80"/>
      <c r="G5" s="80"/>
      <c r="H5" s="80"/>
      <c r="I5" s="80"/>
      <c r="J5" s="80"/>
      <c r="K5" s="80"/>
      <c r="L5" s="80"/>
      <c r="M5" s="80"/>
      <c r="N5" s="80"/>
      <c r="O5" s="80"/>
    </row>
    <row r="6" spans="1:16" ht="33.75" customHeight="1">
      <c r="A6" s="24"/>
      <c r="B6" s="24"/>
      <c r="C6" s="25"/>
      <c r="D6" s="25"/>
      <c r="E6" s="25"/>
      <c r="F6" s="25"/>
      <c r="G6" s="25"/>
      <c r="H6" s="25"/>
      <c r="I6" s="25"/>
      <c r="J6" s="25"/>
    </row>
    <row r="7" spans="1:16" ht="33.75" customHeight="1">
      <c r="A7" s="26" t="s">
        <v>155</v>
      </c>
      <c r="B7" s="24"/>
      <c r="C7" s="25"/>
      <c r="D7" s="25"/>
      <c r="E7" s="25"/>
      <c r="F7" s="25"/>
      <c r="G7" s="25"/>
      <c r="H7" s="25"/>
      <c r="I7" s="25"/>
      <c r="J7" s="25"/>
    </row>
    <row r="8" spans="1:16" ht="20.100000000000001" customHeight="1">
      <c r="A8" s="82" t="s">
        <v>2</v>
      </c>
      <c r="B8" s="82"/>
      <c r="C8" s="83"/>
    </row>
    <row r="9" spans="1:16" ht="20.100000000000001" customHeight="1">
      <c r="A9" s="27" t="s">
        <v>0</v>
      </c>
      <c r="B9" s="27"/>
      <c r="C9" s="28"/>
    </row>
    <row r="10" spans="1:16" ht="20.100000000000001" customHeight="1">
      <c r="A10" s="27" t="s">
        <v>9</v>
      </c>
      <c r="B10" s="29"/>
      <c r="C10" s="28"/>
    </row>
    <row r="11" spans="1:16" ht="20.100000000000001" customHeight="1">
      <c r="A11" s="30" t="s">
        <v>1</v>
      </c>
      <c r="B11" s="30"/>
      <c r="C11" s="28"/>
    </row>
    <row r="14" spans="1:16" ht="15.75">
      <c r="A14" s="95" t="s">
        <v>180</v>
      </c>
      <c r="B14" s="95"/>
      <c r="C14" s="96"/>
    </row>
    <row r="15" spans="1:16" ht="20.100000000000001" customHeight="1">
      <c r="A15" s="31"/>
      <c r="B15" s="31"/>
      <c r="C15" s="32"/>
    </row>
    <row r="16" spans="1:16" ht="23.25">
      <c r="A16" s="33" t="s">
        <v>149</v>
      </c>
      <c r="B16" s="31"/>
      <c r="C16" s="32"/>
    </row>
    <row r="17" spans="1:17" ht="23.25">
      <c r="A17" s="33"/>
      <c r="B17" s="31"/>
      <c r="C17" s="32"/>
    </row>
    <row r="18" spans="1:17" ht="15.75">
      <c r="A18" s="34" t="s">
        <v>150</v>
      </c>
      <c r="B18" s="31"/>
      <c r="C18" s="32"/>
    </row>
    <row r="19" spans="1:17" ht="20.100000000000001" customHeight="1">
      <c r="A19" s="33"/>
      <c r="B19" s="31"/>
      <c r="C19" s="32"/>
    </row>
    <row r="20" spans="1:17" ht="15.75">
      <c r="A20" s="35" t="str">
        <f>IF(Hulpblad!C6="Ja","In welk jaar heeft u de ISDE-maatregel uitgevoerd?","")</f>
        <v/>
      </c>
      <c r="B20" s="31"/>
      <c r="C20" s="32"/>
      <c r="E20" s="36" t="str">
        <f>IF(Hulpblad!C6="Nee","",IF(Hulpblad!F6="Vóór 1 januari 2022","Let op: U kunt voor dezelfde techniek niet nogmaals subsidie aanvragen!","Let op: U kunt voor dezelfde techniek niet nogmaals subsidie aanvragen, maar eerder gesubsidieerde én uitgevoerde maatregelen in 2022 tellen wel mee voor de twee-maatregelen eis!"))</f>
        <v/>
      </c>
    </row>
    <row r="21" spans="1:17" ht="15.75">
      <c r="A21" s="31"/>
      <c r="B21" s="31"/>
      <c r="C21" s="32"/>
    </row>
    <row r="22" spans="1:17" ht="15.75">
      <c r="A22" s="31"/>
      <c r="B22" s="31"/>
      <c r="C22" s="32"/>
    </row>
    <row r="23" spans="1:17" ht="23.25">
      <c r="A23" s="37" t="s">
        <v>156</v>
      </c>
    </row>
    <row r="24" spans="1:17">
      <c r="A24" s="38" t="s">
        <v>157</v>
      </c>
      <c r="B24" s="36"/>
      <c r="C24" s="36"/>
      <c r="D24" s="36"/>
      <c r="E24" s="39"/>
    </row>
    <row r="25" spans="1:17">
      <c r="A25" s="38" t="s">
        <v>158</v>
      </c>
      <c r="B25" s="36"/>
      <c r="C25" s="36"/>
      <c r="D25" s="36"/>
      <c r="E25" s="39"/>
    </row>
    <row r="26" spans="1:17">
      <c r="A26" s="38" t="s">
        <v>159</v>
      </c>
      <c r="B26" s="36"/>
      <c r="C26" s="36"/>
      <c r="D26" s="36"/>
      <c r="E26" s="39"/>
    </row>
    <row r="27" spans="1:17" ht="45" customHeight="1">
      <c r="E27" s="25" t="s">
        <v>128</v>
      </c>
      <c r="G27" s="25" t="s">
        <v>127</v>
      </c>
      <c r="I27" s="25" t="s">
        <v>123</v>
      </c>
      <c r="K27" s="40" t="s">
        <v>124</v>
      </c>
      <c r="M27" s="25" t="s">
        <v>176</v>
      </c>
      <c r="O27" s="25" t="s">
        <v>122</v>
      </c>
    </row>
    <row r="28" spans="1:17" ht="15" customHeight="1">
      <c r="E28" s="25"/>
      <c r="G28" s="25"/>
      <c r="I28" s="25"/>
      <c r="K28" s="40"/>
      <c r="O28" s="25"/>
    </row>
    <row r="29" spans="1:17">
      <c r="A29" s="22" t="s">
        <v>86</v>
      </c>
      <c r="C29" s="41"/>
      <c r="G29" s="42" t="str">
        <f>""&amp;VLOOKUP(Hulpblad!C14,Hulpblad!B11:H13,6,FALSE)&amp;" - "&amp;VLOOKUP(Hulpblad!C14,Hulpblad!B11:H13,7,FALSE)&amp;""</f>
        <v xml:space="preserve"> - </v>
      </c>
      <c r="I29" s="43">
        <f>VLOOKUP(Hulpblad!C14,Hulpblad!B11:K13,10,FALSE)</f>
        <v>0</v>
      </c>
      <c r="K29" s="74"/>
      <c r="M29" s="44">
        <f>IF(AND(I29&gt;0,K29&gt;=Hulpblad!G14),MIN(Hulpblad!H14,K29),0)</f>
        <v>0</v>
      </c>
      <c r="O29" s="45">
        <f>I29*M29</f>
        <v>0</v>
      </c>
      <c r="Q29" s="36" t="str">
        <f>IF(Hulpblad!C14="Geen dakisolatie","",
IF(K29=0,"U moet nog een oppervlakte in m²  invullen!",
IF(K29&lt;Hulpblad!G14,"U voldoet niet aan het minimum oppervlakte om voor subsidie in aanmerking te komen.",
IF(AND(Hulpblad!F13="1 januari -1 april 2022",I29=0),"Het subsidiebedrag is € 0,00 omdat u nog maar één type isolatiemaatregel met installatiedatum vóór 2 april 2022 heeft ingevuld.",""))))</f>
        <v/>
      </c>
    </row>
    <row r="30" spans="1:17" ht="24.95" customHeight="1">
      <c r="C30" s="41"/>
      <c r="I30" s="46"/>
      <c r="K30" s="47"/>
      <c r="O30" s="41"/>
      <c r="Q30" s="48"/>
    </row>
    <row r="31" spans="1:17">
      <c r="A31" s="22" t="s">
        <v>87</v>
      </c>
      <c r="C31" s="41"/>
      <c r="G31" s="42" t="str">
        <f>""&amp;VLOOKUP(Hulpblad!C18,Hulpblad!B16:H17,6,FALSE)&amp;" - "&amp;VLOOKUP(Hulpblad!C18,Hulpblad!B16:H17,7,FALSE)&amp;""</f>
        <v xml:space="preserve"> - </v>
      </c>
      <c r="I31" s="43">
        <f>VLOOKUP(Hulpblad!C18,Hulpblad!B16:K17,10,FALSE)</f>
        <v>0</v>
      </c>
      <c r="K31" s="74"/>
      <c r="M31" s="44">
        <f>IF(AND(I31&gt;0,K31&gt;=Hulpblad!G17),MIN(Hulpblad!H17,K31),0)</f>
        <v>0</v>
      </c>
      <c r="O31" s="45">
        <f>I31*M31</f>
        <v>0</v>
      </c>
      <c r="Q31" s="36" t="str">
        <f>IF(Hulpblad!C18="Geen gevelisolatie","",
IF(K31=0,"U moet nog een oppervlakte in m²  invullen!",
IF(K31&lt;Hulpblad!G17,"U voldoet niet aan het minimum oppervlakte om voor subsidie in aanmerking te komen.",
IF(AND(Hulpblad!F18="1 januari -1 april 2022",I31=0),"Het subsidiebedrag is € 0,00 omdat u nog maar één type isolatiemaatregel met installatiedatum vóór 2 april 2022 heeft ingevuld.",""))))</f>
        <v/>
      </c>
    </row>
    <row r="32" spans="1:17" ht="18.95" customHeight="1">
      <c r="C32" s="41"/>
      <c r="I32" s="46"/>
      <c r="K32" s="47"/>
      <c r="O32" s="49"/>
      <c r="Q32" s="48"/>
    </row>
    <row r="33" spans="1:17">
      <c r="A33" s="22" t="s">
        <v>88</v>
      </c>
      <c r="C33" s="41"/>
      <c r="G33" s="42" t="str">
        <f>""&amp;VLOOKUP(Hulpblad!C22,Hulpblad!B20:H21,6,FALSE)&amp;" - "&amp;VLOOKUP(Hulpblad!C22,Hulpblad!B20:H21,7,FALSE)&amp;""</f>
        <v xml:space="preserve"> - </v>
      </c>
      <c r="I33" s="43">
        <f>VLOOKUP(Hulpblad!C22,Hulpblad!B20:K21,10,FALSE)</f>
        <v>0</v>
      </c>
      <c r="K33" s="74"/>
      <c r="M33" s="44">
        <f>IF(AND(I33&gt;0,K33&gt;=Hulpblad!G21),MIN(Hulpblad!H21,K33),0)</f>
        <v>0</v>
      </c>
      <c r="O33" s="45">
        <f>I33*M33</f>
        <v>0</v>
      </c>
      <c r="Q33" s="36" t="str">
        <f>IF(Hulpblad!C22="Geen spouwmuurisolatie","",
IF(K33=0,"U moet nog een oppervlakte in m²  invullen!",
IF(K33&lt;Hulpblad!G21,"U voldoet niet aan het minimum oppervlakte om voor subsidie in aanmerking te komen.",
IF(AND(Hulpblad!F22="1 januari -1 april 2022",I33=0),"Het subsidiebedrag is € 0,00 omdat u nog maar één type isolatiemaatregel met installatiedatum vóór 2 april 2022 heeft ingevuld.",""))))</f>
        <v/>
      </c>
    </row>
    <row r="34" spans="1:17" ht="20.100000000000001" customHeight="1">
      <c r="C34" s="41"/>
      <c r="G34" s="46"/>
      <c r="I34" s="46"/>
      <c r="K34" s="47"/>
      <c r="O34" s="49"/>
      <c r="Q34" s="48"/>
    </row>
    <row r="35" spans="1:17">
      <c r="A35" s="22" t="s">
        <v>89</v>
      </c>
      <c r="C35" s="41"/>
      <c r="G35" s="42" t="str">
        <f>""&amp;VLOOKUP(Hulpblad!C27,Hulpblad!B24:H26,6,FALSE)&amp;" - "&amp;VLOOKUP(Hulpblad!C27,Hulpblad!B24:H26,7,FALSE)&amp;""</f>
        <v xml:space="preserve"> - </v>
      </c>
      <c r="I35" s="43">
        <f>VLOOKUP(Hulpblad!C27,Hulpblad!B24:K26,10,FALSE)</f>
        <v>0</v>
      </c>
      <c r="K35" s="74"/>
      <c r="M35" s="44">
        <f>IF(AND(I35&gt;0,K35&gt;=Hulpblad!G25),MIN(Hulpblad!H25,K35),0)</f>
        <v>0</v>
      </c>
      <c r="O35" s="45">
        <f>I35*M35</f>
        <v>0</v>
      </c>
      <c r="Q35" s="36" t="str">
        <f>IF(Hulpblad!C27="Geen vloerisolatie","",
IF(K35=0,"U moet nog een oppervlakte in m²  invullen!",
IF(K35&lt;Hulpblad!G25,"U voldoet niet aan het minimum oppervlakte om voor subsidie in aanmerking te komen.",
IF(AND(Hulpblad!F26="1 januari -1 april 2022",I35=0),"Het subsidiebedrag is € 0,00 omdat u nog maar één type isolatiemaatregel met installatiedatum vóór 2 april 2022 heeft ingevuld.",""))))</f>
        <v/>
      </c>
    </row>
    <row r="36" spans="1:17" ht="24.95" customHeight="1">
      <c r="C36" s="41"/>
    </row>
    <row r="37" spans="1:17" ht="24.95" customHeight="1">
      <c r="C37" s="41"/>
    </row>
    <row r="38" spans="1:17" ht="24.95" customHeight="1">
      <c r="A38" s="50"/>
      <c r="C38" s="41"/>
      <c r="G38" s="41"/>
    </row>
    <row r="39" spans="1:17">
      <c r="A39" s="48" t="s">
        <v>166</v>
      </c>
      <c r="D39" s="51"/>
      <c r="E39" s="51"/>
      <c r="F39" s="51"/>
      <c r="G39" s="51"/>
      <c r="H39" s="51"/>
      <c r="I39" s="52"/>
      <c r="J39" s="52"/>
      <c r="K39" s="41"/>
      <c r="L39" s="41"/>
      <c r="M39" s="41"/>
      <c r="N39" s="41"/>
      <c r="O39" s="41"/>
      <c r="P39" s="41"/>
    </row>
    <row r="40" spans="1:17" ht="64.5">
      <c r="A40" s="53" t="s">
        <v>163</v>
      </c>
      <c r="D40" s="51"/>
      <c r="E40" s="25" t="s">
        <v>128</v>
      </c>
      <c r="F40" s="51"/>
      <c r="G40" s="25" t="s">
        <v>134</v>
      </c>
      <c r="H40" s="51"/>
      <c r="I40" s="25" t="s">
        <v>123</v>
      </c>
      <c r="J40" s="52"/>
      <c r="K40" s="40" t="s">
        <v>124</v>
      </c>
      <c r="L40" s="41"/>
      <c r="M40" s="54" t="s">
        <v>148</v>
      </c>
      <c r="N40" s="41"/>
      <c r="O40" s="25" t="s">
        <v>122</v>
      </c>
      <c r="P40" s="41"/>
    </row>
    <row r="41" spans="1:17">
      <c r="D41" s="51"/>
      <c r="E41" s="51"/>
      <c r="F41" s="51"/>
      <c r="G41" s="51"/>
      <c r="H41" s="51"/>
      <c r="I41" s="52"/>
      <c r="J41" s="52"/>
      <c r="K41" s="41"/>
      <c r="L41" s="41"/>
      <c r="M41" s="41"/>
      <c r="N41" s="41"/>
      <c r="O41" s="41"/>
      <c r="P41" s="41"/>
    </row>
    <row r="42" spans="1:17">
      <c r="A42" s="41" t="str">
        <f>Hulpblad!B35</f>
        <v>Niet van toepassing</v>
      </c>
      <c r="D42" s="51"/>
      <c r="E42" s="51"/>
      <c r="F42" s="51"/>
      <c r="G42" s="88" t="str">
        <f>IF(Hulpblad!B32=1,"","8 - 45")</f>
        <v/>
      </c>
      <c r="H42" s="51"/>
      <c r="I42" s="43">
        <f>Hulpblad!M35</f>
        <v>0</v>
      </c>
      <c r="J42" s="52"/>
      <c r="K42" s="75"/>
      <c r="L42" s="41"/>
      <c r="M42" s="44">
        <f>IF(AND(I42&gt;0,K42&gt;0),MIN(45-M44-M48-M52,K42),0)</f>
        <v>0</v>
      </c>
      <c r="N42" s="41"/>
      <c r="O42" s="45">
        <f>I42*M42</f>
        <v>0</v>
      </c>
      <c r="P42" s="41"/>
      <c r="Q42" s="81" t="str">
        <f>IF(AND(Hulpblad!D35="Ja",K42=0),"U moet nog een oppervlakte in m² invullen!",
IF(AND(Hulpblad!H35="1 januari -1 april 2022",I42=0),"Het subsidiebedrag is € 0,00 omdat u nog maar één type isolatiemaatregel met installatiedatum vóór 2 april 2022 heeft ingevuld. Isolerend glas, panelen en deuren vormen samen één type isolatiemaatregel (techniek).",""))</f>
        <v/>
      </c>
    </row>
    <row r="43" spans="1:17" ht="24.95" customHeight="1">
      <c r="A43" s="41"/>
      <c r="D43" s="51"/>
      <c r="E43" s="51"/>
      <c r="F43" s="51"/>
      <c r="G43" s="89"/>
      <c r="H43" s="51"/>
      <c r="I43" s="52"/>
      <c r="J43" s="52"/>
      <c r="K43" s="55"/>
      <c r="L43" s="41"/>
      <c r="M43" s="41"/>
      <c r="N43" s="41"/>
      <c r="O43" s="41"/>
      <c r="P43" s="41"/>
      <c r="Q43" s="84"/>
    </row>
    <row r="44" spans="1:17">
      <c r="A44" s="41" t="str">
        <f>Hulpblad!B38</f>
        <v>Niet van toepassing</v>
      </c>
      <c r="D44" s="51"/>
      <c r="E44" s="51"/>
      <c r="F44" s="51"/>
      <c r="G44" s="89"/>
      <c r="H44" s="51"/>
      <c r="I44" s="43">
        <f>Hulpblad!M38</f>
        <v>0</v>
      </c>
      <c r="J44" s="52"/>
      <c r="K44" s="75"/>
      <c r="L44" s="41"/>
      <c r="M44" s="44">
        <f>IF(AND(I44&gt;0,K44&gt;0),MIN(45,K44),0)</f>
        <v>0</v>
      </c>
      <c r="N44" s="41"/>
      <c r="O44" s="45">
        <f>I44*M44</f>
        <v>0</v>
      </c>
      <c r="P44" s="41"/>
      <c r="Q44" s="81" t="str">
        <f>IF(AND(Hulpblad!D38="Ja",K44=0),"U moet nog een oppervlakte in m² invullen!",
IF(AND(Hulpblad!H38="1 januari -1 april 2022",I44=0),"Het subsidiebedrag is € 0,00 omdat u nog maar één type isolatiemaatregel met installatiedatum vóór 2 april 2022 heeft ingevuld. Isolerend glas, panelen en deuren vormen samen één type isolatiemaatregel (techniek).",""))</f>
        <v/>
      </c>
    </row>
    <row r="45" spans="1:17" ht="24.95" customHeight="1">
      <c r="A45" s="41"/>
      <c r="D45" s="51"/>
      <c r="E45" s="51"/>
      <c r="F45" s="51"/>
      <c r="G45" s="89"/>
      <c r="H45" s="51"/>
      <c r="I45" s="52"/>
      <c r="J45" s="52"/>
      <c r="K45" s="55"/>
      <c r="L45" s="41"/>
      <c r="M45" s="41"/>
      <c r="N45" s="41"/>
      <c r="O45" s="41"/>
      <c r="P45" s="41"/>
      <c r="Q45" s="84"/>
    </row>
    <row r="46" spans="1:17">
      <c r="A46" s="41" t="str">
        <f>Hulpblad!B41</f>
        <v>Niet van toepassing</v>
      </c>
      <c r="D46" s="51"/>
      <c r="E46" s="51"/>
      <c r="F46" s="51"/>
      <c r="G46" s="89"/>
      <c r="H46" s="51"/>
      <c r="I46" s="43">
        <f>Hulpblad!M41</f>
        <v>0</v>
      </c>
      <c r="J46" s="52"/>
      <c r="K46" s="75"/>
      <c r="L46" s="41"/>
      <c r="M46" s="44">
        <f>IF(AND(I46&gt;0,K46&gt;0),MIN(45,45-M42-M44-M48-M50-M52,K46),0)</f>
        <v>0</v>
      </c>
      <c r="N46" s="41"/>
      <c r="O46" s="45">
        <f>I46*M46</f>
        <v>0</v>
      </c>
      <c r="P46" s="41"/>
      <c r="Q46" s="81" t="str">
        <f>IF(AND(Hulpblad!D41="Ja",K46=0),"U moet nog een oppervlakte in m² invullen!",
IF(AND(Hulpblad!H41="1 januari -1 april 2022",I46=0),"Het subsidiebedrag is € 0,00 omdat u nog maar één type isolatiemaatregel met installatiedatum vóór 2 april 2022 heeft ingevuld. Isolerend glas, panelen en deuren vormen samen één type isolatiemaatregel (techniek).",""))</f>
        <v/>
      </c>
    </row>
    <row r="47" spans="1:17" ht="24.95" customHeight="1">
      <c r="A47" s="41"/>
      <c r="D47" s="51"/>
      <c r="E47" s="51"/>
      <c r="F47" s="51"/>
      <c r="G47" s="89"/>
      <c r="H47" s="51"/>
      <c r="I47" s="52"/>
      <c r="J47" s="52"/>
      <c r="K47" s="55"/>
      <c r="L47" s="41"/>
      <c r="M47" s="41"/>
      <c r="N47" s="41"/>
      <c r="O47" s="41"/>
      <c r="P47" s="41"/>
      <c r="Q47" s="84"/>
    </row>
    <row r="48" spans="1:17">
      <c r="A48" s="41" t="str">
        <f>Hulpblad!B44</f>
        <v>Niet van toepassing</v>
      </c>
      <c r="D48" s="51"/>
      <c r="E48" s="51"/>
      <c r="F48" s="51"/>
      <c r="G48" s="89"/>
      <c r="H48" s="51"/>
      <c r="I48" s="43">
        <f>Hulpblad!M44</f>
        <v>0</v>
      </c>
      <c r="J48" s="52"/>
      <c r="K48" s="75"/>
      <c r="L48" s="41"/>
      <c r="M48" s="44">
        <f>IF(AND(I48&gt;0,K48&gt;0),MIN(45,45-M44-M52,K48),0)</f>
        <v>0</v>
      </c>
      <c r="N48" s="41"/>
      <c r="O48" s="45">
        <f>I48*M48</f>
        <v>0</v>
      </c>
      <c r="P48" s="41"/>
      <c r="Q48" s="81" t="str">
        <f>IF(AND(Hulpblad!D44="Ja",K48=0),"U moet nog een oppervlakte in m² invullen!",
IF(AND(Hulpblad!H44="1 januari -1 april 2022",I48=0),"Het subsidiebedrag is € 0,00 omdat u nog maar één type isolatiemaatregel met installatiedatum vóór 2 april 2022 heeft ingevuld. Isolerend glas, panelen en deuren vormen samen één type isolatiemaatregel (techniek).",""))</f>
        <v/>
      </c>
    </row>
    <row r="49" spans="1:17" ht="24.95" customHeight="1">
      <c r="A49" s="41"/>
      <c r="D49" s="51"/>
      <c r="E49" s="51"/>
      <c r="F49" s="51"/>
      <c r="G49" s="89"/>
      <c r="H49" s="51"/>
      <c r="I49" s="52"/>
      <c r="J49" s="52"/>
      <c r="K49" s="55"/>
      <c r="L49" s="41"/>
      <c r="M49" s="41"/>
      <c r="N49" s="41"/>
      <c r="O49" s="41"/>
      <c r="P49" s="41"/>
      <c r="Q49" s="84"/>
    </row>
    <row r="50" spans="1:17">
      <c r="A50" s="41" t="str">
        <f>Hulpblad!B47</f>
        <v>Niet van toepassing</v>
      </c>
      <c r="D50" s="51"/>
      <c r="E50" s="51"/>
      <c r="F50" s="51"/>
      <c r="G50" s="89"/>
      <c r="H50" s="51"/>
      <c r="I50" s="43">
        <f>Hulpblad!M47</f>
        <v>0</v>
      </c>
      <c r="J50" s="52"/>
      <c r="K50" s="75"/>
      <c r="L50" s="41"/>
      <c r="M50" s="44">
        <f>IF(AND(I50&gt;0,K50&gt;0),MIN(45,45-M42-M44-M48-M52,K50),0)</f>
        <v>0</v>
      </c>
      <c r="N50" s="41"/>
      <c r="O50" s="45">
        <f>I50*M50</f>
        <v>0</v>
      </c>
      <c r="P50" s="41"/>
      <c r="Q50" s="81" t="str">
        <f>IF(AND(Hulpblad!D47="Ja",K50=0),"U moet nog een oppervlakte in m² invullen!",
IF(AND(Hulpblad!H47="1 januari -1 april 2022",I50=0),"Het subsidiebedrag is € 0,00 omdat u nog maar één type isolatiemaatregel met installatiedatum vóór 2 april 2022 heeft ingevuld. Isolerend glas, panelen en deuren vormen samen één type isolatiemaatregel (techniek).",""))</f>
        <v/>
      </c>
    </row>
    <row r="51" spans="1:17" ht="24.95" customHeight="1">
      <c r="A51" s="41"/>
      <c r="D51" s="51"/>
      <c r="E51" s="51"/>
      <c r="F51" s="51"/>
      <c r="G51" s="89"/>
      <c r="H51" s="51"/>
      <c r="I51" s="52"/>
      <c r="J51" s="52"/>
      <c r="K51" s="55"/>
      <c r="L51" s="41"/>
      <c r="M51" s="41"/>
      <c r="N51" s="41"/>
      <c r="O51" s="41"/>
      <c r="P51" s="41"/>
      <c r="Q51" s="84"/>
    </row>
    <row r="52" spans="1:17">
      <c r="A52" s="41" t="str">
        <f>Hulpblad!B50</f>
        <v>Niet van toepassing</v>
      </c>
      <c r="G52" s="90"/>
      <c r="I52" s="43">
        <f>Hulpblad!M50</f>
        <v>0</v>
      </c>
      <c r="J52" s="41"/>
      <c r="K52" s="75"/>
      <c r="L52" s="41"/>
      <c r="M52" s="44">
        <f>IF(AND(I52&gt;0,K52&gt;0),MIN(45,45-M44,K52),0)</f>
        <v>0</v>
      </c>
      <c r="N52" s="41"/>
      <c r="O52" s="45">
        <f>I52*M52</f>
        <v>0</v>
      </c>
      <c r="P52" s="41"/>
      <c r="Q52" s="81" t="str">
        <f>IF(AND(Hulpblad!D50="Ja",K52=0),"U moet nog een oppervlakte in m²  invullen!",
IF(AND(Hulpblad!H50="1 januari -1 april 2022",I52=0),"Het subsidiebedrag is € 0,00 omdat u nog maar één type isolatiemaatregel met installatiedatum vóór 2 april 2022 heeft ingevuld. Isolerend glas, panelen en deuren vormen samen één type isolatiemaatregel (techniek).",""))</f>
        <v/>
      </c>
    </row>
    <row r="53" spans="1:17">
      <c r="A53" s="41"/>
      <c r="I53" s="41"/>
      <c r="J53" s="41"/>
      <c r="K53" s="41"/>
      <c r="L53" s="41"/>
      <c r="M53" s="41"/>
      <c r="N53" s="41"/>
      <c r="O53" s="41"/>
      <c r="P53" s="41"/>
      <c r="Q53" s="84"/>
    </row>
    <row r="54" spans="1:17">
      <c r="A54" s="41"/>
      <c r="I54" s="41"/>
      <c r="J54" s="41"/>
      <c r="K54" s="41"/>
      <c r="L54" s="41"/>
      <c r="M54" s="41"/>
      <c r="N54" s="41"/>
      <c r="O54" s="41"/>
      <c r="P54" s="41"/>
      <c r="Q54" s="56"/>
    </row>
    <row r="55" spans="1:17" ht="15" customHeight="1">
      <c r="H55" s="57"/>
      <c r="I55" s="58" t="s">
        <v>132</v>
      </c>
      <c r="J55" s="57"/>
      <c r="K55" s="44">
        <f>K42+K44+K46+K48+K50+K52</f>
        <v>0</v>
      </c>
      <c r="M55" s="44">
        <f>IF(K55&lt;8,0,M42+M44+M46+M48+M50+M52)</f>
        <v>0</v>
      </c>
      <c r="Q55" s="81" t="str">
        <f>IF(AND(M55&lt;45,M55&gt;8),"",IF(AND(K55&gt;45,M55=45),"Er komt maximaal 45 m²  oppervlak aan glas, panelen en deuren in aanmerking voor subsidie! Het aantal m²  is per maatregel afgetopt van hoog naar laag bedrag per m²!",
IF(AND(M55&lt; 8,Hulpblad!C32="HR++ glas, U ≤ 1,2 W/m2K en/of Triple glas, U ≤ 0,7 W/m2K"),"Er is te weinig subsidiabel oppervlak aan glas, panelen en deuren om in aanmerking te komen voor subsidie!","")))</f>
        <v/>
      </c>
    </row>
    <row r="56" spans="1:17">
      <c r="H56" s="57"/>
      <c r="I56" s="59"/>
      <c r="J56" s="57"/>
      <c r="K56" s="41"/>
      <c r="Q56" s="81"/>
    </row>
    <row r="57" spans="1:17" ht="15" customHeight="1">
      <c r="K57" s="53" t="s">
        <v>154</v>
      </c>
      <c r="O57" s="45">
        <f>IF(K55&lt;8,0,O42+O44+O46+O48+O50+O52)</f>
        <v>0</v>
      </c>
      <c r="Q57" s="48"/>
    </row>
    <row r="58" spans="1:17" ht="23.25">
      <c r="A58" s="60" t="s">
        <v>161</v>
      </c>
      <c r="B58" s="60"/>
      <c r="Q58" s="48"/>
    </row>
    <row r="59" spans="1:17">
      <c r="Q59" s="61"/>
    </row>
    <row r="60" spans="1:17">
      <c r="A60" s="22" t="s">
        <v>78</v>
      </c>
      <c r="C60" s="41"/>
      <c r="G60" s="39" t="s">
        <v>79</v>
      </c>
      <c r="H60" s="39"/>
      <c r="I60" s="39"/>
      <c r="J60" s="39"/>
      <c r="O60" s="45">
        <f>IF(G72="",VLOOKUP(Hulpblad!C87,Hulpblad!B140:G167,3,FALSE)+Hulpblad!D93+IF(C72=0,0,VLOOKUP(Hulpblad!C87,Hulpblad!B140:G167,6,FALSE)*(C72-Hulpblad!C96)),0)</f>
        <v>0</v>
      </c>
      <c r="Q60" s="48"/>
    </row>
    <row r="61" spans="1:17">
      <c r="C61" s="41"/>
      <c r="Q61" s="48"/>
    </row>
    <row r="62" spans="1:17">
      <c r="C62" s="41"/>
    </row>
    <row r="63" spans="1:17">
      <c r="C63" s="41"/>
    </row>
    <row r="64" spans="1:17">
      <c r="C64" s="41"/>
    </row>
    <row r="65" spans="1:17">
      <c r="C65" s="41"/>
    </row>
    <row r="66" spans="1:17">
      <c r="C66" s="41"/>
    </row>
    <row r="67" spans="1:17">
      <c r="C67" s="41"/>
    </row>
    <row r="68" spans="1:17">
      <c r="C68" s="41"/>
    </row>
    <row r="69" spans="1:17">
      <c r="A69" s="22" t="str">
        <f>IF(C60="Geen warmtepomp","","Kies energie-efficiency klasse:")</f>
        <v>Kies energie-efficiency klasse:</v>
      </c>
      <c r="C69" s="41"/>
    </row>
    <row r="70" spans="1:17">
      <c r="C70" s="41"/>
    </row>
    <row r="71" spans="1:17">
      <c r="C71" s="41"/>
    </row>
    <row r="72" spans="1:17">
      <c r="A72" s="22" t="str">
        <f>IF(VLOOKUP(Hulpblad!C87,Hulpblad!B75:C86,2,FALSE)&gt;0,"Kies vermogen (kW):","")</f>
        <v/>
      </c>
      <c r="C72" s="76"/>
      <c r="G72" s="36" t="str">
        <f>IF(A72="","",IF(OR(C72=0,C72&lt;Hulpblad!C96,C72&gt;Hulpblad!C97),"U moet een vermogen tussen "&amp;Hulpblad!C96&amp;" kW - "&amp;Hulpblad!C97&amp;" kW  invullen!",""))</f>
        <v/>
      </c>
      <c r="H72" s="62"/>
      <c r="I72" s="62"/>
      <c r="J72" s="62"/>
      <c r="L72" s="62"/>
      <c r="M72" s="62"/>
      <c r="N72" s="62"/>
    </row>
    <row r="73" spans="1:17" ht="15" customHeight="1">
      <c r="B73" s="39"/>
      <c r="C73" s="41"/>
    </row>
    <row r="74" spans="1:17">
      <c r="A74" s="39"/>
      <c r="B74" s="39"/>
      <c r="C74" s="41"/>
    </row>
    <row r="75" spans="1:17">
      <c r="A75" s="39"/>
      <c r="B75" s="39"/>
      <c r="C75" s="41"/>
    </row>
    <row r="76" spans="1:17" ht="23.25">
      <c r="A76" s="60" t="s">
        <v>162</v>
      </c>
      <c r="B76" s="60"/>
      <c r="C76" s="41"/>
    </row>
    <row r="77" spans="1:17" ht="15" customHeight="1">
      <c r="A77" s="60"/>
      <c r="B77" s="60"/>
      <c r="C77" s="41"/>
    </row>
    <row r="78" spans="1:17" ht="15" customHeight="1">
      <c r="A78" s="22" t="s">
        <v>80</v>
      </c>
      <c r="C78" s="41"/>
      <c r="G78" s="39" t="s">
        <v>81</v>
      </c>
      <c r="H78" s="39"/>
      <c r="I78" s="39"/>
      <c r="J78" s="39"/>
      <c r="O78" s="45">
        <f>IF(Hulpblad!C105="Geen zonneboiler",0,VLOOKUP(Hulpblad!C105,Hulpblad!C170:D174,2,FALSE))</f>
        <v>0</v>
      </c>
      <c r="Q78" s="79" t="str">
        <f>IF(O78&gt;0,"Dit subsidiebedrag is indicatief, raadpleeg de ISDE-apparatenlijst zonneboilers voor het exacte bedrag.","")</f>
        <v/>
      </c>
    </row>
    <row r="79" spans="1:17" ht="15" customHeight="1">
      <c r="B79" s="39"/>
      <c r="C79" s="41"/>
      <c r="Q79" s="80"/>
    </row>
    <row r="80" spans="1:17" ht="15" customHeight="1">
      <c r="A80" s="60"/>
      <c r="B80" s="60"/>
      <c r="C80" s="41"/>
      <c r="Q80" s="63"/>
    </row>
    <row r="81" spans="1:17" ht="15" customHeight="1">
      <c r="A81" s="60"/>
      <c r="B81" s="60"/>
      <c r="C81" s="41"/>
      <c r="Q81" s="25"/>
    </row>
    <row r="82" spans="1:17" ht="15" customHeight="1">
      <c r="A82" s="60"/>
      <c r="B82" s="60"/>
      <c r="C82" s="41"/>
      <c r="Q82" s="25"/>
    </row>
    <row r="83" spans="1:17" ht="15" customHeight="1"/>
    <row r="84" spans="1:17" ht="23.25">
      <c r="A84" s="60" t="s">
        <v>160</v>
      </c>
      <c r="B84" s="60"/>
    </row>
    <row r="85" spans="1:17" ht="15" customHeight="1"/>
    <row r="86" spans="1:17">
      <c r="A86" s="78" t="s">
        <v>174</v>
      </c>
      <c r="B86" s="25"/>
      <c r="C86" s="41"/>
      <c r="D86" s="64"/>
      <c r="E86" s="64"/>
      <c r="G86" s="39" t="s">
        <v>99</v>
      </c>
      <c r="H86" s="39"/>
      <c r="I86" s="39"/>
      <c r="J86" s="39"/>
      <c r="O86" s="45">
        <f>VLOOKUP(Hulpblad!C110,Hulpblad!C177:D178,2,FALSE)</f>
        <v>0</v>
      </c>
      <c r="Q86" s="77" t="str">
        <f>IF(O86&gt;0,"Dit subsidiebedrag is inclusief een bijdrage voor een elektrische kookvoorziening.","")</f>
        <v/>
      </c>
    </row>
    <row r="87" spans="1:17">
      <c r="A87" s="78"/>
      <c r="B87" s="25"/>
      <c r="C87" s="41"/>
      <c r="D87" s="64"/>
      <c r="E87" s="64"/>
      <c r="O87" s="41"/>
      <c r="Q87" s="78"/>
    </row>
    <row r="88" spans="1:17" ht="24.95" customHeight="1">
      <c r="A88" s="25"/>
      <c r="B88" s="25"/>
      <c r="C88" s="41"/>
      <c r="D88" s="64"/>
      <c r="E88" s="64"/>
      <c r="O88" s="41"/>
    </row>
    <row r="89" spans="1:17" ht="30.75" customHeight="1">
      <c r="A89" s="60" t="s">
        <v>177</v>
      </c>
      <c r="B89" s="25"/>
      <c r="C89" s="41"/>
      <c r="D89" s="22" t="s">
        <v>170</v>
      </c>
      <c r="E89" s="80"/>
      <c r="O89" s="41"/>
    </row>
    <row r="90" spans="1:17" ht="15" customHeight="1">
      <c r="A90" s="60"/>
      <c r="B90" s="25"/>
      <c r="C90" s="41"/>
      <c r="E90" s="86"/>
      <c r="O90" s="41"/>
    </row>
    <row r="91" spans="1:17">
      <c r="A91" s="39" t="s">
        <v>178</v>
      </c>
      <c r="B91" s="25"/>
      <c r="C91" s="41"/>
      <c r="O91" s="41"/>
    </row>
    <row r="92" spans="1:17" ht="19.5" customHeight="1">
      <c r="A92" s="60"/>
      <c r="B92" s="25"/>
      <c r="C92" s="41"/>
      <c r="O92" s="41"/>
    </row>
    <row r="93" spans="1:17">
      <c r="A93" s="65" t="str">
        <f>IF(Hulpblad!C116="Ja","Is uw woning aangesloten op een warmtenet?","")</f>
        <v/>
      </c>
      <c r="B93" s="66"/>
      <c r="D93" s="64"/>
      <c r="E93" s="80" t="str">
        <f>IF(Hulpblad!F116="Nee","U komt niet in aanmerking voor subsidie voor een elektrische kookvoorziening als uw woning niet op een warmtenet is aangesloten.","")</f>
        <v/>
      </c>
      <c r="F93" s="86"/>
      <c r="G93" s="86"/>
      <c r="H93" s="86"/>
      <c r="I93" s="86"/>
      <c r="J93" s="86"/>
      <c r="K93" s="86"/>
      <c r="L93" s="64"/>
      <c r="M93" s="64"/>
      <c r="O93" s="41"/>
    </row>
    <row r="94" spans="1:17">
      <c r="A94" s="67"/>
      <c r="B94" s="66"/>
      <c r="D94" s="64"/>
      <c r="E94" s="86"/>
      <c r="F94" s="86"/>
      <c r="G94" s="86"/>
      <c r="H94" s="86"/>
      <c r="I94" s="86"/>
      <c r="J94" s="86"/>
      <c r="K94" s="86"/>
      <c r="L94" s="64"/>
      <c r="M94" s="64"/>
      <c r="O94" s="41"/>
    </row>
    <row r="95" spans="1:17" ht="28.5" customHeight="1">
      <c r="A95" s="65" t="str">
        <f>IF(Hulpblad!F116="Ja","Heeft u voor de aansluiting op een warmtenet al  eerder subsidie ontvangen van de Rijksoverheid?","")</f>
        <v/>
      </c>
      <c r="B95" s="32"/>
      <c r="E95" s="85" t="str">
        <f>IF(Hulpblad!I116="Ja","U komt niet in aanmerking vooor subsidie voor een elektrische kookvoorziening, omdat u van de Rijksoverheid al subsidie voor het warmtenet heeft ontvangen. ","")</f>
        <v/>
      </c>
      <c r="F95" s="86"/>
      <c r="G95" s="86"/>
      <c r="H95" s="86"/>
      <c r="I95" s="86"/>
      <c r="J95" s="86"/>
      <c r="K95" s="86"/>
      <c r="O95" s="41"/>
    </row>
    <row r="96" spans="1:17" ht="13.5" customHeight="1">
      <c r="A96" s="67"/>
      <c r="B96" s="32"/>
      <c r="E96" s="68"/>
      <c r="O96" s="41"/>
    </row>
    <row r="97" spans="1:15" ht="45" customHeight="1">
      <c r="A97" s="69" t="str">
        <f>IF(Hulpblad!I116="Nee","Is uw woning afgesloten van het aardgasnet en de elektrische kookvoorziening aangeschaft op of ná 2 april 2022?","")</f>
        <v/>
      </c>
      <c r="B97" s="32"/>
      <c r="E97" s="70" t="str">
        <f>IF(Hulpblad!L116="Nee","U komt niet in aanmerking vooor subsidie voor een elektrische kookvoorziening. ","")</f>
        <v/>
      </c>
      <c r="O97" s="41"/>
    </row>
    <row r="98" spans="1:15">
      <c r="A98" s="77"/>
      <c r="B98" s="69"/>
      <c r="C98" s="41"/>
      <c r="G98" s="39" t="s">
        <v>100</v>
      </c>
      <c r="H98" s="39"/>
      <c r="I98" s="39"/>
      <c r="J98" s="39"/>
      <c r="O98" s="45">
        <f>IF(Hulpblad!L116="Ja",VLOOKUP(Hulpblad!C182,Hulpblad!C181:D182,2,FALSE),0)</f>
        <v>0</v>
      </c>
    </row>
    <row r="99" spans="1:15">
      <c r="A99" s="80"/>
      <c r="B99" s="25"/>
      <c r="C99" s="41"/>
    </row>
    <row r="100" spans="1:15">
      <c r="A100" s="71"/>
      <c r="B100" s="71"/>
    </row>
    <row r="101" spans="1:15">
      <c r="A101" s="39"/>
      <c r="B101" s="39"/>
      <c r="O101" s="41"/>
    </row>
    <row r="102" spans="1:15" ht="18.75">
      <c r="B102" s="72"/>
      <c r="G102" s="72" t="s">
        <v>121</v>
      </c>
      <c r="H102" s="72"/>
      <c r="I102" s="72"/>
      <c r="J102" s="72"/>
      <c r="O102" s="73">
        <f>O29+O31+O33+O35+O57+O60+O78+O86+O98</f>
        <v>0</v>
      </c>
    </row>
    <row r="103" spans="1:15">
      <c r="O103" s="64"/>
    </row>
    <row r="104" spans="1:15">
      <c r="A104" s="87"/>
      <c r="B104" s="87"/>
      <c r="C104" s="91"/>
    </row>
  </sheetData>
  <sheetProtection algorithmName="SHA-512" hashValue="ngmeheVO5YPmH3obOkZqYWpDUNuke/sZVo9Je8ouvp8DG+J9YantYykknhCaOU9kcgoorZLLhh4O/YeL+bz9vg==" saltValue="5U+ZSvSJik9Cwf4nRZ8Q5Q==" spinCount="100000" sheet="1" objects="1" scenarios="1"/>
  <mergeCells count="18">
    <mergeCell ref="E95:K95"/>
    <mergeCell ref="E93:K94"/>
    <mergeCell ref="A5:O5"/>
    <mergeCell ref="G42:G52"/>
    <mergeCell ref="A104:C104"/>
    <mergeCell ref="A86:A87"/>
    <mergeCell ref="A98:A99"/>
    <mergeCell ref="E89:E90"/>
    <mergeCell ref="Q86:Q87"/>
    <mergeCell ref="Q78:Q79"/>
    <mergeCell ref="Q55:Q56"/>
    <mergeCell ref="A8:C8"/>
    <mergeCell ref="Q42:Q43"/>
    <mergeCell ref="Q44:Q45"/>
    <mergeCell ref="Q46:Q47"/>
    <mergeCell ref="Q48:Q49"/>
    <mergeCell ref="Q50:Q51"/>
    <mergeCell ref="Q52:Q53"/>
  </mergeCells>
  <hyperlinks>
    <hyperlink ref="A9" r:id="rId1" xr:uid="{47158AD8-F4BE-4684-9E7F-A872EB46414A}"/>
    <hyperlink ref="A10" r:id="rId2" xr:uid="{FBF1111B-5C35-4A3D-AA40-12A6A0720D7E}"/>
    <hyperlink ref="A8" r:id="rId3" xr:uid="{8BDAA56C-B297-4D20-9CA0-573A492E3437}"/>
    <hyperlink ref="A11" r:id="rId4" xr:uid="{3316CA3D-B4B2-408E-9A54-58B00C0F7BBE}"/>
  </hyperlinks>
  <pageMargins left="0.7" right="0.7" top="0.75" bottom="0.75" header="0.3" footer="0.3"/>
  <pageSetup paperSize="9" scale="37" fitToHeight="0" orientation="landscape" r:id="rId5"/>
  <ignoredErrors>
    <ignoredError sqref="Q86" evalError="1"/>
  </ignoredErrors>
  <drawing r:id="rId6"/>
  <legacyDrawing r:id="rId7"/>
  <mc:AlternateContent xmlns:mc="http://schemas.openxmlformats.org/markup-compatibility/2006">
    <mc:Choice Requires="x14">
      <controls>
        <mc:AlternateContent xmlns:mc="http://schemas.openxmlformats.org/markup-compatibility/2006">
          <mc:Choice Requires="x14">
            <control shapeId="1058" r:id="rId8" name="List Box 34">
              <controlPr defaultSize="0" autoLine="0" autoPict="0">
                <anchor moveWithCells="1" sizeWithCells="1">
                  <from>
                    <xdr:col>1</xdr:col>
                    <xdr:colOff>238125</xdr:colOff>
                    <xdr:row>96</xdr:row>
                    <xdr:rowOff>38100</xdr:rowOff>
                  </from>
                  <to>
                    <xdr:col>3</xdr:col>
                    <xdr:colOff>38100</xdr:colOff>
                    <xdr:row>96</xdr:row>
                    <xdr:rowOff>361950</xdr:rowOff>
                  </to>
                </anchor>
              </controlPr>
            </control>
          </mc:Choice>
        </mc:AlternateContent>
        <mc:AlternateContent xmlns:mc="http://schemas.openxmlformats.org/markup-compatibility/2006">
          <mc:Choice Requires="x14">
            <control shapeId="1060" r:id="rId9" name="List Box 36">
              <controlPr defaultSize="0" autoLine="0" autoPict="0">
                <anchor moveWithCells="1" sizeWithCells="1">
                  <from>
                    <xdr:col>1</xdr:col>
                    <xdr:colOff>228600</xdr:colOff>
                    <xdr:row>85</xdr:row>
                    <xdr:rowOff>19050</xdr:rowOff>
                  </from>
                  <to>
                    <xdr:col>3</xdr:col>
                    <xdr:colOff>19050</xdr:colOff>
                    <xdr:row>86</xdr:row>
                    <xdr:rowOff>123825</xdr:rowOff>
                  </to>
                </anchor>
              </controlPr>
            </control>
          </mc:Choice>
        </mc:AlternateContent>
        <mc:AlternateContent xmlns:mc="http://schemas.openxmlformats.org/markup-compatibility/2006">
          <mc:Choice Requires="x14">
            <control shapeId="1063" r:id="rId10" name="List Box 39">
              <controlPr defaultSize="0" autoLine="0" autoPict="0">
                <anchor moveWithCells="1" sizeWithCells="1">
                  <from>
                    <xdr:col>2</xdr:col>
                    <xdr:colOff>0</xdr:colOff>
                    <xdr:row>77</xdr:row>
                    <xdr:rowOff>19050</xdr:rowOff>
                  </from>
                  <to>
                    <xdr:col>3</xdr:col>
                    <xdr:colOff>28575</xdr:colOff>
                    <xdr:row>80</xdr:row>
                    <xdr:rowOff>152400</xdr:rowOff>
                  </to>
                </anchor>
              </controlPr>
            </control>
          </mc:Choice>
        </mc:AlternateContent>
        <mc:AlternateContent xmlns:mc="http://schemas.openxmlformats.org/markup-compatibility/2006">
          <mc:Choice Requires="x14">
            <control shapeId="1066" r:id="rId11" name="List Box 42">
              <controlPr defaultSize="0" autoLine="0" autoPict="0">
                <anchor moveWithCells="1" sizeWithCells="1">
                  <from>
                    <xdr:col>2</xdr:col>
                    <xdr:colOff>9525</xdr:colOff>
                    <xdr:row>58</xdr:row>
                    <xdr:rowOff>190500</xdr:rowOff>
                  </from>
                  <to>
                    <xdr:col>3</xdr:col>
                    <xdr:colOff>38100</xdr:colOff>
                    <xdr:row>66</xdr:row>
                    <xdr:rowOff>152400</xdr:rowOff>
                  </to>
                </anchor>
              </controlPr>
            </control>
          </mc:Choice>
        </mc:AlternateContent>
        <mc:AlternateContent xmlns:mc="http://schemas.openxmlformats.org/markup-compatibility/2006">
          <mc:Choice Requires="x14">
            <control shapeId="1067" r:id="rId12" name="List Box 43">
              <controlPr defaultSize="0" autoLine="0" autoPict="0">
                <anchor moveWithCells="1" sizeWithCells="1">
                  <from>
                    <xdr:col>2</xdr:col>
                    <xdr:colOff>0</xdr:colOff>
                    <xdr:row>68</xdr:row>
                    <xdr:rowOff>38100</xdr:rowOff>
                  </from>
                  <to>
                    <xdr:col>3</xdr:col>
                    <xdr:colOff>28575</xdr:colOff>
                    <xdr:row>70</xdr:row>
                    <xdr:rowOff>95250</xdr:rowOff>
                  </to>
                </anchor>
              </controlPr>
            </control>
          </mc:Choice>
        </mc:AlternateContent>
        <mc:AlternateContent xmlns:mc="http://schemas.openxmlformats.org/markup-compatibility/2006">
          <mc:Choice Requires="x14">
            <control shapeId="1069" r:id="rId13" name="List Box 45">
              <controlPr defaultSize="0" autoLine="0" autoPict="0">
                <anchor moveWithCells="1" sizeWithCells="1">
                  <from>
                    <xdr:col>1</xdr:col>
                    <xdr:colOff>228600</xdr:colOff>
                    <xdr:row>28</xdr:row>
                    <xdr:rowOff>9525</xdr:rowOff>
                  </from>
                  <to>
                    <xdr:col>3</xdr:col>
                    <xdr:colOff>19050</xdr:colOff>
                    <xdr:row>29</xdr:row>
                    <xdr:rowOff>247650</xdr:rowOff>
                  </to>
                </anchor>
              </controlPr>
            </control>
          </mc:Choice>
        </mc:AlternateContent>
        <mc:AlternateContent xmlns:mc="http://schemas.openxmlformats.org/markup-compatibility/2006">
          <mc:Choice Requires="x14">
            <control shapeId="1075" r:id="rId14" name="List Box 51">
              <controlPr defaultSize="0" autoLine="0" autoPict="0">
                <anchor moveWithCells="1" sizeWithCells="1">
                  <from>
                    <xdr:col>1</xdr:col>
                    <xdr:colOff>228600</xdr:colOff>
                    <xdr:row>30</xdr:row>
                    <xdr:rowOff>19050</xdr:rowOff>
                  </from>
                  <to>
                    <xdr:col>3</xdr:col>
                    <xdr:colOff>19050</xdr:colOff>
                    <xdr:row>31</xdr:row>
                    <xdr:rowOff>133350</xdr:rowOff>
                  </to>
                </anchor>
              </controlPr>
            </control>
          </mc:Choice>
        </mc:AlternateContent>
        <mc:AlternateContent xmlns:mc="http://schemas.openxmlformats.org/markup-compatibility/2006">
          <mc:Choice Requires="x14">
            <control shapeId="1078" r:id="rId15" name="List Box 54">
              <controlPr defaultSize="0" autoLine="0" autoPict="0">
                <anchor moveWithCells="1" sizeWithCells="1">
                  <from>
                    <xdr:col>1</xdr:col>
                    <xdr:colOff>228600</xdr:colOff>
                    <xdr:row>32</xdr:row>
                    <xdr:rowOff>28575</xdr:rowOff>
                  </from>
                  <to>
                    <xdr:col>3</xdr:col>
                    <xdr:colOff>19050</xdr:colOff>
                    <xdr:row>33</xdr:row>
                    <xdr:rowOff>142875</xdr:rowOff>
                  </to>
                </anchor>
              </controlPr>
            </control>
          </mc:Choice>
        </mc:AlternateContent>
        <mc:AlternateContent xmlns:mc="http://schemas.openxmlformats.org/markup-compatibility/2006">
          <mc:Choice Requires="x14">
            <control shapeId="1079" r:id="rId16" name="List Box 55">
              <controlPr defaultSize="0" autoLine="0" autoPict="0">
                <anchor moveWithCells="1" sizeWithCells="1">
                  <from>
                    <xdr:col>1</xdr:col>
                    <xdr:colOff>228600</xdr:colOff>
                    <xdr:row>34</xdr:row>
                    <xdr:rowOff>9525</xdr:rowOff>
                  </from>
                  <to>
                    <xdr:col>3</xdr:col>
                    <xdr:colOff>19050</xdr:colOff>
                    <xdr:row>35</xdr:row>
                    <xdr:rowOff>209550</xdr:rowOff>
                  </to>
                </anchor>
              </controlPr>
            </control>
          </mc:Choice>
        </mc:AlternateContent>
        <mc:AlternateContent xmlns:mc="http://schemas.openxmlformats.org/markup-compatibility/2006">
          <mc:Choice Requires="x14">
            <control shapeId="1086" r:id="rId17" name="List Box 62">
              <controlPr defaultSize="0" autoLine="0" autoPict="0">
                <anchor moveWithCells="1" sizeWithCells="1">
                  <from>
                    <xdr:col>3</xdr:col>
                    <xdr:colOff>190500</xdr:colOff>
                    <xdr:row>28</xdr:row>
                    <xdr:rowOff>9525</xdr:rowOff>
                  </from>
                  <to>
                    <xdr:col>5</xdr:col>
                    <xdr:colOff>19050</xdr:colOff>
                    <xdr:row>29</xdr:row>
                    <xdr:rowOff>142875</xdr:rowOff>
                  </to>
                </anchor>
              </controlPr>
            </control>
          </mc:Choice>
        </mc:AlternateContent>
        <mc:AlternateContent xmlns:mc="http://schemas.openxmlformats.org/markup-compatibility/2006">
          <mc:Choice Requires="x14">
            <control shapeId="1087" r:id="rId18" name="List Box 63">
              <controlPr defaultSize="0" autoLine="0" autoPict="0">
                <anchor moveWithCells="1" sizeWithCells="1">
                  <from>
                    <xdr:col>3</xdr:col>
                    <xdr:colOff>190500</xdr:colOff>
                    <xdr:row>30</xdr:row>
                    <xdr:rowOff>19050</xdr:rowOff>
                  </from>
                  <to>
                    <xdr:col>5</xdr:col>
                    <xdr:colOff>19050</xdr:colOff>
                    <xdr:row>31</xdr:row>
                    <xdr:rowOff>152400</xdr:rowOff>
                  </to>
                </anchor>
              </controlPr>
            </control>
          </mc:Choice>
        </mc:AlternateContent>
        <mc:AlternateContent xmlns:mc="http://schemas.openxmlformats.org/markup-compatibility/2006">
          <mc:Choice Requires="x14">
            <control shapeId="1089" r:id="rId19" name="List Box 65">
              <controlPr defaultSize="0" autoLine="0" autoPict="0">
                <anchor moveWithCells="1" sizeWithCells="1">
                  <from>
                    <xdr:col>3</xdr:col>
                    <xdr:colOff>190500</xdr:colOff>
                    <xdr:row>32</xdr:row>
                    <xdr:rowOff>19050</xdr:rowOff>
                  </from>
                  <to>
                    <xdr:col>5</xdr:col>
                    <xdr:colOff>19050</xdr:colOff>
                    <xdr:row>33</xdr:row>
                    <xdr:rowOff>152400</xdr:rowOff>
                  </to>
                </anchor>
              </controlPr>
            </control>
          </mc:Choice>
        </mc:AlternateContent>
        <mc:AlternateContent xmlns:mc="http://schemas.openxmlformats.org/markup-compatibility/2006">
          <mc:Choice Requires="x14">
            <control shapeId="1090" r:id="rId20" name="List Box 66">
              <controlPr defaultSize="0" autoLine="0" autoPict="0">
                <anchor moveWithCells="1" sizeWithCells="1">
                  <from>
                    <xdr:col>3</xdr:col>
                    <xdr:colOff>190500</xdr:colOff>
                    <xdr:row>34</xdr:row>
                    <xdr:rowOff>19050</xdr:rowOff>
                  </from>
                  <to>
                    <xdr:col>5</xdr:col>
                    <xdr:colOff>19050</xdr:colOff>
                    <xdr:row>35</xdr:row>
                    <xdr:rowOff>152400</xdr:rowOff>
                  </to>
                </anchor>
              </controlPr>
            </control>
          </mc:Choice>
        </mc:AlternateContent>
        <mc:AlternateContent xmlns:mc="http://schemas.openxmlformats.org/markup-compatibility/2006">
          <mc:Choice Requires="x14">
            <control shapeId="1094" r:id="rId21" name="List Box 70">
              <controlPr defaultSize="0" autoLine="0" autoPict="0">
                <anchor moveWithCells="1" sizeWithCells="1">
                  <from>
                    <xdr:col>2</xdr:col>
                    <xdr:colOff>19050</xdr:colOff>
                    <xdr:row>39</xdr:row>
                    <xdr:rowOff>542925</xdr:rowOff>
                  </from>
                  <to>
                    <xdr:col>3</xdr:col>
                    <xdr:colOff>57150</xdr:colOff>
                    <xdr:row>40</xdr:row>
                    <xdr:rowOff>38100</xdr:rowOff>
                  </to>
                </anchor>
              </controlPr>
            </control>
          </mc:Choice>
        </mc:AlternateContent>
        <mc:AlternateContent xmlns:mc="http://schemas.openxmlformats.org/markup-compatibility/2006">
          <mc:Choice Requires="x14">
            <control shapeId="1097" r:id="rId22" name="List Box 73">
              <controlPr defaultSize="0" autoLine="0" autoPict="0">
                <anchor moveWithCells="1" sizeWithCells="1">
                  <from>
                    <xdr:col>2</xdr:col>
                    <xdr:colOff>19050</xdr:colOff>
                    <xdr:row>41</xdr:row>
                    <xdr:rowOff>19050</xdr:rowOff>
                  </from>
                  <to>
                    <xdr:col>3</xdr:col>
                    <xdr:colOff>57150</xdr:colOff>
                    <xdr:row>42</xdr:row>
                    <xdr:rowOff>123825</xdr:rowOff>
                  </to>
                </anchor>
              </controlPr>
            </control>
          </mc:Choice>
        </mc:AlternateContent>
        <mc:AlternateContent xmlns:mc="http://schemas.openxmlformats.org/markup-compatibility/2006">
          <mc:Choice Requires="x14">
            <control shapeId="1104" r:id="rId23" name="List Box 80">
              <controlPr defaultSize="0" autoLine="0" autoPict="0">
                <anchor moveWithCells="1" sizeWithCells="1">
                  <from>
                    <xdr:col>2</xdr:col>
                    <xdr:colOff>19050</xdr:colOff>
                    <xdr:row>43</xdr:row>
                    <xdr:rowOff>19050</xdr:rowOff>
                  </from>
                  <to>
                    <xdr:col>3</xdr:col>
                    <xdr:colOff>57150</xdr:colOff>
                    <xdr:row>44</xdr:row>
                    <xdr:rowOff>123825</xdr:rowOff>
                  </to>
                </anchor>
              </controlPr>
            </control>
          </mc:Choice>
        </mc:AlternateContent>
        <mc:AlternateContent xmlns:mc="http://schemas.openxmlformats.org/markup-compatibility/2006">
          <mc:Choice Requires="x14">
            <control shapeId="1105" r:id="rId24" name="List Box 81">
              <controlPr defaultSize="0" autoLine="0" autoPict="0">
                <anchor moveWithCells="1" sizeWithCells="1">
                  <from>
                    <xdr:col>2</xdr:col>
                    <xdr:colOff>19050</xdr:colOff>
                    <xdr:row>45</xdr:row>
                    <xdr:rowOff>19050</xdr:rowOff>
                  </from>
                  <to>
                    <xdr:col>3</xdr:col>
                    <xdr:colOff>57150</xdr:colOff>
                    <xdr:row>46</xdr:row>
                    <xdr:rowOff>123825</xdr:rowOff>
                  </to>
                </anchor>
              </controlPr>
            </control>
          </mc:Choice>
        </mc:AlternateContent>
        <mc:AlternateContent xmlns:mc="http://schemas.openxmlformats.org/markup-compatibility/2006">
          <mc:Choice Requires="x14">
            <control shapeId="1106" r:id="rId25" name="List Box 82">
              <controlPr defaultSize="0" autoLine="0" autoPict="0">
                <anchor moveWithCells="1" sizeWithCells="1">
                  <from>
                    <xdr:col>2</xdr:col>
                    <xdr:colOff>19050</xdr:colOff>
                    <xdr:row>47</xdr:row>
                    <xdr:rowOff>19050</xdr:rowOff>
                  </from>
                  <to>
                    <xdr:col>3</xdr:col>
                    <xdr:colOff>57150</xdr:colOff>
                    <xdr:row>48</xdr:row>
                    <xdr:rowOff>123825</xdr:rowOff>
                  </to>
                </anchor>
              </controlPr>
            </control>
          </mc:Choice>
        </mc:AlternateContent>
        <mc:AlternateContent xmlns:mc="http://schemas.openxmlformats.org/markup-compatibility/2006">
          <mc:Choice Requires="x14">
            <control shapeId="1107" r:id="rId26" name="List Box 83">
              <controlPr defaultSize="0" autoLine="0" autoPict="0">
                <anchor moveWithCells="1" sizeWithCells="1">
                  <from>
                    <xdr:col>2</xdr:col>
                    <xdr:colOff>19050</xdr:colOff>
                    <xdr:row>49</xdr:row>
                    <xdr:rowOff>19050</xdr:rowOff>
                  </from>
                  <to>
                    <xdr:col>3</xdr:col>
                    <xdr:colOff>57150</xdr:colOff>
                    <xdr:row>50</xdr:row>
                    <xdr:rowOff>123825</xdr:rowOff>
                  </to>
                </anchor>
              </controlPr>
            </control>
          </mc:Choice>
        </mc:AlternateContent>
        <mc:AlternateContent xmlns:mc="http://schemas.openxmlformats.org/markup-compatibility/2006">
          <mc:Choice Requires="x14">
            <control shapeId="1109" r:id="rId27" name="List Box 85">
              <controlPr defaultSize="0" autoLine="0" autoPict="0">
                <anchor moveWithCells="1" sizeWithCells="1">
                  <from>
                    <xdr:col>2</xdr:col>
                    <xdr:colOff>19050</xdr:colOff>
                    <xdr:row>51</xdr:row>
                    <xdr:rowOff>19050</xdr:rowOff>
                  </from>
                  <to>
                    <xdr:col>3</xdr:col>
                    <xdr:colOff>57150</xdr:colOff>
                    <xdr:row>52</xdr:row>
                    <xdr:rowOff>123825</xdr:rowOff>
                  </to>
                </anchor>
              </controlPr>
            </control>
          </mc:Choice>
        </mc:AlternateContent>
        <mc:AlternateContent xmlns:mc="http://schemas.openxmlformats.org/markup-compatibility/2006">
          <mc:Choice Requires="x14">
            <control shapeId="1111" r:id="rId28" name="List Box 87">
              <controlPr defaultSize="0" autoLine="0" autoPict="0">
                <anchor moveWithCells="1" sizeWithCells="1">
                  <from>
                    <xdr:col>3</xdr:col>
                    <xdr:colOff>228600</xdr:colOff>
                    <xdr:row>41</xdr:row>
                    <xdr:rowOff>9525</xdr:rowOff>
                  </from>
                  <to>
                    <xdr:col>5</xdr:col>
                    <xdr:colOff>57150</xdr:colOff>
                    <xdr:row>42</xdr:row>
                    <xdr:rowOff>228600</xdr:rowOff>
                  </to>
                </anchor>
              </controlPr>
            </control>
          </mc:Choice>
        </mc:AlternateContent>
        <mc:AlternateContent xmlns:mc="http://schemas.openxmlformats.org/markup-compatibility/2006">
          <mc:Choice Requires="x14">
            <control shapeId="1112" r:id="rId29" name="List Box 88">
              <controlPr defaultSize="0" autoLine="0" autoPict="0">
                <anchor moveWithCells="1" sizeWithCells="1">
                  <from>
                    <xdr:col>3</xdr:col>
                    <xdr:colOff>228600</xdr:colOff>
                    <xdr:row>43</xdr:row>
                    <xdr:rowOff>19050</xdr:rowOff>
                  </from>
                  <to>
                    <xdr:col>5</xdr:col>
                    <xdr:colOff>57150</xdr:colOff>
                    <xdr:row>44</xdr:row>
                    <xdr:rowOff>266700</xdr:rowOff>
                  </to>
                </anchor>
              </controlPr>
            </control>
          </mc:Choice>
        </mc:AlternateContent>
        <mc:AlternateContent xmlns:mc="http://schemas.openxmlformats.org/markup-compatibility/2006">
          <mc:Choice Requires="x14">
            <control shapeId="1113" r:id="rId30" name="List Box 89">
              <controlPr defaultSize="0" autoLine="0" autoPict="0">
                <anchor moveWithCells="1" sizeWithCells="1">
                  <from>
                    <xdr:col>3</xdr:col>
                    <xdr:colOff>228600</xdr:colOff>
                    <xdr:row>45</xdr:row>
                    <xdr:rowOff>19050</xdr:rowOff>
                  </from>
                  <to>
                    <xdr:col>5</xdr:col>
                    <xdr:colOff>57150</xdr:colOff>
                    <xdr:row>46</xdr:row>
                    <xdr:rowOff>266700</xdr:rowOff>
                  </to>
                </anchor>
              </controlPr>
            </control>
          </mc:Choice>
        </mc:AlternateContent>
        <mc:AlternateContent xmlns:mc="http://schemas.openxmlformats.org/markup-compatibility/2006">
          <mc:Choice Requires="x14">
            <control shapeId="1115" r:id="rId31" name="List Box 91">
              <controlPr defaultSize="0" autoLine="0" autoPict="0">
                <anchor moveWithCells="1" sizeWithCells="1">
                  <from>
                    <xdr:col>3</xdr:col>
                    <xdr:colOff>219075</xdr:colOff>
                    <xdr:row>47</xdr:row>
                    <xdr:rowOff>19050</xdr:rowOff>
                  </from>
                  <to>
                    <xdr:col>5</xdr:col>
                    <xdr:colOff>47625</xdr:colOff>
                    <xdr:row>48</xdr:row>
                    <xdr:rowOff>276225</xdr:rowOff>
                  </to>
                </anchor>
              </controlPr>
            </control>
          </mc:Choice>
        </mc:AlternateContent>
        <mc:AlternateContent xmlns:mc="http://schemas.openxmlformats.org/markup-compatibility/2006">
          <mc:Choice Requires="x14">
            <control shapeId="1117" r:id="rId32" name="List Box 93">
              <controlPr defaultSize="0" autoLine="0" autoPict="0">
                <anchor moveWithCells="1" sizeWithCells="1">
                  <from>
                    <xdr:col>3</xdr:col>
                    <xdr:colOff>228600</xdr:colOff>
                    <xdr:row>49</xdr:row>
                    <xdr:rowOff>9525</xdr:rowOff>
                  </from>
                  <to>
                    <xdr:col>5</xdr:col>
                    <xdr:colOff>57150</xdr:colOff>
                    <xdr:row>50</xdr:row>
                    <xdr:rowOff>228600</xdr:rowOff>
                  </to>
                </anchor>
              </controlPr>
            </control>
          </mc:Choice>
        </mc:AlternateContent>
        <mc:AlternateContent xmlns:mc="http://schemas.openxmlformats.org/markup-compatibility/2006">
          <mc:Choice Requires="x14">
            <control shapeId="1118" r:id="rId33" name="List Box 94">
              <controlPr defaultSize="0" autoLine="0" autoPict="0">
                <anchor moveWithCells="1" sizeWithCells="1">
                  <from>
                    <xdr:col>3</xdr:col>
                    <xdr:colOff>219075</xdr:colOff>
                    <xdr:row>51</xdr:row>
                    <xdr:rowOff>9525</xdr:rowOff>
                  </from>
                  <to>
                    <xdr:col>5</xdr:col>
                    <xdr:colOff>47625</xdr:colOff>
                    <xdr:row>53</xdr:row>
                    <xdr:rowOff>66675</xdr:rowOff>
                  </to>
                </anchor>
              </controlPr>
            </control>
          </mc:Choice>
        </mc:AlternateContent>
        <mc:AlternateContent xmlns:mc="http://schemas.openxmlformats.org/markup-compatibility/2006">
          <mc:Choice Requires="x14">
            <control shapeId="1121" r:id="rId34" name="List Box 97">
              <controlPr defaultSize="0" autoLine="0" autoPict="0">
                <anchor moveWithCells="1" sizeWithCells="1">
                  <from>
                    <xdr:col>1</xdr:col>
                    <xdr:colOff>228600</xdr:colOff>
                    <xdr:row>17</xdr:row>
                    <xdr:rowOff>9525</xdr:rowOff>
                  </from>
                  <to>
                    <xdr:col>3</xdr:col>
                    <xdr:colOff>19050</xdr:colOff>
                    <xdr:row>18</xdr:row>
                    <xdr:rowOff>123825</xdr:rowOff>
                  </to>
                </anchor>
              </controlPr>
            </control>
          </mc:Choice>
        </mc:AlternateContent>
        <mc:AlternateContent xmlns:mc="http://schemas.openxmlformats.org/markup-compatibility/2006">
          <mc:Choice Requires="x14">
            <control shapeId="1122" r:id="rId35" name="List Box 98">
              <controlPr defaultSize="0" autoLine="0" autoPict="0">
                <anchor moveWithCells="1" sizeWithCells="1">
                  <from>
                    <xdr:col>1</xdr:col>
                    <xdr:colOff>238125</xdr:colOff>
                    <xdr:row>19</xdr:row>
                    <xdr:rowOff>28575</xdr:rowOff>
                  </from>
                  <to>
                    <xdr:col>3</xdr:col>
                    <xdr:colOff>28575</xdr:colOff>
                    <xdr:row>20</xdr:row>
                    <xdr:rowOff>142875</xdr:rowOff>
                  </to>
                </anchor>
              </controlPr>
            </control>
          </mc:Choice>
        </mc:AlternateContent>
        <mc:AlternateContent xmlns:mc="http://schemas.openxmlformats.org/markup-compatibility/2006">
          <mc:Choice Requires="x14">
            <control shapeId="1123" r:id="rId36" name="List Box 99">
              <controlPr defaultSize="0" autoLine="0" autoPict="0">
                <anchor moveWithCells="1" sizeWithCells="1">
                  <from>
                    <xdr:col>1</xdr:col>
                    <xdr:colOff>228600</xdr:colOff>
                    <xdr:row>92</xdr:row>
                    <xdr:rowOff>0</xdr:rowOff>
                  </from>
                  <to>
                    <xdr:col>3</xdr:col>
                    <xdr:colOff>28575</xdr:colOff>
                    <xdr:row>93</xdr:row>
                    <xdr:rowOff>104775</xdr:rowOff>
                  </to>
                </anchor>
              </controlPr>
            </control>
          </mc:Choice>
        </mc:AlternateContent>
        <mc:AlternateContent xmlns:mc="http://schemas.openxmlformats.org/markup-compatibility/2006">
          <mc:Choice Requires="x14">
            <control shapeId="1124" r:id="rId37" name="List Box 100">
              <controlPr defaultSize="0" autoLine="0" autoPict="0">
                <anchor moveWithCells="1" sizeWithCells="1">
                  <from>
                    <xdr:col>1</xdr:col>
                    <xdr:colOff>228600</xdr:colOff>
                    <xdr:row>94</xdr:row>
                    <xdr:rowOff>38100</xdr:rowOff>
                  </from>
                  <to>
                    <xdr:col>3</xdr:col>
                    <xdr:colOff>28575</xdr:colOff>
                    <xdr:row>94</xdr:row>
                    <xdr:rowOff>361950</xdr:rowOff>
                  </to>
                </anchor>
              </controlPr>
            </control>
          </mc:Choice>
        </mc:AlternateContent>
        <mc:AlternateContent xmlns:mc="http://schemas.openxmlformats.org/markup-compatibility/2006">
          <mc:Choice Requires="x14">
            <control shapeId="1125" r:id="rId38" name="List Box 101">
              <controlPr defaultSize="0" autoLine="0" autoPict="0">
                <anchor moveWithCells="1" sizeWithCells="1">
                  <from>
                    <xdr:col>1</xdr:col>
                    <xdr:colOff>228600</xdr:colOff>
                    <xdr:row>90</xdr:row>
                    <xdr:rowOff>19050</xdr:rowOff>
                  </from>
                  <to>
                    <xdr:col>3</xdr:col>
                    <xdr:colOff>28575</xdr:colOff>
                    <xdr:row>91</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53" yWindow="563" count="2">
        <x14:dataValidation type="list" allowBlank="1" showInputMessage="1" showErrorMessage="1" xr:uid="{9D8CB52F-05DB-4906-A888-9F3310151220}">
          <x14:formula1>
            <xm:f>Hulpblad!$B$75:$B$85</xm:f>
          </x14:formula1>
          <xm:sqref>C61:C68</xm:sqref>
        </x14:dataValidation>
        <x14:dataValidation type="decimal" allowBlank="1" showInputMessage="1" showErrorMessage="1" errorTitle="Onjuiste invoerwaarde" error="Het ingevulde vermogen ligt niet tussen vermogensgrenzen van de gekozen categorie." promptTitle="Vermogen" xr:uid="{B755E0A8-59C5-4096-A79D-8CA02B8F994E}">
          <x14:formula1>
            <xm:f>Hulpblad!C96</xm:f>
          </x14:formula1>
          <x14:formula2>
            <xm:f>Hulpblad!C97</xm:f>
          </x14:formula2>
          <xm:sqref>C72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0C93C-DE4A-4407-AD38-FD14A8F368A5}">
  <dimension ref="A1:M182"/>
  <sheetViews>
    <sheetView topLeftCell="A16" zoomScale="80" zoomScaleNormal="80" workbookViewId="0">
      <selection activeCell="F22" sqref="F22"/>
    </sheetView>
  </sheetViews>
  <sheetFormatPr defaultRowHeight="15"/>
  <cols>
    <col min="2" max="2" width="69.140625" customWidth="1"/>
    <col min="3" max="3" width="67.7109375" customWidth="1"/>
    <col min="4" max="4" width="58.42578125" customWidth="1"/>
    <col min="5" max="5" width="51.140625" bestFit="1" customWidth="1"/>
    <col min="6" max="6" width="38.42578125" customWidth="1"/>
    <col min="7" max="7" width="32.85546875" customWidth="1"/>
    <col min="8" max="8" width="44.28515625" customWidth="1"/>
    <col min="9" max="9" width="33.42578125" customWidth="1"/>
    <col min="10" max="10" width="30.7109375" customWidth="1"/>
    <col min="11" max="11" width="29.28515625" customWidth="1"/>
    <col min="12" max="12" width="30" customWidth="1"/>
    <col min="13" max="13" width="26.140625" customWidth="1"/>
  </cols>
  <sheetData>
    <row r="1" spans="1:11" ht="18.75">
      <c r="A1" s="17" t="s">
        <v>112</v>
      </c>
    </row>
    <row r="2" spans="1:11">
      <c r="K2" s="92" t="s">
        <v>142</v>
      </c>
    </row>
    <row r="3" spans="1:11">
      <c r="B3" s="1" t="s">
        <v>151</v>
      </c>
      <c r="E3" s="1" t="s">
        <v>129</v>
      </c>
      <c r="K3" s="92"/>
    </row>
    <row r="4" spans="1:11">
      <c r="A4">
        <v>1</v>
      </c>
      <c r="B4" t="s">
        <v>153</v>
      </c>
      <c r="D4">
        <v>1</v>
      </c>
      <c r="E4" t="str">
        <f>IF(C6="Ja","Vóór 1 januari 2022","Niet van toepassing")</f>
        <v>Niet van toepassing</v>
      </c>
      <c r="K4" s="92"/>
    </row>
    <row r="5" spans="1:11">
      <c r="A5">
        <v>2</v>
      </c>
      <c r="B5" t="s">
        <v>152</v>
      </c>
      <c r="D5">
        <v>2</v>
      </c>
      <c r="E5" t="str">
        <f>IF(C6="Ja","Op of ná 1 januari 2022","")</f>
        <v/>
      </c>
      <c r="K5" s="92"/>
    </row>
    <row r="6" spans="1:11">
      <c r="B6" s="15">
        <v>1</v>
      </c>
      <c r="C6" s="15" t="str">
        <f>VLOOKUP(B6,A4:B5,2,FALSE)</f>
        <v>Nee</v>
      </c>
      <c r="E6" s="15">
        <v>1</v>
      </c>
      <c r="F6" s="15" t="str">
        <f>VLOOKUP(E6,D4:E5,2,FALSE)</f>
        <v>Niet van toepassing</v>
      </c>
      <c r="K6" s="92"/>
    </row>
    <row r="7" spans="1:11">
      <c r="K7" s="92"/>
    </row>
    <row r="8" spans="1:11" ht="18.75" customHeight="1">
      <c r="B8" s="18" t="s">
        <v>3</v>
      </c>
      <c r="C8" s="3"/>
      <c r="D8" s="3"/>
      <c r="E8" s="3"/>
      <c r="F8" s="3"/>
      <c r="K8" s="92"/>
    </row>
    <row r="9" spans="1:11">
      <c r="B9" s="12"/>
      <c r="C9" s="3"/>
      <c r="D9" s="3"/>
      <c r="E9" s="3"/>
      <c r="F9" s="3"/>
      <c r="K9" s="92"/>
    </row>
    <row r="10" spans="1:11">
      <c r="B10" s="12" t="s">
        <v>117</v>
      </c>
      <c r="E10" s="1" t="s">
        <v>129</v>
      </c>
      <c r="G10" s="1" t="s">
        <v>125</v>
      </c>
      <c r="H10" s="1" t="s">
        <v>126</v>
      </c>
      <c r="I10" s="12" t="s">
        <v>141</v>
      </c>
      <c r="J10" s="12" t="s">
        <v>140</v>
      </c>
      <c r="K10" s="92"/>
    </row>
    <row r="11" spans="1:11">
      <c r="A11">
        <v>1</v>
      </c>
      <c r="B11" t="s">
        <v>90</v>
      </c>
      <c r="D11">
        <v>1</v>
      </c>
      <c r="E11" t="str">
        <f>IF(C14="Geen dakisolatie","Niet van toepassing","1 januari -1 april 2022")</f>
        <v>Niet van toepassing</v>
      </c>
      <c r="G11" s="4"/>
      <c r="H11" s="4"/>
      <c r="I11" s="4">
        <v>0</v>
      </c>
      <c r="J11" s="3">
        <f>IF(AND($C$72=1,$E$13=1),0,
IF(AND($C$72=1,$E$13=2),1,
IF($C$72&gt;1,2,0)))</f>
        <v>0</v>
      </c>
      <c r="K11" s="3">
        <f>I11*J11</f>
        <v>0</v>
      </c>
    </row>
    <row r="12" spans="1:11">
      <c r="A12">
        <v>2</v>
      </c>
      <c r="B12" s="4" t="str">
        <f>C125</f>
        <v>Dakisolatie, Rd ≥ 3,5 m2 K/W</v>
      </c>
      <c r="D12">
        <v>2</v>
      </c>
      <c r="E12" t="str">
        <f>IF(C14="Geen dakisolatie","","Op of ná 2 april 2022")</f>
        <v/>
      </c>
      <c r="G12" s="4">
        <v>20</v>
      </c>
      <c r="H12" s="4">
        <v>200</v>
      </c>
      <c r="I12" s="4">
        <v>15</v>
      </c>
      <c r="J12" s="3">
        <f>IF(AND($C$72=1,$E$13=1),0,
IF(AND($C$72=1,$E$13=2),1,
IF($C$72&gt;1,2,0)))</f>
        <v>0</v>
      </c>
      <c r="K12" s="3">
        <f t="shared" ref="K12:K26" si="0">I12*J12</f>
        <v>0</v>
      </c>
    </row>
    <row r="13" spans="1:11">
      <c r="A13">
        <v>3</v>
      </c>
      <c r="B13" t="str">
        <f>C126</f>
        <v>Zolder-of vlieringisolatie, Rd ≥ 3,5 m2 K/W</v>
      </c>
      <c r="E13" s="15">
        <v>1</v>
      </c>
      <c r="F13" s="15" t="str">
        <f>VLOOKUP(E13,D11:E12,2,FALSE)</f>
        <v>Niet van toepassing</v>
      </c>
      <c r="G13" s="4">
        <v>20</v>
      </c>
      <c r="H13" s="4">
        <v>130</v>
      </c>
      <c r="I13" s="4">
        <v>4</v>
      </c>
      <c r="J13" s="3">
        <f>IF(AND($C$72=1,$E$13=1),0,
IF(AND($C$72=1,$E$13=2),1,
IF($C$72&gt;1,2,0)))</f>
        <v>0</v>
      </c>
      <c r="K13" s="3">
        <f t="shared" si="0"/>
        <v>0</v>
      </c>
    </row>
    <row r="14" spans="1:11">
      <c r="B14" s="15">
        <v>1</v>
      </c>
      <c r="C14" s="15" t="str">
        <f>VLOOKUP(B14,A11:B13,2,FALSE)</f>
        <v>Geen dakisolatie</v>
      </c>
      <c r="G14" s="3">
        <v>20</v>
      </c>
      <c r="H14" s="15">
        <f>IF(C14="Dakisolatie, Rd ≥ 3,5 m2 K/W",200,130)</f>
        <v>130</v>
      </c>
      <c r="I14" s="4"/>
      <c r="J14" s="3"/>
      <c r="K14" s="3"/>
    </row>
    <row r="15" spans="1:11">
      <c r="B15" s="12" t="s">
        <v>118</v>
      </c>
      <c r="E15" s="1" t="s">
        <v>129</v>
      </c>
      <c r="G15" s="4"/>
      <c r="H15" s="4"/>
      <c r="I15" s="4"/>
      <c r="J15" s="3"/>
      <c r="K15" s="3"/>
    </row>
    <row r="16" spans="1:11">
      <c r="A16">
        <v>1</v>
      </c>
      <c r="B16" s="4" t="s">
        <v>91</v>
      </c>
      <c r="C16" s="4"/>
      <c r="D16">
        <v>1</v>
      </c>
      <c r="E16" t="str">
        <f>IF(C18="Geen gevelisolatie","Niet van toepassing","1 januari -1 april 2022")</f>
        <v>Niet van toepassing</v>
      </c>
      <c r="G16" s="4"/>
      <c r="H16" s="4"/>
      <c r="I16" s="4">
        <v>0</v>
      </c>
      <c r="J16" s="3">
        <f>IF(AND($C$72=1,$E$18=1),0,
IF(AND($C$72=1,$E$18=2),1,
IF($C$72&gt;1,2,0)))</f>
        <v>0</v>
      </c>
      <c r="K16" s="3">
        <f t="shared" si="0"/>
        <v>0</v>
      </c>
    </row>
    <row r="17" spans="1:13">
      <c r="A17">
        <v>2</v>
      </c>
      <c r="B17" s="4" t="str">
        <f>C127</f>
        <v>Binnen-of buitengevelisolatie, Rd ≥ 3,5m2 K/W</v>
      </c>
      <c r="C17" s="4"/>
      <c r="D17">
        <v>2</v>
      </c>
      <c r="E17" t="str">
        <f>IF(C18="Geen gevelisolatie","","Op of ná 2 april 2022")</f>
        <v/>
      </c>
      <c r="G17" s="4">
        <v>10</v>
      </c>
      <c r="H17" s="4">
        <v>170</v>
      </c>
      <c r="I17" s="4">
        <v>19</v>
      </c>
      <c r="J17" s="3">
        <f>IF(AND($C$72=1,$E$18=1),0,
IF(AND($C$72=1,$E$18=2),1,
IF($C$72&gt;1,2,0)))</f>
        <v>0</v>
      </c>
      <c r="K17" s="3">
        <f t="shared" si="0"/>
        <v>0</v>
      </c>
    </row>
    <row r="18" spans="1:13">
      <c r="B18" s="15">
        <v>1</v>
      </c>
      <c r="C18" s="15" t="str">
        <f>VLOOKUP(B18,A16:B17,2,FALSE)</f>
        <v>Geen gevelisolatie</v>
      </c>
      <c r="E18" s="15">
        <v>1</v>
      </c>
      <c r="F18" s="15" t="str">
        <f>VLOOKUP(E18,D16:E17,2,FALSE)</f>
        <v>Niet van toepassing</v>
      </c>
      <c r="G18" s="4"/>
      <c r="H18" s="4"/>
      <c r="I18" s="4"/>
      <c r="J18" s="3"/>
      <c r="K18" s="3"/>
    </row>
    <row r="19" spans="1:13">
      <c r="B19" s="12" t="s">
        <v>119</v>
      </c>
      <c r="E19" s="1" t="s">
        <v>129</v>
      </c>
      <c r="G19" s="4"/>
      <c r="H19" s="4"/>
      <c r="I19" s="4"/>
      <c r="J19" s="3"/>
      <c r="K19" s="3"/>
    </row>
    <row r="20" spans="1:13">
      <c r="A20">
        <v>1</v>
      </c>
      <c r="B20" s="4" t="s">
        <v>92</v>
      </c>
      <c r="C20" s="4"/>
      <c r="D20">
        <v>1</v>
      </c>
      <c r="E20" t="str">
        <f>IF(C22="Geen spouwmuurisolatie","Niet van toepassing","1 januari -1 april 2022")</f>
        <v>Niet van toepassing</v>
      </c>
      <c r="G20" s="4"/>
      <c r="H20" s="4"/>
      <c r="I20" s="4">
        <v>0</v>
      </c>
      <c r="J20" s="3">
        <f>IF(AND($C$72=1,$E$22=1),0,
IF(AND($C$72=1,$E$22=2),1,
IF($C$72&gt;1,2,0)))</f>
        <v>0</v>
      </c>
      <c r="K20" s="3">
        <f t="shared" si="0"/>
        <v>0</v>
      </c>
    </row>
    <row r="21" spans="1:13">
      <c r="A21">
        <v>2</v>
      </c>
      <c r="B21" s="4" t="str">
        <f>C128</f>
        <v>Spouwmuurisolatie, Rd ≥ 1,1 m2 K/W</v>
      </c>
      <c r="C21" s="4"/>
      <c r="D21">
        <v>2</v>
      </c>
      <c r="E21" t="str">
        <f>IF(C22="Geen spouwmuurisolatie","","Op of ná 2 april 2022")</f>
        <v/>
      </c>
      <c r="G21" s="4">
        <v>10</v>
      </c>
      <c r="H21" s="4">
        <v>170</v>
      </c>
      <c r="I21" s="4">
        <v>4</v>
      </c>
      <c r="J21" s="3">
        <f>IF(AND($C$72=1,$E$22=1),0,
IF(AND($C$72=1,$E$22=2),1,
IF($C$72&gt;1,2,0)))</f>
        <v>0</v>
      </c>
      <c r="K21" s="3">
        <f t="shared" si="0"/>
        <v>0</v>
      </c>
    </row>
    <row r="22" spans="1:13">
      <c r="B22" s="15">
        <v>1</v>
      </c>
      <c r="C22" s="15" t="str">
        <f>VLOOKUP(B22,A20:B21,2,FALSE)</f>
        <v>Geen spouwmuurisolatie</v>
      </c>
      <c r="E22" s="15">
        <v>1</v>
      </c>
      <c r="F22" s="15" t="str">
        <f>VLOOKUP(E22,D20:E21,2,FALSE)</f>
        <v>Niet van toepassing</v>
      </c>
      <c r="G22" s="4"/>
      <c r="H22" s="4"/>
      <c r="I22" s="4"/>
      <c r="J22" s="3"/>
      <c r="K22" s="3"/>
    </row>
    <row r="23" spans="1:13">
      <c r="B23" s="12" t="s">
        <v>120</v>
      </c>
      <c r="E23" s="1" t="s">
        <v>129</v>
      </c>
      <c r="G23" s="4"/>
      <c r="H23" s="4"/>
      <c r="I23" s="4"/>
      <c r="J23" s="3"/>
      <c r="K23" s="3"/>
    </row>
    <row r="24" spans="1:13">
      <c r="A24">
        <v>1</v>
      </c>
      <c r="B24" s="4" t="s">
        <v>93</v>
      </c>
      <c r="C24" s="4"/>
      <c r="D24">
        <v>1</v>
      </c>
      <c r="E24" t="str">
        <f>IF(C27="Geen vloerisolatie","Niet van toepassing","1 januari -1 april 2022")</f>
        <v>Niet van toepassing</v>
      </c>
      <c r="G24" s="4"/>
      <c r="H24" s="4"/>
      <c r="I24" s="4">
        <v>0</v>
      </c>
      <c r="J24" s="3">
        <f>IF(AND($C$72=1,$E$26=1),0,
IF(AND($C$72=1,$E$26=2),1,
IF($C$72&gt;1,2,0)))</f>
        <v>0</v>
      </c>
      <c r="K24" s="3">
        <f t="shared" si="0"/>
        <v>0</v>
      </c>
    </row>
    <row r="25" spans="1:13">
      <c r="A25">
        <v>2</v>
      </c>
      <c r="B25" s="4" t="str">
        <f>C129</f>
        <v>Vloerisolatie, Rd ≥ 3,5m2 K/W</v>
      </c>
      <c r="C25" s="4"/>
      <c r="D25">
        <v>2</v>
      </c>
      <c r="E25" t="str">
        <f>IF(C27="Geen vloerisolatie","","Op of ná 2 april 2022")</f>
        <v/>
      </c>
      <c r="G25" s="4">
        <v>20</v>
      </c>
      <c r="H25" s="4">
        <v>130</v>
      </c>
      <c r="I25" s="4">
        <v>5.5</v>
      </c>
      <c r="J25" s="3">
        <f>IF(AND($C$72=1,$E$26=1),0,
IF(AND($C$72=1,$E$26=2),1,
IF($C$72&gt;1,2,0)))</f>
        <v>0</v>
      </c>
      <c r="K25" s="3">
        <f t="shared" si="0"/>
        <v>0</v>
      </c>
    </row>
    <row r="26" spans="1:13">
      <c r="A26">
        <v>3</v>
      </c>
      <c r="B26" s="4" t="str">
        <f>C130</f>
        <v>Bodemisolatie, Rd ≥ 3,5m2 K/W</v>
      </c>
      <c r="C26" s="4"/>
      <c r="E26" s="15">
        <v>1</v>
      </c>
      <c r="F26" s="15" t="str">
        <f>VLOOKUP(E26,D24:E25,2,FALSE)</f>
        <v>Niet van toepassing</v>
      </c>
      <c r="G26" s="4">
        <v>20</v>
      </c>
      <c r="H26" s="4">
        <v>130</v>
      </c>
      <c r="I26" s="4">
        <v>3</v>
      </c>
      <c r="J26" s="3">
        <f>IF(AND($C$72=1,$E$26=1),0,
IF(AND($C$72=1,$E$26=2),1,
IF($C$72&gt;1,2,0)))</f>
        <v>0</v>
      </c>
      <c r="K26" s="3">
        <f t="shared" si="0"/>
        <v>0</v>
      </c>
    </row>
    <row r="27" spans="1:13">
      <c r="B27" s="15">
        <v>1</v>
      </c>
      <c r="C27" s="15" t="str">
        <f>VLOOKUP(B27,A24:B26,2,FALSE)</f>
        <v>Geen vloerisolatie</v>
      </c>
      <c r="D27" s="3"/>
      <c r="E27" s="3"/>
      <c r="F27" s="3"/>
    </row>
    <row r="28" spans="1:13">
      <c r="B28" s="4"/>
      <c r="C28" s="4"/>
      <c r="D28" s="3"/>
      <c r="E28" s="3"/>
      <c r="F28" s="3"/>
    </row>
    <row r="29" spans="1:13">
      <c r="B29" s="12" t="s">
        <v>7</v>
      </c>
      <c r="C29" s="4"/>
      <c r="F29" s="3"/>
    </row>
    <row r="30" spans="1:13" ht="15" customHeight="1">
      <c r="A30">
        <v>1</v>
      </c>
      <c r="B30" s="4" t="s">
        <v>94</v>
      </c>
      <c r="C30" s="4"/>
      <c r="E30" s="4"/>
      <c r="F30" s="4"/>
      <c r="G30" s="3"/>
      <c r="M30" s="93" t="s">
        <v>142</v>
      </c>
    </row>
    <row r="31" spans="1:13">
      <c r="A31">
        <v>2</v>
      </c>
      <c r="B31" s="4" t="s">
        <v>130</v>
      </c>
      <c r="C31" s="4"/>
      <c r="E31" s="4"/>
      <c r="F31" s="4"/>
      <c r="G31" s="3"/>
      <c r="M31" s="94"/>
    </row>
    <row r="32" spans="1:13">
      <c r="B32" s="15">
        <v>1</v>
      </c>
      <c r="C32" s="15" t="str">
        <f>VLOOKUP(B32,A30:B31,2,FALSE)</f>
        <v>Geen glasisolatie</v>
      </c>
      <c r="E32" s="4"/>
      <c r="F32" s="4"/>
      <c r="G32" s="3"/>
      <c r="M32" s="94"/>
    </row>
    <row r="33" spans="1:13">
      <c r="B33" s="15"/>
      <c r="C33" s="15"/>
      <c r="E33" s="4"/>
      <c r="F33" s="4"/>
      <c r="G33" s="3"/>
      <c r="M33" s="94"/>
    </row>
    <row r="34" spans="1:13" ht="15" customHeight="1">
      <c r="B34" s="12" t="s">
        <v>131</v>
      </c>
      <c r="C34" s="12" t="s">
        <v>147</v>
      </c>
      <c r="E34" s="4"/>
      <c r="F34" s="1" t="s">
        <v>129</v>
      </c>
      <c r="G34" s="12" t="s">
        <v>133</v>
      </c>
      <c r="I34" s="12" t="s">
        <v>135</v>
      </c>
      <c r="J34" s="12" t="s">
        <v>136</v>
      </c>
      <c r="K34" s="15" t="s">
        <v>143</v>
      </c>
      <c r="L34" s="15" t="s">
        <v>140</v>
      </c>
      <c r="M34" s="16"/>
    </row>
    <row r="35" spans="1:13">
      <c r="A35">
        <v>1</v>
      </c>
      <c r="B35" t="str">
        <f>IF(C32="Geen glasisolatie","Niet van toepassing","Kiest u voor HR++ glas, U ≤ 1,2 W/m2K?")</f>
        <v>Niet van toepassing</v>
      </c>
      <c r="C35" s="15">
        <v>1</v>
      </c>
      <c r="D35" s="15" t="str">
        <f>VLOOKUP(C35,$A$55:$B$56,2,FALSE)</f>
        <v>Niet van toepassing</v>
      </c>
      <c r="E35" s="4">
        <v>1</v>
      </c>
      <c r="F35" s="15" t="str">
        <f>IF(OR(C35=1,B32=1),"Niet van toepassing","1 januari -1 april 2022")</f>
        <v>Niet van toepassing</v>
      </c>
      <c r="G35" s="15">
        <v>1</v>
      </c>
      <c r="H35" s="15" t="str">
        <f>VLOOKUP(G35,E35:F37,2,FALSE)</f>
        <v>Niet van toepassing</v>
      </c>
      <c r="I35" s="4">
        <v>26.5</v>
      </c>
      <c r="J35" s="19">
        <v>23</v>
      </c>
      <c r="K35" s="3">
        <f>IF(H35="Op of ná 1 januari 2023",J35,
IF(OR(H35="1 januari -1 april 2022",H35="2 april - 31 december 2022"),I35,0))</f>
        <v>0</v>
      </c>
      <c r="L35" s="15">
        <f>IF(AND($C$72=1,G35=1),0,
IF(AND($C$72=1,G35&gt;=2),1,
IF($C$72&gt;1,2,0)))</f>
        <v>0</v>
      </c>
      <c r="M35" s="15">
        <f>K35*L35</f>
        <v>0</v>
      </c>
    </row>
    <row r="36" spans="1:13">
      <c r="C36" s="4"/>
      <c r="D36" s="15"/>
      <c r="E36" s="4">
        <v>2</v>
      </c>
      <c r="F36" s="15" t="str">
        <f>IF(OR(C35=1,B32=1),"","2 april - 31 december 2022")</f>
        <v/>
      </c>
      <c r="G36" s="3"/>
      <c r="H36" s="15"/>
      <c r="K36" s="3"/>
      <c r="L36" s="15"/>
      <c r="M36" s="15"/>
    </row>
    <row r="37" spans="1:13">
      <c r="C37" s="4"/>
      <c r="D37" s="15"/>
      <c r="E37" s="4">
        <v>3</v>
      </c>
      <c r="F37" s="15" t="str">
        <f>IF(OR(C35=1,B32=1),"","Op of ná 1 januari 2023")</f>
        <v/>
      </c>
      <c r="G37" s="3"/>
      <c r="H37" s="15"/>
      <c r="K37" s="3"/>
      <c r="L37" s="15"/>
      <c r="M37" s="15"/>
    </row>
    <row r="38" spans="1:13">
      <c r="A38">
        <v>2</v>
      </c>
      <c r="B38" t="str">
        <f>IF(C32="Geen glasisolatie","Niet van toepassing","Kiest u voor Triple glas, U ≤ 0,7 W/m2K?")</f>
        <v>Niet van toepassing</v>
      </c>
      <c r="C38" s="15">
        <v>1</v>
      </c>
      <c r="D38" s="15" t="str">
        <f t="shared" ref="D38" si="1">VLOOKUP(C38,$A$55:$B$56,2,FALSE)</f>
        <v>Niet van toepassing</v>
      </c>
      <c r="E38" s="4">
        <v>1</v>
      </c>
      <c r="F38" s="15" t="str">
        <f>IF(OR(C38=1,B32=1),"Niet van toepassing","1 januari -1 april 2022")</f>
        <v>Niet van toepassing</v>
      </c>
      <c r="G38" s="3">
        <v>1</v>
      </c>
      <c r="H38" s="15" t="str">
        <f>VLOOKUP(G38,E38:F40,2,FALSE)</f>
        <v>Niet van toepassing</v>
      </c>
      <c r="I38" s="4">
        <v>75</v>
      </c>
      <c r="J38" s="19">
        <v>65.5</v>
      </c>
      <c r="K38" s="3">
        <f>IF(H38="Op of ná 1 januari 2023",J38,
IF(OR(H38="1 januari -1 april 2022",H38="2 april - 31 december 2022"),I38,0))</f>
        <v>0</v>
      </c>
      <c r="L38" s="15">
        <f>IF(AND($C$72=1,G38=1),0,
IF(AND($C$72=1,G38&gt;=2),1,
IF($C$72&gt;1,2,0)))</f>
        <v>0</v>
      </c>
      <c r="M38" s="15">
        <f t="shared" ref="M38:M50" si="2">K38*L38</f>
        <v>0</v>
      </c>
    </row>
    <row r="39" spans="1:13">
      <c r="C39" s="4"/>
      <c r="D39" s="15"/>
      <c r="E39" s="4">
        <v>2</v>
      </c>
      <c r="F39" s="15" t="str">
        <f>IF(OR(C38=1,B32=1),"","2 april - 31 december 2022")</f>
        <v/>
      </c>
      <c r="G39" s="3"/>
      <c r="H39" s="15"/>
      <c r="K39" s="3"/>
      <c r="L39" s="15"/>
      <c r="M39" s="15"/>
    </row>
    <row r="40" spans="1:13">
      <c r="C40" s="4"/>
      <c r="D40" s="15"/>
      <c r="E40" s="4">
        <v>3</v>
      </c>
      <c r="F40" s="15" t="str">
        <f>IF(OR(C38=1,B32=1),"","Op of ná 1 januari 2023")</f>
        <v/>
      </c>
      <c r="G40" s="3"/>
      <c r="H40" s="15"/>
      <c r="K40" s="3"/>
      <c r="L40" s="15"/>
      <c r="M40" s="15"/>
    </row>
    <row r="41" spans="1:13">
      <c r="A41">
        <v>3</v>
      </c>
      <c r="B41" t="str">
        <f>IF(OR(D35="Ja",D38="Ja"),"Kiest u ook voor Isolerende panelen in kozijnen, U ≤ 1,2 W/m2K?","Niet van toepassing")</f>
        <v>Niet van toepassing</v>
      </c>
      <c r="C41" s="15">
        <v>1</v>
      </c>
      <c r="D41" s="15" t="str">
        <f>VLOOKUP(C41,$A$59:$B$60,2,FALSE)</f>
        <v>Niet van toepassing</v>
      </c>
      <c r="E41" s="4">
        <v>1</v>
      </c>
      <c r="F41" s="15" t="str">
        <f>IF(AND(D41="Ja",OR(D35="Ja",D38="Ja")),"1 januari -1 april 2022","Niet van toepassing")</f>
        <v>Niet van toepassing</v>
      </c>
      <c r="G41" s="3">
        <v>1</v>
      </c>
      <c r="H41" s="15" t="str">
        <f>VLOOKUP(G41,E41:F43,2,FALSE)</f>
        <v>Niet van toepassing</v>
      </c>
      <c r="I41" s="4">
        <v>11.5</v>
      </c>
      <c r="J41" s="19">
        <v>10</v>
      </c>
      <c r="K41" s="3">
        <f>IF(H41="Op of ná 1 januari 2023",J41,
IF(OR(H41="1 januari -1 april 2022",H41="2 april - 31 december 2022"),I41,0))</f>
        <v>0</v>
      </c>
      <c r="L41" s="15">
        <f>IF(AND($C$72=1,G41=1),0,
IF(AND($C$72=1,G41&gt;=2),1,
IF($C$72&gt;1,2,0)))</f>
        <v>0</v>
      </c>
      <c r="M41" s="15">
        <f t="shared" si="2"/>
        <v>0</v>
      </c>
    </row>
    <row r="42" spans="1:13">
      <c r="C42" s="4"/>
      <c r="D42" s="15"/>
      <c r="E42" s="4">
        <v>2</v>
      </c>
      <c r="F42" s="15" t="str">
        <f>IF(AND(D41="Ja",OR(D35="Ja",D38="Ja")),"2 april - 31 december 2022","")</f>
        <v/>
      </c>
      <c r="G42" s="3"/>
      <c r="H42" s="15"/>
      <c r="K42" s="3"/>
      <c r="L42" s="15"/>
      <c r="M42" s="15"/>
    </row>
    <row r="43" spans="1:13">
      <c r="C43" s="4"/>
      <c r="D43" s="15"/>
      <c r="E43" s="4">
        <v>3</v>
      </c>
      <c r="F43" s="15" t="str">
        <f>IF(AND(D41="Ja",OR(D35="Ja",D38="Ja")),"Op of ná 1 januari 2023","")</f>
        <v/>
      </c>
      <c r="G43" s="3"/>
      <c r="H43" s="15"/>
      <c r="K43" s="3"/>
      <c r="L43" s="15"/>
      <c r="M43" s="15"/>
    </row>
    <row r="44" spans="1:13">
      <c r="A44">
        <v>4</v>
      </c>
      <c r="B44" t="str">
        <f>IF(OR(D35="Ja",D38="Ja"),"Kiest u ook voor Isolerende panelen in kozijnen, U ≤ 0,7 W/m2K?","Niet van toepassing")</f>
        <v>Niet van toepassing</v>
      </c>
      <c r="C44" s="15">
        <v>1</v>
      </c>
      <c r="D44" s="15" t="str">
        <f>VLOOKUP(C44,$A$59:$B$60,2,FALSE)</f>
        <v>Niet van toepassing</v>
      </c>
      <c r="E44" s="4">
        <v>1</v>
      </c>
      <c r="F44" s="15" t="str">
        <f>IF(AND(D44="Ja",OR(D35="Ja",D38="Ja")),"1 januari -1 april 2022","Niet van toepassing")</f>
        <v>Niet van toepassing</v>
      </c>
      <c r="G44" s="3">
        <v>1</v>
      </c>
      <c r="H44" s="15" t="str">
        <f>VLOOKUP(G44,E44:F46,2,FALSE)</f>
        <v>Niet van toepassing</v>
      </c>
      <c r="I44" s="4">
        <v>57.5</v>
      </c>
      <c r="J44" s="19">
        <v>45</v>
      </c>
      <c r="K44" s="3">
        <f>IF(H44="Op of ná 1 januari 2023",J44,
IF(OR(H44="1 januari -1 april 2022",H44="2 april - 31 december 2022"),I44,0))</f>
        <v>0</v>
      </c>
      <c r="L44" s="15">
        <f>IF(AND($C$72=1,G44=1),0,
IF(AND($C$72=1,G44&gt;=2),1,
IF($C$72&gt;1,2,0)))</f>
        <v>0</v>
      </c>
      <c r="M44" s="15">
        <f t="shared" si="2"/>
        <v>0</v>
      </c>
    </row>
    <row r="45" spans="1:13">
      <c r="C45" s="4"/>
      <c r="D45" s="15"/>
      <c r="E45" s="4">
        <v>2</v>
      </c>
      <c r="F45" s="15" t="str">
        <f>IF(AND(D44="Ja",OR(D35="Ja",D38="Ja")),"2 april - 31 december 2022","")</f>
        <v/>
      </c>
      <c r="G45" s="3"/>
      <c r="H45" s="15"/>
      <c r="K45" s="3"/>
      <c r="L45" s="15"/>
      <c r="M45" s="15"/>
    </row>
    <row r="46" spans="1:13">
      <c r="C46" s="4"/>
      <c r="D46" s="15"/>
      <c r="E46" s="4">
        <v>3</v>
      </c>
      <c r="F46" s="15" t="str">
        <f>IF(AND(D44="Ja",OR(D35="Ja",D38="Ja")),"Op of ná 1 januari 2023","")</f>
        <v/>
      </c>
      <c r="G46" s="3"/>
      <c r="H46" s="15"/>
      <c r="K46" s="3"/>
      <c r="L46" s="15"/>
      <c r="M46" s="15"/>
    </row>
    <row r="47" spans="1:13">
      <c r="A47">
        <v>5</v>
      </c>
      <c r="B47" t="str">
        <f>IF(OR(D35="Ja",D38="Ja"),"Kiest u ook voor Isolerende deuren, Ud ≤ 1,5 W/m2K?","Niet van toepassing")</f>
        <v>Niet van toepassing</v>
      </c>
      <c r="C47" s="15">
        <v>1</v>
      </c>
      <c r="D47" s="15" t="str">
        <f>VLOOKUP(C47,$A$59:$B$60,2,FALSE)</f>
        <v>Niet van toepassing</v>
      </c>
      <c r="E47" s="4">
        <v>1</v>
      </c>
      <c r="F47" s="15" t="str">
        <f>IF(AND(D47="Ja",OR(D35="Ja",D38="Ja")),"1 januari -1 april 2022","Niet van toepassing")</f>
        <v>Niet van toepassing</v>
      </c>
      <c r="G47" s="3">
        <v>1</v>
      </c>
      <c r="H47" s="15" t="str">
        <f>VLOOKUP(G47,E47:F49,2,FALSE)</f>
        <v>Niet van toepassing</v>
      </c>
      <c r="I47" s="4">
        <v>26.5</v>
      </c>
      <c r="J47" s="19">
        <v>23</v>
      </c>
      <c r="K47" s="3">
        <f>IF(H47="Op of ná 1 januari 2023",J47,
IF(OR(H47="1 januari -1 april 2022",H47="2 april - 31 december 2022"),I47,0))</f>
        <v>0</v>
      </c>
      <c r="L47" s="15">
        <f>IF(AND($C$72=1,G47=1),0,
IF(AND($C$72=1,G47&gt;=2),1,
IF($C$72&gt;1,2,0)))</f>
        <v>0</v>
      </c>
      <c r="M47" s="15">
        <f t="shared" si="2"/>
        <v>0</v>
      </c>
    </row>
    <row r="48" spans="1:13">
      <c r="C48" s="4"/>
      <c r="D48" s="15"/>
      <c r="E48" s="4">
        <v>2</v>
      </c>
      <c r="F48" s="15" t="str">
        <f>IF(AND(D47="Ja",OR(D35="Ja",D38="Ja")),"2 april - 31 december 2022","")</f>
        <v/>
      </c>
      <c r="G48" s="3"/>
      <c r="H48" s="15"/>
      <c r="K48" s="3"/>
      <c r="L48" s="15"/>
      <c r="M48" s="15"/>
    </row>
    <row r="49" spans="1:13">
      <c r="C49" s="4"/>
      <c r="D49" s="15"/>
      <c r="E49" s="4">
        <v>3</v>
      </c>
      <c r="F49" s="15" t="str">
        <f>IF(AND(D47="Ja",OR(D35="Ja",D38="Ja")),"Op of ná 1 januari 2023","")</f>
        <v/>
      </c>
      <c r="G49" s="3"/>
      <c r="H49" s="15"/>
      <c r="K49" s="3"/>
      <c r="L49" s="15"/>
      <c r="M49" s="15"/>
    </row>
    <row r="50" spans="1:13">
      <c r="A50">
        <v>6</v>
      </c>
      <c r="B50" t="str">
        <f>IF(OR(D35="Ja",D38="Ja"),"Kiest u ook voor Isolerende deuren, Ud ≤ 1,0 W/m2K?","Niet van toepassing")</f>
        <v>Niet van toepassing</v>
      </c>
      <c r="C50" s="15">
        <v>1</v>
      </c>
      <c r="D50" s="15" t="str">
        <f>VLOOKUP(C50,$A$59:$B$60,2,FALSE)</f>
        <v>Niet van toepassing</v>
      </c>
      <c r="E50" s="4">
        <v>1</v>
      </c>
      <c r="F50" s="15" t="str">
        <f>IF(AND(D50="Ja",OR(D35="Ja",D38="Ja")),"1 januari -1 april 2022","Niet van toepassing")</f>
        <v>Niet van toepassing</v>
      </c>
      <c r="G50" s="3">
        <v>1</v>
      </c>
      <c r="H50" s="15" t="str">
        <f>VLOOKUP(G50,E50:F52,2,FALSE)</f>
        <v>Niet van toepassing</v>
      </c>
      <c r="I50" s="4">
        <v>75</v>
      </c>
      <c r="J50" s="19">
        <v>65.5</v>
      </c>
      <c r="K50" s="3">
        <f>IF(H50="Op of ná 1 januari 2023",J50,
IF(OR(H50="1 januari -1 april 2022",H50="2 april - 31 december 2022"),I50,0))</f>
        <v>0</v>
      </c>
      <c r="L50" s="15">
        <f>IF(AND($C$72=1,G50=1),0,
IF(AND($C$72=1,G50&gt;=2),1,
IF($C$72&gt;1,2,0)))</f>
        <v>0</v>
      </c>
      <c r="M50" s="15">
        <f t="shared" si="2"/>
        <v>0</v>
      </c>
    </row>
    <row r="51" spans="1:13">
      <c r="E51" s="4">
        <v>2</v>
      </c>
      <c r="F51" s="15" t="str">
        <f>IF(AND(D50="Ja",OR(D35="Ja",D38="Ja")),"2 april - 31 december 2022","")</f>
        <v/>
      </c>
      <c r="G51" s="3"/>
    </row>
    <row r="52" spans="1:13">
      <c r="E52" s="4">
        <v>3</v>
      </c>
      <c r="F52" s="15" t="str">
        <f>IF(AND(D50="Ja",OR(D35="Ja",D38="Ja")),"Op of ná 1 januari 2023","")</f>
        <v/>
      </c>
      <c r="G52" s="3"/>
    </row>
    <row r="53" spans="1:13">
      <c r="C53" s="4"/>
      <c r="D53" s="4"/>
      <c r="E53" s="4"/>
      <c r="F53" s="3"/>
    </row>
    <row r="54" spans="1:13">
      <c r="B54" s="1" t="s">
        <v>145</v>
      </c>
      <c r="C54" s="4"/>
      <c r="D54" s="4"/>
      <c r="E54" s="4"/>
      <c r="F54" s="3"/>
    </row>
    <row r="55" spans="1:13">
      <c r="A55">
        <v>1</v>
      </c>
      <c r="B55" t="str">
        <f>IF(C32="Geen glasisolatie","Niet van toepassing","Nee")</f>
        <v>Niet van toepassing</v>
      </c>
      <c r="C55" s="4"/>
      <c r="D55" s="4"/>
      <c r="E55" s="4"/>
      <c r="F55" s="3"/>
    </row>
    <row r="56" spans="1:13">
      <c r="A56">
        <v>2</v>
      </c>
      <c r="B56" t="str">
        <f>IF(C32="Geen glasisolatie","","Ja")</f>
        <v/>
      </c>
      <c r="C56" s="4"/>
      <c r="D56" s="4"/>
      <c r="E56" s="4"/>
      <c r="F56" s="3"/>
    </row>
    <row r="57" spans="1:13">
      <c r="C57" s="4"/>
      <c r="D57" s="4"/>
      <c r="E57" s="4"/>
      <c r="F57" s="3"/>
    </row>
    <row r="58" spans="1:13">
      <c r="B58" s="1" t="s">
        <v>146</v>
      </c>
      <c r="C58" s="12"/>
      <c r="D58" s="4"/>
      <c r="E58" s="4"/>
      <c r="F58" s="3"/>
    </row>
    <row r="59" spans="1:13">
      <c r="A59">
        <v>1</v>
      </c>
      <c r="B59" t="str">
        <f>IF(OR(D35="Ja",D38="Ja"),"Nee","Niet van toepassing")</f>
        <v>Niet van toepassing</v>
      </c>
      <c r="C59" s="4"/>
      <c r="D59" s="4"/>
      <c r="E59" s="4"/>
      <c r="F59" s="3"/>
    </row>
    <row r="60" spans="1:13">
      <c r="A60">
        <v>2</v>
      </c>
      <c r="B60" t="str">
        <f>IF(OR(D35="Ja",D38="Ja"),"Ja","")</f>
        <v/>
      </c>
      <c r="C60" s="4"/>
      <c r="D60" s="4"/>
      <c r="E60" s="4"/>
      <c r="F60" s="3"/>
    </row>
    <row r="61" spans="1:13">
      <c r="C61" s="4"/>
      <c r="D61" s="4"/>
      <c r="E61" s="4"/>
      <c r="F61" s="3"/>
    </row>
    <row r="62" spans="1:13">
      <c r="B62" s="1" t="s">
        <v>144</v>
      </c>
      <c r="C62" s="4"/>
      <c r="D62" s="12" t="s">
        <v>179</v>
      </c>
      <c r="E62" s="4"/>
      <c r="F62" s="3"/>
    </row>
    <row r="63" spans="1:13">
      <c r="B63" s="1">
        <f>IF(F6="Op of ná 1 januari 2022",1,0)</f>
        <v>0</v>
      </c>
      <c r="C63" s="4"/>
      <c r="D63" s="4">
        <f>IF(OR(
AND(H35="1 januari -1 april 2022",'Keuzeblad maatregelen'!K42&gt;0),
AND(H35="2 april - 31 december 2022",'Keuzeblad maatregelen'!K42&gt;0),
AND(H35="Op of ná 1 januari 2023",'Keuzeblad maatregelen'!K42&gt;0)),
'Keuzeblad maatregelen'!K42,0)</f>
        <v>0</v>
      </c>
      <c r="E63" s="4"/>
      <c r="F63" s="3"/>
    </row>
    <row r="64" spans="1:13">
      <c r="B64" s="12">
        <f>IF(OR(AND(F13="1 januari -1 april 2022",'Keuzeblad maatregelen'!K29&gt;=Hulpblad!G14),AND(F13="Op of ná 2 april 2022",'Keuzeblad maatregelen'!K29&gt;=Hulpblad!G14)),1,0)</f>
        <v>0</v>
      </c>
      <c r="C64" s="4"/>
      <c r="D64" s="4">
        <f>IF(OR(
AND(H38="1 januari -1 april 2022",'Keuzeblad maatregelen'!K44&gt;0),
AND(H38="2 april - 31 december 2022",'Keuzeblad maatregelen'!K44&gt;0),
AND(H38="Op of ná 1 januari 2023",'Keuzeblad maatregelen'!K44&gt;0)),
'Keuzeblad maatregelen'!K44,0)</f>
        <v>0</v>
      </c>
      <c r="E64" s="4"/>
      <c r="F64" s="3"/>
    </row>
    <row r="65" spans="1:6">
      <c r="B65" s="12">
        <f>IF(OR(AND(F18="1 januari -1 april 2022",'Keuzeblad maatregelen'!K31&gt;=Hulpblad!G17),AND(F18="Op of ná 2 april 2022",'Keuzeblad maatregelen'!K31&gt;=Hulpblad!G17)),1,0)</f>
        <v>0</v>
      </c>
      <c r="C65" s="4"/>
      <c r="D65" s="4">
        <f>IF(OR(
AND(H41="1 januari -1 april 2022",'Keuzeblad maatregelen'!K46&gt;0),
AND(H41="2 april - 31 december 2022",'Keuzeblad maatregelen'!K46&gt;0),
AND(H41="Op of ná 1 januari 2023",'Keuzeblad maatregelen'!K46&gt;0)),
'Keuzeblad maatregelen'!K46,0)</f>
        <v>0</v>
      </c>
      <c r="E65" s="4"/>
      <c r="F65" s="3"/>
    </row>
    <row r="66" spans="1:6">
      <c r="B66" s="12">
        <f>IF(OR(AND(F22="1 januari -1 april 2022",'Keuzeblad maatregelen'!K33&gt;=Hulpblad!G21),AND(F22="Op of ná 2 april 2022",'Keuzeblad maatregelen'!K33&gt;=Hulpblad!G21)),1,0)</f>
        <v>0</v>
      </c>
      <c r="C66" s="4"/>
      <c r="D66" s="4">
        <f>IF(OR(
AND(H44="1 januari -1 april 2022",'Keuzeblad maatregelen'!K48&gt;0),
AND(H44="2 april - 31 december 2022",'Keuzeblad maatregelen'!K48&gt;0),
AND(H44="Op of ná 1 januari 2023",'Keuzeblad maatregelen'!K48&gt;0)),
'Keuzeblad maatregelen'!K48,0)</f>
        <v>0</v>
      </c>
      <c r="E66" s="4"/>
      <c r="F66" s="3"/>
    </row>
    <row r="67" spans="1:6">
      <c r="B67" s="12">
        <f>IF(OR(AND(F26="1 januari -1 april 2022",'Keuzeblad maatregelen'!K35&gt;=Hulpblad!G25),AND(F26="Op of ná 2 april 2022",'Keuzeblad maatregelen'!K35&gt;=Hulpblad!G25)),1,0)</f>
        <v>0</v>
      </c>
      <c r="C67" s="4"/>
      <c r="D67" s="4">
        <f>IF(OR(
AND(H47="1 januari -1 april 2022",'Keuzeblad maatregelen'!K50&gt;0),
AND(H47="2 april - 31 december 2022",'Keuzeblad maatregelen'!K50&gt;0),
AND(H47="Op of ná 1 januari 2023",'Keuzeblad maatregelen'!K50&gt;0)),
'Keuzeblad maatregelen'!K50,0)</f>
        <v>0</v>
      </c>
      <c r="E67" s="4"/>
      <c r="F67" s="3"/>
    </row>
    <row r="68" spans="1:6">
      <c r="B68" s="15">
        <f>IF(D69&gt;=8,1,0)</f>
        <v>0</v>
      </c>
      <c r="C68" s="4"/>
      <c r="D68" s="4">
        <f>IF(OR(
AND(H50="1 januari -1 april 2022",'Keuzeblad maatregelen'!K52&gt;0),
AND(H50="2 april - 31 december 2022",'Keuzeblad maatregelen'!K52&gt;0),
AND(H50="Op of ná 1 januari 2023",'Keuzeblad maatregelen'!K52&gt;0)),
'Keuzeblad maatregelen'!K52,0)</f>
        <v>0</v>
      </c>
      <c r="E68" s="4"/>
      <c r="F68" s="3"/>
    </row>
    <row r="69" spans="1:6">
      <c r="B69" s="1">
        <f>IF('Keuzeblad maatregelen'!O60&gt;0,1,0)</f>
        <v>0</v>
      </c>
      <c r="C69" s="4"/>
      <c r="D69" s="15">
        <f>SUM(D63:D68)</f>
        <v>0</v>
      </c>
      <c r="E69" s="4"/>
      <c r="F69" s="3"/>
    </row>
    <row r="70" spans="1:6">
      <c r="B70" s="1">
        <f>IF('Keuzeblad maatregelen'!O78&gt;0,1,0)</f>
        <v>0</v>
      </c>
      <c r="C70" s="4"/>
      <c r="D70" s="4"/>
      <c r="E70" s="4"/>
      <c r="F70" s="3"/>
    </row>
    <row r="71" spans="1:6">
      <c r="B71" s="1">
        <f>IF('Keuzeblad maatregelen'!O86&gt;0,1,0)</f>
        <v>0</v>
      </c>
    </row>
    <row r="72" spans="1:6">
      <c r="B72" s="1" t="s">
        <v>139</v>
      </c>
      <c r="C72" s="6">
        <f>SUM(B63:B71)</f>
        <v>0</v>
      </c>
    </row>
    <row r="73" spans="1:6">
      <c r="B73" s="1"/>
    </row>
    <row r="74" spans="1:6" ht="18.75">
      <c r="B74" s="18" t="s">
        <v>76</v>
      </c>
      <c r="C74" s="1" t="s">
        <v>103</v>
      </c>
      <c r="D74" s="1" t="s">
        <v>107</v>
      </c>
      <c r="E74" s="1" t="s">
        <v>108</v>
      </c>
    </row>
    <row r="75" spans="1:6">
      <c r="A75">
        <v>1</v>
      </c>
      <c r="B75" s="4" t="s">
        <v>77</v>
      </c>
      <c r="C75">
        <v>0</v>
      </c>
    </row>
    <row r="76" spans="1:6">
      <c r="A76">
        <v>2</v>
      </c>
      <c r="B76" t="str">
        <f>B141</f>
        <v>Lucht-water &lt; 1 kW</v>
      </c>
      <c r="C76">
        <v>0</v>
      </c>
    </row>
    <row r="77" spans="1:6">
      <c r="A77">
        <v>3</v>
      </c>
      <c r="B77" t="str">
        <f>B144</f>
        <v>Lucht-water ≥ 1 kW en &lt; 70 kW</v>
      </c>
      <c r="C77">
        <v>150</v>
      </c>
      <c r="D77">
        <v>1</v>
      </c>
      <c r="E77">
        <v>70</v>
      </c>
    </row>
    <row r="78" spans="1:6">
      <c r="A78">
        <v>4</v>
      </c>
      <c r="B78" t="str">
        <f>B147</f>
        <v>Lucht-water ≥ 70 kW en ≤ 400 kW</v>
      </c>
      <c r="C78">
        <v>150</v>
      </c>
      <c r="D78">
        <v>70</v>
      </c>
      <c r="E78">
        <v>400</v>
      </c>
    </row>
    <row r="79" spans="1:6">
      <c r="A79">
        <v>5</v>
      </c>
      <c r="B79" t="str">
        <f>B148</f>
        <v>Grond-water &lt; 1 kW</v>
      </c>
      <c r="C79">
        <v>0</v>
      </c>
    </row>
    <row r="80" spans="1:6">
      <c r="A80">
        <v>6</v>
      </c>
      <c r="B80" t="str">
        <f>B151</f>
        <v>Grond-water ≥ 1 kW en &lt; 10 kW</v>
      </c>
      <c r="C80">
        <v>0</v>
      </c>
    </row>
    <row r="81" spans="1:5">
      <c r="A81">
        <v>7</v>
      </c>
      <c r="B81" t="str">
        <f>B154</f>
        <v>Grond-water ≥ 10 kW en &lt; 70 kW</v>
      </c>
      <c r="C81">
        <v>150</v>
      </c>
      <c r="D81">
        <v>10</v>
      </c>
      <c r="E81">
        <v>70</v>
      </c>
    </row>
    <row r="82" spans="1:5">
      <c r="A82">
        <v>8</v>
      </c>
      <c r="B82" t="str">
        <f>B157</f>
        <v>Grond-water ≥ 70 kW en ≤ 400 kW</v>
      </c>
      <c r="C82">
        <v>150</v>
      </c>
      <c r="D82">
        <v>70</v>
      </c>
      <c r="E82">
        <v>400</v>
      </c>
    </row>
    <row r="83" spans="1:5">
      <c r="A83">
        <v>9</v>
      </c>
      <c r="B83" t="str">
        <f>+B158</f>
        <v>Water-water &lt; 1 kW</v>
      </c>
      <c r="C83">
        <v>0</v>
      </c>
    </row>
    <row r="84" spans="1:5">
      <c r="A84">
        <v>10</v>
      </c>
      <c r="B84" t="str">
        <f>B161</f>
        <v>Water-water ≥ 1 kW en &lt; 10 kW</v>
      </c>
      <c r="C84">
        <v>0</v>
      </c>
    </row>
    <row r="85" spans="1:5">
      <c r="A85">
        <v>11</v>
      </c>
      <c r="B85" t="str">
        <f>B164</f>
        <v>Water-water ≥ 10 kW en &lt; 70 kW</v>
      </c>
      <c r="C85">
        <v>150</v>
      </c>
      <c r="D85">
        <v>10</v>
      </c>
      <c r="E85">
        <v>70</v>
      </c>
    </row>
    <row r="86" spans="1:5">
      <c r="A86">
        <v>12</v>
      </c>
      <c r="B86" t="str">
        <f>B167</f>
        <v>Water-water ≥ 70 kW en ≤ 400 kW</v>
      </c>
      <c r="C86">
        <v>150</v>
      </c>
      <c r="D86">
        <v>70</v>
      </c>
      <c r="E86">
        <v>400</v>
      </c>
    </row>
    <row r="87" spans="1:5">
      <c r="B87" s="15">
        <v>1</v>
      </c>
      <c r="C87" s="15" t="str">
        <f>VLOOKUP(B87,A75:B86,2,FALSE)</f>
        <v>Geen warmtepomp</v>
      </c>
    </row>
    <row r="88" spans="1:5">
      <c r="B88" s="15"/>
    </row>
    <row r="89" spans="1:5">
      <c r="B89" s="12" t="s">
        <v>101</v>
      </c>
      <c r="C89" s="1" t="s">
        <v>102</v>
      </c>
    </row>
    <row r="90" spans="1:5">
      <c r="A90">
        <v>1</v>
      </c>
      <c r="B90" t="str">
        <f>IF(OR($C$87="Geen warmtepomp",$C$87="Lucht-water ≥ 70 kW en ≤ 400 kW",$C$87="Grond-water ≥ 70 kW en ≤ 400 kW",$C$87="Water-water ≥ 70 kW en ≤ 400 kW" ),"Niet van toepassing","Energieklasse A++ of hoger")</f>
        <v>Niet van toepassing</v>
      </c>
      <c r="C90">
        <v>450</v>
      </c>
    </row>
    <row r="91" spans="1:5">
      <c r="A91">
        <v>2</v>
      </c>
      <c r="B91" t="str">
        <f>IF(OR($C$87="Geen warmtepomp",$C$87="Lucht-water ≥ 70 kW en ≤ 400 kW",$C$87="Grond-water ≥ 70 kW en ≤ 400 kW",$C$87="Water-water ≥ 70 kW en ≤ 400 kW" ),"Niet van toepassing","Energieklasse A+")</f>
        <v>Niet van toepassing</v>
      </c>
      <c r="C91">
        <v>225</v>
      </c>
    </row>
    <row r="92" spans="1:5">
      <c r="A92">
        <v>3</v>
      </c>
      <c r="B92" t="str">
        <f>IF(OR($C$87="Geen warmtepomp",$C$87="Lucht-water ≥ 70 kW en ≤ 400 kW",$C$87="Grond-water ≥ 70 kW en ≤ 400 kW",$C$87="Water-water ≥ 70 kW en ≤ 400 kW" ),"Niet van toepassing","Energieklasse A t/m G")</f>
        <v>Niet van toepassing</v>
      </c>
      <c r="C92">
        <v>0</v>
      </c>
    </row>
    <row r="93" spans="1:5">
      <c r="B93" s="15">
        <v>1</v>
      </c>
      <c r="C93" s="15" t="str">
        <f>VLOOKUP(B93,A90:B92,2,FALSE)</f>
        <v>Niet van toepassing</v>
      </c>
      <c r="D93" s="15">
        <f>IF(C93="Niet van toepassing",0,VLOOKUP(C93,B90:C92,2,FALSE))</f>
        <v>0</v>
      </c>
    </row>
    <row r="95" spans="1:5">
      <c r="B95" s="1" t="s">
        <v>85</v>
      </c>
    </row>
    <row r="96" spans="1:5">
      <c r="B96" t="s">
        <v>109</v>
      </c>
      <c r="C96" s="15">
        <f>VLOOKUP(C87,B75:E86,3,FALSE)</f>
        <v>0</v>
      </c>
    </row>
    <row r="97" spans="1:4">
      <c r="B97" t="s">
        <v>110</v>
      </c>
      <c r="C97" s="15">
        <f>VLOOKUP(C87,B75:E86,4,FALSE)</f>
        <v>0</v>
      </c>
    </row>
    <row r="99" spans="1:4" ht="18.75">
      <c r="B99" s="17" t="s">
        <v>82</v>
      </c>
    </row>
    <row r="100" spans="1:4">
      <c r="A100">
        <v>1</v>
      </c>
      <c r="B100" s="11" t="s">
        <v>83</v>
      </c>
    </row>
    <row r="101" spans="1:4" ht="17.25">
      <c r="A101">
        <v>2</v>
      </c>
      <c r="B101" t="s">
        <v>47</v>
      </c>
    </row>
    <row r="102" spans="1:4" ht="17.25">
      <c r="A102">
        <v>3</v>
      </c>
      <c r="B102" t="s">
        <v>48</v>
      </c>
    </row>
    <row r="103" spans="1:4" ht="17.25">
      <c r="A103">
        <v>4</v>
      </c>
      <c r="B103" t="s">
        <v>49</v>
      </c>
    </row>
    <row r="104" spans="1:4" ht="17.25">
      <c r="A104">
        <v>5</v>
      </c>
      <c r="B104" t="s">
        <v>50</v>
      </c>
    </row>
    <row r="105" spans="1:4">
      <c r="B105" s="15">
        <v>1</v>
      </c>
      <c r="C105" s="15" t="str">
        <f>VLOOKUP(B105,A100:B104,2,FALSE)</f>
        <v>Geen zonneboiler</v>
      </c>
    </row>
    <row r="106" spans="1:4">
      <c r="B106" s="1"/>
    </row>
    <row r="107" spans="1:4" ht="18.75">
      <c r="B107" s="17" t="s">
        <v>84</v>
      </c>
    </row>
    <row r="108" spans="1:4">
      <c r="A108">
        <v>1</v>
      </c>
      <c r="B108" s="11" t="s">
        <v>175</v>
      </c>
      <c r="C108" t="s">
        <v>98</v>
      </c>
      <c r="D108" t="str">
        <f>""</f>
        <v/>
      </c>
    </row>
    <row r="109" spans="1:4">
      <c r="A109">
        <v>2</v>
      </c>
      <c r="B109" s="11" t="s">
        <v>169</v>
      </c>
      <c r="C109" t="s">
        <v>98</v>
      </c>
      <c r="D109" t="str">
        <f>""</f>
        <v/>
      </c>
    </row>
    <row r="110" spans="1:4">
      <c r="B110" s="15">
        <v>1</v>
      </c>
      <c r="C110" s="15" t="str">
        <f>VLOOKUP(B110,A108:B109,2,FALSE)</f>
        <v>Geen aansluiting warmtenet/aansluiting vóór 1 januari 2022</v>
      </c>
      <c r="D110" s="11"/>
    </row>
    <row r="111" spans="1:4">
      <c r="B111" s="11"/>
    </row>
    <row r="112" spans="1:4" ht="18.75">
      <c r="B112" s="17" t="s">
        <v>171</v>
      </c>
    </row>
    <row r="113" spans="1:12" ht="45.75" customHeight="1">
      <c r="B113" s="11" t="s">
        <v>178</v>
      </c>
      <c r="E113" s="11" t="s">
        <v>172</v>
      </c>
      <c r="H113" s="21" t="s">
        <v>168</v>
      </c>
      <c r="K113" s="21" t="s">
        <v>173</v>
      </c>
    </row>
    <row r="114" spans="1:12">
      <c r="A114">
        <v>1</v>
      </c>
      <c r="B114" s="11" t="s">
        <v>153</v>
      </c>
      <c r="D114">
        <v>1</v>
      </c>
      <c r="E114" t="str">
        <f>IF(C116="Nee","Niet van toepassing","Nee")</f>
        <v>Niet van toepassing</v>
      </c>
      <c r="G114">
        <v>1</v>
      </c>
      <c r="H114" s="4" t="str">
        <f>IF(OR(C116="Nee",F116="Nee"),"Niet van toepassing","Nee")</f>
        <v>Niet van toepassing</v>
      </c>
      <c r="J114">
        <v>1</v>
      </c>
      <c r="K114" t="str">
        <f>IF(OR(C116="Nee",F116="Nee",I116="Ja"),"Niet van toepassing","Nee")</f>
        <v>Niet van toepassing</v>
      </c>
    </row>
    <row r="115" spans="1:12">
      <c r="A115">
        <v>2</v>
      </c>
      <c r="B115" s="11" t="s">
        <v>152</v>
      </c>
      <c r="D115">
        <v>2</v>
      </c>
      <c r="E115" t="str">
        <f>IF(C116="Nee","","Ja")</f>
        <v/>
      </c>
      <c r="G115">
        <v>2</v>
      </c>
      <c r="H115" s="4" t="str">
        <f>IF(OR(C116="Nee",F116="Nee"),"","Ja")</f>
        <v/>
      </c>
      <c r="J115">
        <v>2</v>
      </c>
      <c r="K115" t="str">
        <f>IF(OR(C116="Nee",F116="Nee",I116="Ja"),"","Ja")</f>
        <v/>
      </c>
    </row>
    <row r="116" spans="1:12">
      <c r="B116" s="15">
        <v>1</v>
      </c>
      <c r="C116" s="15" t="str">
        <f>VLOOKUP(B116,A114:B115,2,FALSE)</f>
        <v>Nee</v>
      </c>
      <c r="E116" s="15">
        <v>1</v>
      </c>
      <c r="F116" s="15" t="str">
        <f>VLOOKUP(E116,D114:E115,2,FALSE)</f>
        <v>Niet van toepassing</v>
      </c>
      <c r="H116" s="15">
        <v>1</v>
      </c>
      <c r="I116" s="15" t="str">
        <f>VLOOKUP(H116,G114:H115,2,FALSE)</f>
        <v>Niet van toepassing</v>
      </c>
      <c r="K116" s="15">
        <v>1</v>
      </c>
      <c r="L116" s="15" t="str">
        <f>VLOOKUP(K116,J114:K115,2,FALSE)</f>
        <v>Niet van toepassing</v>
      </c>
    </row>
    <row r="117" spans="1:12">
      <c r="B117" s="15"/>
      <c r="C117" s="15"/>
    </row>
    <row r="118" spans="1:12">
      <c r="B118" s="15"/>
      <c r="C118" s="15"/>
    </row>
    <row r="119" spans="1:12">
      <c r="C119" s="15"/>
    </row>
    <row r="120" spans="1:12">
      <c r="C120" s="15"/>
    </row>
    <row r="121" spans="1:12">
      <c r="B121" s="15"/>
      <c r="C121" s="15"/>
    </row>
    <row r="122" spans="1:12" ht="18.75">
      <c r="A122" s="17" t="s">
        <v>111</v>
      </c>
      <c r="B122" s="15"/>
      <c r="C122" s="15"/>
    </row>
    <row r="123" spans="1:12">
      <c r="B123" s="15"/>
    </row>
    <row r="124" spans="1:12" ht="34.5" customHeight="1">
      <c r="B124" s="1" t="s">
        <v>45</v>
      </c>
      <c r="C124" s="1" t="s">
        <v>10</v>
      </c>
      <c r="D124" s="8" t="s">
        <v>137</v>
      </c>
      <c r="E124" s="8" t="s">
        <v>138</v>
      </c>
      <c r="F124" s="7" t="s">
        <v>59</v>
      </c>
      <c r="G124" s="7" t="s">
        <v>60</v>
      </c>
      <c r="H124" s="10" t="s">
        <v>56</v>
      </c>
    </row>
    <row r="125" spans="1:12" ht="15" customHeight="1">
      <c r="B125" t="s">
        <v>4</v>
      </c>
      <c r="C125" t="s">
        <v>63</v>
      </c>
      <c r="D125" s="4">
        <v>15</v>
      </c>
      <c r="E125" s="9">
        <v>15</v>
      </c>
      <c r="F125">
        <v>20</v>
      </c>
      <c r="G125">
        <v>200</v>
      </c>
    </row>
    <row r="126" spans="1:12" ht="15" customHeight="1">
      <c r="B126" t="s">
        <v>4</v>
      </c>
      <c r="C126" t="s">
        <v>64</v>
      </c>
      <c r="D126" s="4">
        <v>4</v>
      </c>
      <c r="E126" s="9">
        <v>4</v>
      </c>
      <c r="F126">
        <v>20</v>
      </c>
      <c r="G126">
        <v>130</v>
      </c>
    </row>
    <row r="127" spans="1:12" ht="15" customHeight="1">
      <c r="B127" t="s">
        <v>5</v>
      </c>
      <c r="C127" t="s">
        <v>65</v>
      </c>
      <c r="D127" s="4">
        <v>19</v>
      </c>
      <c r="E127" s="9">
        <v>19</v>
      </c>
      <c r="F127">
        <v>10</v>
      </c>
      <c r="G127">
        <v>170</v>
      </c>
    </row>
    <row r="128" spans="1:12" ht="15" customHeight="1">
      <c r="B128" t="s">
        <v>6</v>
      </c>
      <c r="C128" t="s">
        <v>66</v>
      </c>
      <c r="D128" s="4">
        <v>4</v>
      </c>
      <c r="E128" s="9">
        <v>4</v>
      </c>
      <c r="F128">
        <v>10</v>
      </c>
      <c r="G128">
        <v>170</v>
      </c>
    </row>
    <row r="129" spans="2:9" ht="15" customHeight="1">
      <c r="B129" t="s">
        <v>8</v>
      </c>
      <c r="C129" t="s">
        <v>67</v>
      </c>
      <c r="D129" s="4">
        <v>5.5</v>
      </c>
      <c r="E129" s="9">
        <v>5.5</v>
      </c>
      <c r="F129">
        <v>20</v>
      </c>
      <c r="G129">
        <v>130</v>
      </c>
    </row>
    <row r="130" spans="2:9" ht="15" customHeight="1">
      <c r="B130" t="s">
        <v>8</v>
      </c>
      <c r="C130" t="s">
        <v>68</v>
      </c>
      <c r="D130" s="4">
        <v>3</v>
      </c>
      <c r="E130" s="9">
        <v>3</v>
      </c>
      <c r="F130">
        <v>20</v>
      </c>
      <c r="G130">
        <v>130</v>
      </c>
    </row>
    <row r="131" spans="2:9" ht="15" customHeight="1">
      <c r="D131" s="4"/>
      <c r="E131" s="9"/>
    </row>
    <row r="132" spans="2:9" ht="15" customHeight="1">
      <c r="B132" t="s">
        <v>75</v>
      </c>
      <c r="C132" s="9" t="s">
        <v>69</v>
      </c>
      <c r="D132" s="19">
        <v>26.5</v>
      </c>
      <c r="E132" s="19">
        <v>23</v>
      </c>
      <c r="F132">
        <v>8</v>
      </c>
      <c r="G132">
        <v>45</v>
      </c>
    </row>
    <row r="133" spans="2:9" ht="15" customHeight="1">
      <c r="B133" t="s">
        <v>75</v>
      </c>
      <c r="C133" s="9" t="s">
        <v>70</v>
      </c>
      <c r="D133" s="19">
        <v>11.5</v>
      </c>
      <c r="E133" s="19">
        <v>10</v>
      </c>
      <c r="F133">
        <v>8</v>
      </c>
      <c r="G133">
        <v>45</v>
      </c>
      <c r="H133" t="s">
        <v>62</v>
      </c>
    </row>
    <row r="134" spans="2:9" ht="15" customHeight="1">
      <c r="B134" t="s">
        <v>75</v>
      </c>
      <c r="C134" s="9" t="s">
        <v>71</v>
      </c>
      <c r="D134" s="19">
        <v>75</v>
      </c>
      <c r="E134" s="19">
        <v>65.5</v>
      </c>
      <c r="F134">
        <v>8</v>
      </c>
      <c r="G134">
        <v>45</v>
      </c>
    </row>
    <row r="135" spans="2:9" ht="15" customHeight="1">
      <c r="B135" t="s">
        <v>75</v>
      </c>
      <c r="C135" s="9" t="s">
        <v>72</v>
      </c>
      <c r="D135" s="19">
        <v>57.5</v>
      </c>
      <c r="E135" s="19">
        <v>45</v>
      </c>
      <c r="F135">
        <v>8</v>
      </c>
      <c r="G135">
        <v>45</v>
      </c>
      <c r="H135" t="s">
        <v>62</v>
      </c>
    </row>
    <row r="136" spans="2:9" ht="15" customHeight="1">
      <c r="B136" t="s">
        <v>75</v>
      </c>
      <c r="C136" s="9" t="s">
        <v>73</v>
      </c>
      <c r="D136" s="19">
        <v>75</v>
      </c>
      <c r="E136" s="19">
        <v>65.5</v>
      </c>
      <c r="F136">
        <v>8</v>
      </c>
      <c r="G136">
        <v>45</v>
      </c>
      <c r="H136" t="s">
        <v>62</v>
      </c>
    </row>
    <row r="137" spans="2:9" ht="15" customHeight="1">
      <c r="B137" t="s">
        <v>75</v>
      </c>
      <c r="C137" s="9" t="s">
        <v>74</v>
      </c>
      <c r="D137" s="19">
        <v>26.5</v>
      </c>
      <c r="E137" s="19">
        <v>23</v>
      </c>
      <c r="F137">
        <v>8</v>
      </c>
      <c r="G137">
        <v>45</v>
      </c>
      <c r="H137" t="s">
        <v>62</v>
      </c>
    </row>
    <row r="138" spans="2:9" ht="15" customHeight="1"/>
    <row r="139" spans="2:9" ht="15" customHeight="1">
      <c r="B139" s="1" t="s">
        <v>44</v>
      </c>
      <c r="C139" s="1" t="s">
        <v>10</v>
      </c>
      <c r="D139" s="2" t="s">
        <v>11</v>
      </c>
      <c r="E139" s="2" t="s">
        <v>54</v>
      </c>
      <c r="F139" s="2" t="s">
        <v>55</v>
      </c>
      <c r="G139" s="2" t="s">
        <v>57</v>
      </c>
      <c r="I139" s="6"/>
    </row>
    <row r="140" spans="2:9" ht="15" customHeight="1">
      <c r="B140" s="11" t="s">
        <v>77</v>
      </c>
      <c r="C140" s="11" t="s">
        <v>77</v>
      </c>
      <c r="D140" s="13">
        <v>0</v>
      </c>
      <c r="E140" s="2">
        <v>0</v>
      </c>
      <c r="F140" s="2">
        <v>0</v>
      </c>
      <c r="G140" s="2">
        <v>0</v>
      </c>
      <c r="I140" s="6"/>
    </row>
    <row r="141" spans="2:9" ht="15" customHeight="1">
      <c r="B141" t="s">
        <v>13</v>
      </c>
      <c r="C141" t="s">
        <v>23</v>
      </c>
      <c r="D141" s="4">
        <v>500</v>
      </c>
      <c r="E141" s="4">
        <v>450</v>
      </c>
      <c r="F141" s="4">
        <f>D141+E141</f>
        <v>950</v>
      </c>
      <c r="G141" s="4">
        <v>0</v>
      </c>
      <c r="I141" s="3"/>
    </row>
    <row r="142" spans="2:9" ht="15" customHeight="1">
      <c r="B142" t="s">
        <v>13</v>
      </c>
      <c r="C142" t="s">
        <v>21</v>
      </c>
      <c r="D142" s="4">
        <v>500</v>
      </c>
      <c r="E142" s="4">
        <v>225</v>
      </c>
      <c r="F142" s="4">
        <f t="shared" ref="F142:F166" si="3">D142+E142</f>
        <v>725</v>
      </c>
      <c r="G142" s="4">
        <v>0</v>
      </c>
      <c r="I142" s="3"/>
    </row>
    <row r="143" spans="2:9" ht="15" customHeight="1">
      <c r="B143" t="s">
        <v>13</v>
      </c>
      <c r="C143" t="s">
        <v>22</v>
      </c>
      <c r="D143" s="4">
        <v>500</v>
      </c>
      <c r="E143" s="4"/>
      <c r="F143" s="4">
        <f t="shared" si="3"/>
        <v>500</v>
      </c>
      <c r="G143" s="4">
        <v>0</v>
      </c>
    </row>
    <row r="144" spans="2:9" ht="15" customHeight="1">
      <c r="B144" t="s">
        <v>14</v>
      </c>
      <c r="C144" t="s">
        <v>24</v>
      </c>
      <c r="D144" s="4">
        <v>1650</v>
      </c>
      <c r="E144" s="4">
        <v>450</v>
      </c>
      <c r="F144" s="4">
        <f t="shared" si="3"/>
        <v>2100</v>
      </c>
      <c r="G144" s="4">
        <v>150</v>
      </c>
      <c r="H144" t="s">
        <v>53</v>
      </c>
    </row>
    <row r="145" spans="2:9" ht="15" customHeight="1">
      <c r="B145" t="s">
        <v>14</v>
      </c>
      <c r="C145" t="s">
        <v>31</v>
      </c>
      <c r="D145" s="4">
        <v>1650</v>
      </c>
      <c r="E145" s="4">
        <v>225</v>
      </c>
      <c r="F145" s="4">
        <f t="shared" si="3"/>
        <v>1875</v>
      </c>
      <c r="G145" s="4">
        <v>150</v>
      </c>
      <c r="H145" t="s">
        <v>53</v>
      </c>
    </row>
    <row r="146" spans="2:9" ht="15" customHeight="1">
      <c r="B146" t="s">
        <v>14</v>
      </c>
      <c r="C146" t="s">
        <v>58</v>
      </c>
      <c r="D146" s="4">
        <v>1650</v>
      </c>
      <c r="E146" s="4"/>
      <c r="F146" s="4">
        <f t="shared" si="3"/>
        <v>1650</v>
      </c>
      <c r="G146" s="4">
        <v>150</v>
      </c>
      <c r="H146" t="s">
        <v>53</v>
      </c>
    </row>
    <row r="147" spans="2:9" ht="15" customHeight="1">
      <c r="B147" s="4" t="s">
        <v>113</v>
      </c>
      <c r="C147" s="4" t="s">
        <v>114</v>
      </c>
      <c r="D147" s="4">
        <f>3750+(70-10)*150</f>
        <v>12750</v>
      </c>
      <c r="E147" s="4"/>
      <c r="F147" s="4"/>
      <c r="G147" s="4">
        <v>150</v>
      </c>
      <c r="H147" s="4" t="s">
        <v>106</v>
      </c>
    </row>
    <row r="148" spans="2:9" ht="15" customHeight="1">
      <c r="B148" t="s">
        <v>15</v>
      </c>
      <c r="C148" t="s">
        <v>25</v>
      </c>
      <c r="D148" s="4">
        <v>500</v>
      </c>
      <c r="E148" s="4">
        <v>450</v>
      </c>
      <c r="F148" s="4">
        <f t="shared" si="3"/>
        <v>950</v>
      </c>
      <c r="G148" s="4">
        <v>0</v>
      </c>
      <c r="I148" s="3"/>
    </row>
    <row r="149" spans="2:9" ht="15" customHeight="1">
      <c r="B149" t="s">
        <v>15</v>
      </c>
      <c r="C149" t="s">
        <v>32</v>
      </c>
      <c r="D149" s="4">
        <v>500</v>
      </c>
      <c r="E149" s="4">
        <v>225</v>
      </c>
      <c r="F149" s="4">
        <f t="shared" si="3"/>
        <v>725</v>
      </c>
      <c r="G149" s="4">
        <v>0</v>
      </c>
      <c r="I149" s="3"/>
    </row>
    <row r="150" spans="2:9" ht="15" customHeight="1">
      <c r="B150" t="s">
        <v>15</v>
      </c>
      <c r="C150" t="s">
        <v>38</v>
      </c>
      <c r="D150" s="4">
        <v>500</v>
      </c>
      <c r="E150" s="4"/>
      <c r="F150" s="4">
        <f t="shared" si="3"/>
        <v>500</v>
      </c>
      <c r="G150" s="4">
        <v>0</v>
      </c>
    </row>
    <row r="151" spans="2:9" ht="15" customHeight="1">
      <c r="B151" t="s">
        <v>16</v>
      </c>
      <c r="C151" t="s">
        <v>26</v>
      </c>
      <c r="D151" s="4">
        <v>3750</v>
      </c>
      <c r="E151" s="4">
        <v>450</v>
      </c>
      <c r="F151" s="4">
        <f t="shared" si="3"/>
        <v>4200</v>
      </c>
      <c r="G151" s="4">
        <v>0</v>
      </c>
    </row>
    <row r="152" spans="2:9" ht="15" customHeight="1">
      <c r="B152" t="s">
        <v>16</v>
      </c>
      <c r="C152" t="s">
        <v>33</v>
      </c>
      <c r="D152" s="4">
        <v>3750</v>
      </c>
      <c r="E152" s="4">
        <v>225</v>
      </c>
      <c r="F152" s="4">
        <f t="shared" si="3"/>
        <v>3975</v>
      </c>
      <c r="G152" s="4">
        <v>0</v>
      </c>
    </row>
    <row r="153" spans="2:9" ht="15" customHeight="1">
      <c r="B153" t="s">
        <v>16</v>
      </c>
      <c r="C153" t="s">
        <v>39</v>
      </c>
      <c r="D153" s="4">
        <v>3750</v>
      </c>
      <c r="E153" s="4"/>
      <c r="F153" s="4">
        <f t="shared" si="3"/>
        <v>3750</v>
      </c>
      <c r="G153" s="4">
        <v>0</v>
      </c>
    </row>
    <row r="154" spans="2:9" ht="15" customHeight="1">
      <c r="B154" t="s">
        <v>17</v>
      </c>
      <c r="C154" t="s">
        <v>27</v>
      </c>
      <c r="D154" s="4">
        <v>3750</v>
      </c>
      <c r="E154" s="4">
        <v>450</v>
      </c>
      <c r="F154" s="4">
        <f t="shared" si="3"/>
        <v>4200</v>
      </c>
      <c r="G154" s="4">
        <v>150</v>
      </c>
      <c r="H154" s="4" t="s">
        <v>52</v>
      </c>
    </row>
    <row r="155" spans="2:9" ht="15" customHeight="1">
      <c r="B155" t="s">
        <v>17</v>
      </c>
      <c r="C155" t="s">
        <v>34</v>
      </c>
      <c r="D155" s="4">
        <v>3750</v>
      </c>
      <c r="E155" s="4">
        <v>225</v>
      </c>
      <c r="F155" s="4">
        <f t="shared" si="3"/>
        <v>3975</v>
      </c>
      <c r="G155" s="4">
        <v>150</v>
      </c>
      <c r="H155" s="4" t="s">
        <v>52</v>
      </c>
    </row>
    <row r="156" spans="2:9" ht="15" customHeight="1">
      <c r="B156" t="s">
        <v>17</v>
      </c>
      <c r="C156" t="s">
        <v>40</v>
      </c>
      <c r="D156" s="4">
        <v>3750</v>
      </c>
      <c r="E156" s="4"/>
      <c r="F156" s="4">
        <f t="shared" si="3"/>
        <v>3750</v>
      </c>
      <c r="G156" s="4">
        <v>150</v>
      </c>
      <c r="H156" s="4" t="s">
        <v>52</v>
      </c>
    </row>
    <row r="157" spans="2:9" ht="15" customHeight="1">
      <c r="B157" s="4" t="s">
        <v>115</v>
      </c>
      <c r="C157" s="4" t="s">
        <v>104</v>
      </c>
      <c r="D157" s="4">
        <f>3750+(70-10)*150</f>
        <v>12750</v>
      </c>
      <c r="E157" s="4"/>
      <c r="F157" s="4"/>
      <c r="G157" s="4">
        <v>150</v>
      </c>
      <c r="H157" s="4" t="s">
        <v>106</v>
      </c>
    </row>
    <row r="158" spans="2:9" ht="15" customHeight="1">
      <c r="B158" t="s">
        <v>18</v>
      </c>
      <c r="C158" t="s">
        <v>28</v>
      </c>
      <c r="D158" s="4">
        <v>500</v>
      </c>
      <c r="E158" s="4">
        <v>450</v>
      </c>
      <c r="F158" s="4">
        <f t="shared" si="3"/>
        <v>950</v>
      </c>
      <c r="G158" s="4">
        <v>0</v>
      </c>
      <c r="I158" s="3"/>
    </row>
    <row r="159" spans="2:9" ht="15" customHeight="1">
      <c r="B159" t="s">
        <v>18</v>
      </c>
      <c r="C159" t="s">
        <v>35</v>
      </c>
      <c r="D159" s="4">
        <v>500</v>
      </c>
      <c r="E159" s="4">
        <v>225</v>
      </c>
      <c r="F159" s="4">
        <f t="shared" si="3"/>
        <v>725</v>
      </c>
      <c r="G159" s="4">
        <v>0</v>
      </c>
      <c r="I159" s="3"/>
    </row>
    <row r="160" spans="2:9" ht="15" customHeight="1">
      <c r="B160" t="s">
        <v>18</v>
      </c>
      <c r="C160" t="s">
        <v>41</v>
      </c>
      <c r="D160" s="4">
        <v>500</v>
      </c>
      <c r="E160" s="4"/>
      <c r="F160" s="4">
        <f t="shared" si="3"/>
        <v>500</v>
      </c>
      <c r="G160" s="4">
        <v>0</v>
      </c>
    </row>
    <row r="161" spans="2:8" ht="15" customHeight="1">
      <c r="B161" t="s">
        <v>19</v>
      </c>
      <c r="C161" t="s">
        <v>29</v>
      </c>
      <c r="D161" s="4">
        <v>3750</v>
      </c>
      <c r="E161" s="4">
        <v>450</v>
      </c>
      <c r="F161" s="4">
        <f t="shared" si="3"/>
        <v>4200</v>
      </c>
      <c r="G161" s="4">
        <v>0</v>
      </c>
    </row>
    <row r="162" spans="2:8" ht="15" customHeight="1">
      <c r="B162" t="s">
        <v>19</v>
      </c>
      <c r="C162" t="s">
        <v>36</v>
      </c>
      <c r="D162" s="4">
        <v>3750</v>
      </c>
      <c r="E162" s="4">
        <v>225</v>
      </c>
      <c r="F162" s="4">
        <f t="shared" si="3"/>
        <v>3975</v>
      </c>
      <c r="G162" s="4">
        <v>0</v>
      </c>
    </row>
    <row r="163" spans="2:8" ht="15" customHeight="1">
      <c r="B163" t="s">
        <v>19</v>
      </c>
      <c r="C163" t="s">
        <v>42</v>
      </c>
      <c r="D163" s="4">
        <v>3750</v>
      </c>
      <c r="E163" s="4"/>
      <c r="F163" s="4">
        <f t="shared" si="3"/>
        <v>3750</v>
      </c>
      <c r="G163" s="4">
        <v>0</v>
      </c>
    </row>
    <row r="164" spans="2:8" ht="15" customHeight="1">
      <c r="B164" t="s">
        <v>20</v>
      </c>
      <c r="C164" t="s">
        <v>30</v>
      </c>
      <c r="D164" s="4">
        <v>3750</v>
      </c>
      <c r="E164" s="4">
        <v>450</v>
      </c>
      <c r="F164" s="4">
        <f t="shared" si="3"/>
        <v>4200</v>
      </c>
      <c r="G164" s="4">
        <v>150</v>
      </c>
      <c r="H164" s="4" t="s">
        <v>52</v>
      </c>
    </row>
    <row r="165" spans="2:8" ht="15" customHeight="1">
      <c r="B165" t="s">
        <v>20</v>
      </c>
      <c r="C165" t="s">
        <v>37</v>
      </c>
      <c r="D165" s="4">
        <v>3750</v>
      </c>
      <c r="E165" s="4">
        <v>225</v>
      </c>
      <c r="F165" s="4">
        <f t="shared" si="3"/>
        <v>3975</v>
      </c>
      <c r="G165" s="4">
        <v>150</v>
      </c>
      <c r="H165" s="4" t="s">
        <v>52</v>
      </c>
    </row>
    <row r="166" spans="2:8" ht="15" customHeight="1">
      <c r="B166" t="s">
        <v>20</v>
      </c>
      <c r="C166" t="s">
        <v>43</v>
      </c>
      <c r="D166" s="4">
        <v>3750</v>
      </c>
      <c r="E166" s="4"/>
      <c r="F166" s="4">
        <f t="shared" si="3"/>
        <v>3750</v>
      </c>
      <c r="G166" s="4">
        <v>150</v>
      </c>
      <c r="H166" s="4" t="s">
        <v>52</v>
      </c>
    </row>
    <row r="167" spans="2:8" ht="15" customHeight="1">
      <c r="B167" s="4" t="s">
        <v>116</v>
      </c>
      <c r="C167" s="4" t="s">
        <v>105</v>
      </c>
      <c r="D167" s="4">
        <f>3750+(70-10)*150</f>
        <v>12750</v>
      </c>
      <c r="E167" s="4"/>
      <c r="F167" s="4"/>
      <c r="G167" s="4">
        <v>150</v>
      </c>
      <c r="H167" s="4" t="s">
        <v>106</v>
      </c>
    </row>
    <row r="168" spans="2:8" ht="15" customHeight="1">
      <c r="B168" s="3"/>
      <c r="D168" s="4"/>
      <c r="E168" s="4"/>
      <c r="F168" s="4"/>
      <c r="G168" s="4"/>
    </row>
    <row r="169" spans="2:8" ht="15" customHeight="1">
      <c r="B169" s="1" t="s">
        <v>9</v>
      </c>
      <c r="C169" s="1" t="s">
        <v>10</v>
      </c>
      <c r="D169" s="5" t="s">
        <v>12</v>
      </c>
      <c r="E169" s="4"/>
      <c r="F169" s="4"/>
      <c r="G169" s="4"/>
    </row>
    <row r="170" spans="2:8" ht="15" customHeight="1">
      <c r="B170" s="11" t="s">
        <v>83</v>
      </c>
      <c r="C170" s="11" t="s">
        <v>83</v>
      </c>
      <c r="D170" s="14">
        <v>0</v>
      </c>
      <c r="E170" s="4"/>
      <c r="F170" s="4"/>
      <c r="G170" s="4"/>
    </row>
    <row r="171" spans="2:8" ht="15" customHeight="1">
      <c r="B171" t="s">
        <v>9</v>
      </c>
      <c r="C171" t="s">
        <v>47</v>
      </c>
      <c r="D171" s="4">
        <v>1000</v>
      </c>
      <c r="E171" s="4"/>
      <c r="F171" s="4"/>
      <c r="G171" s="4"/>
      <c r="H171" s="4" t="s">
        <v>61</v>
      </c>
    </row>
    <row r="172" spans="2:8" ht="15" customHeight="1">
      <c r="B172" t="s">
        <v>9</v>
      </c>
      <c r="C172" t="s">
        <v>48</v>
      </c>
      <c r="D172" s="4">
        <v>2000</v>
      </c>
      <c r="E172" s="4"/>
      <c r="F172" s="4"/>
      <c r="G172" s="4"/>
      <c r="H172" s="4" t="s">
        <v>61</v>
      </c>
    </row>
    <row r="173" spans="2:8" ht="15" customHeight="1">
      <c r="B173" t="s">
        <v>46</v>
      </c>
      <c r="C173" t="s">
        <v>49</v>
      </c>
      <c r="D173" s="4">
        <v>1200</v>
      </c>
      <c r="E173" s="4"/>
      <c r="F173" s="4"/>
      <c r="G173" s="4"/>
      <c r="H173" s="4" t="s">
        <v>61</v>
      </c>
    </row>
    <row r="174" spans="2:8" ht="15" customHeight="1">
      <c r="B174" t="s">
        <v>46</v>
      </c>
      <c r="C174" t="s">
        <v>50</v>
      </c>
      <c r="D174" s="4">
        <v>2100</v>
      </c>
      <c r="E174" s="4"/>
      <c r="F174" s="4"/>
      <c r="G174" s="4"/>
      <c r="H174" s="4" t="s">
        <v>61</v>
      </c>
    </row>
    <row r="175" spans="2:8" ht="15" customHeight="1"/>
    <row r="176" spans="2:8" ht="15" customHeight="1">
      <c r="B176" s="1" t="s">
        <v>51</v>
      </c>
      <c r="C176" s="1" t="s">
        <v>10</v>
      </c>
      <c r="D176" s="2" t="s">
        <v>12</v>
      </c>
    </row>
    <row r="177" spans="2:8" ht="15" customHeight="1">
      <c r="B177" s="11" t="s">
        <v>175</v>
      </c>
      <c r="C177" s="11" t="s">
        <v>175</v>
      </c>
      <c r="D177" s="13">
        <v>0</v>
      </c>
    </row>
    <row r="178" spans="2:8" ht="15" customHeight="1">
      <c r="B178" s="11" t="s">
        <v>169</v>
      </c>
      <c r="C178" s="11" t="s">
        <v>169</v>
      </c>
      <c r="D178">
        <v>3325</v>
      </c>
    </row>
    <row r="179" spans="2:8" ht="15" customHeight="1"/>
    <row r="180" spans="2:8" ht="15" customHeight="1">
      <c r="B180" s="1" t="s">
        <v>96</v>
      </c>
      <c r="C180" s="1" t="s">
        <v>10</v>
      </c>
      <c r="H180" t="s">
        <v>97</v>
      </c>
    </row>
    <row r="181" spans="2:8">
      <c r="B181" t="s">
        <v>95</v>
      </c>
      <c r="C181" t="s">
        <v>95</v>
      </c>
      <c r="D181">
        <v>0</v>
      </c>
    </row>
    <row r="182" spans="2:8">
      <c r="B182" s="11" t="s">
        <v>96</v>
      </c>
      <c r="C182" s="11" t="s">
        <v>96</v>
      </c>
      <c r="D182">
        <v>400</v>
      </c>
    </row>
  </sheetData>
  <mergeCells count="2">
    <mergeCell ref="K2:K10"/>
    <mergeCell ref="M30:M33"/>
  </mergeCells>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Keuzeblad maatregelen</vt:lpstr>
      <vt:lpstr>Hulpblad</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Rekentool ISDE voor woningeigenaren</dc:title>
  <dc:creator>RVO</dc:creator>
  <cp:lastModifiedBy>Rijksdienst voor Ondernemend Nederland</cp:lastModifiedBy>
  <cp:lastPrinted>2023-01-05T08:44:32Z</cp:lastPrinted>
  <dcterms:created xsi:type="dcterms:W3CDTF">2022-12-13T15:32:06Z</dcterms:created>
  <dcterms:modified xsi:type="dcterms:W3CDTF">2023-01-30T09:30:05Z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de8109-f994-4a60-a1d3-5c95e2ff3620_Enabled">
    <vt:lpwstr>true</vt:lpwstr>
  </property>
  <property fmtid="{D5CDD505-2E9C-101B-9397-08002B2CF9AE}" pid="3" name="MSIP_Label_4bde8109-f994-4a60-a1d3-5c95e2ff3620_SetDate">
    <vt:lpwstr>2023-01-10T14:01:25Z</vt:lpwstr>
  </property>
  <property fmtid="{D5CDD505-2E9C-101B-9397-08002B2CF9AE}" pid="4" name="MSIP_Label_4bde8109-f994-4a60-a1d3-5c95e2ff3620_Method">
    <vt:lpwstr>Privileged</vt:lpwstr>
  </property>
  <property fmtid="{D5CDD505-2E9C-101B-9397-08002B2CF9AE}" pid="5" name="MSIP_Label_4bde8109-f994-4a60-a1d3-5c95e2ff3620_Name">
    <vt:lpwstr>FLPubliek</vt:lpwstr>
  </property>
  <property fmtid="{D5CDD505-2E9C-101B-9397-08002B2CF9AE}" pid="6" name="MSIP_Label_4bde8109-f994-4a60-a1d3-5c95e2ff3620_SiteId">
    <vt:lpwstr>1321633e-f6b9-44e2-a44f-59b9d264ecb7</vt:lpwstr>
  </property>
  <property fmtid="{D5CDD505-2E9C-101B-9397-08002B2CF9AE}" pid="7" name="MSIP_Label_4bde8109-f994-4a60-a1d3-5c95e2ff3620_ActionId">
    <vt:lpwstr>fbfdfdd3-89c4-4a30-bc4e-0c20dc78271d</vt:lpwstr>
  </property>
  <property fmtid="{D5CDD505-2E9C-101B-9397-08002B2CF9AE}" pid="8" name="MSIP_Label_4bde8109-f994-4a60-a1d3-5c95e2ff3620_ContentBits">
    <vt:lpwstr>0</vt:lpwstr>
  </property>
</Properties>
</file>