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NP_CDE\Energie Innovatie\Uitvoering\67 VEKI\VEKI 2023 FCFS\Basisdocumenten 2023\"/>
    </mc:Choice>
  </mc:AlternateContent>
  <xr:revisionPtr revIDLastSave="0" documentId="13_ncr:1_{57D240F2-0246-4F28-87DD-294EBE7D3508}" xr6:coauthVersionLast="47" xr6:coauthVersionMax="47" xr10:uidLastSave="{00000000-0000-0000-0000-000000000000}"/>
  <workbookProtection workbookPassword="C43D" lockStructure="1"/>
  <bookViews>
    <workbookView xWindow="-98" yWindow="-98" windowWidth="19396" windowHeight="10395" tabRatio="730" xr2:uid="{64C04E68-1A5A-448E-98A5-086EC4E584BC}"/>
  </bookViews>
  <sheets>
    <sheet name="Voor u begint" sheetId="3" r:id="rId1"/>
    <sheet name="standaardwaarden" sheetId="4" r:id="rId2"/>
    <sheet name="rekenblad TVT-toets" sheetId="2" r:id="rId3"/>
  </sheets>
  <definedNames>
    <definedName name="_Hlk127966169" localSheetId="0">'Voor u begint'!$H$48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2" l="1"/>
  <c r="W30" i="2"/>
  <c r="W29" i="2"/>
  <c r="W28" i="2"/>
  <c r="V26" i="2"/>
  <c r="P29" i="2"/>
  <c r="J29" i="2"/>
  <c r="S29" i="2"/>
  <c r="M29" i="2"/>
  <c r="D29" i="4"/>
  <c r="P22" i="2"/>
  <c r="D1" i="2"/>
  <c r="H1" i="4"/>
  <c r="K29" i="2" l="1"/>
  <c r="L29" i="2" s="1"/>
  <c r="J31" i="2"/>
  <c r="D14" i="2" s="1"/>
  <c r="Q29" i="2"/>
  <c r="R29" i="2" s="1"/>
  <c r="P31" i="2"/>
  <c r="E14" i="2" s="1"/>
  <c r="F14" i="2" s="1"/>
  <c r="F23" i="2"/>
  <c r="L8" i="2"/>
  <c r="D41" i="4"/>
  <c r="D20" i="4"/>
  <c r="D12" i="4"/>
  <c r="W22" i="2"/>
  <c r="W21" i="2"/>
  <c r="W20" i="2"/>
  <c r="W19" i="2"/>
  <c r="W12" i="2"/>
  <c r="W11" i="2"/>
  <c r="W10" i="2"/>
  <c r="W9" i="2"/>
  <c r="V17" i="2"/>
  <c r="V7" i="2"/>
  <c r="B3" i="2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8" i="2"/>
  <c r="J10" i="2"/>
  <c r="K10" i="2" l="1"/>
  <c r="D31" i="2"/>
  <c r="L10" i="2"/>
  <c r="P10" i="2"/>
  <c r="R8" i="2"/>
  <c r="S10" i="2" s="1"/>
  <c r="M10" i="2"/>
  <c r="R18" i="2"/>
  <c r="S20" i="2" s="1"/>
  <c r="Q18" i="2"/>
  <c r="P18" i="2"/>
  <c r="L18" i="2"/>
  <c r="M20" i="2" s="1"/>
  <c r="K18" i="2"/>
  <c r="J18" i="2"/>
  <c r="J20" i="2" l="1"/>
  <c r="P20" i="2"/>
  <c r="J12" i="2"/>
  <c r="D12" i="2"/>
  <c r="Q10" i="2"/>
  <c r="Q20" i="2"/>
  <c r="R20" i="2" s="1"/>
  <c r="K20" i="2"/>
  <c r="F25" i="2"/>
  <c r="F24" i="2"/>
  <c r="F22" i="2"/>
  <c r="F21" i="2"/>
  <c r="F15" i="2"/>
  <c r="L20" i="2" l="1"/>
  <c r="J22" i="2"/>
  <c r="R10" i="2"/>
  <c r="P12" i="2"/>
  <c r="E12" i="2"/>
  <c r="F20" i="2"/>
  <c r="F26" i="2" s="1"/>
  <c r="D13" i="2"/>
  <c r="E13" i="2"/>
  <c r="F13" i="2" l="1"/>
  <c r="E16" i="2"/>
  <c r="F12" i="2"/>
  <c r="D16" i="2" l="1"/>
  <c r="F16" i="2" s="1"/>
  <c r="D28" i="2" l="1"/>
  <c r="D32" i="2"/>
  <c r="D36" i="2" s="1"/>
</calcChain>
</file>

<file path=xl/sharedStrings.xml><?xml version="1.0" encoding="utf-8"?>
<sst xmlns="http://schemas.openxmlformats.org/spreadsheetml/2006/main" count="208" uniqueCount="136">
  <si>
    <t>TVT</t>
  </si>
  <si>
    <t>Kfin</t>
  </si>
  <si>
    <t>F</t>
  </si>
  <si>
    <t>referentie</t>
  </si>
  <si>
    <t>jr.</t>
  </si>
  <si>
    <t>verschil</t>
  </si>
  <si>
    <t>Investering referentie</t>
  </si>
  <si>
    <t>Meerinvestering</t>
  </si>
  <si>
    <t>besparing</t>
  </si>
  <si>
    <t>gas</t>
  </si>
  <si>
    <t>elektriciteit</t>
  </si>
  <si>
    <t>totaal</t>
  </si>
  <si>
    <t>beheer en onderhoudskosten</t>
  </si>
  <si>
    <t>afvalkosten</t>
  </si>
  <si>
    <t>kosten voor waterverbruik</t>
  </si>
  <si>
    <t>saldo</t>
  </si>
  <si>
    <t>Bov</t>
  </si>
  <si>
    <t>Ben</t>
  </si>
  <si>
    <t>I</t>
  </si>
  <si>
    <t>Terugverdientijd</t>
  </si>
  <si>
    <t>Financieringskosten</t>
  </si>
  <si>
    <t>standaardwaarden marginale energieprijs</t>
  </si>
  <si>
    <t>jaarlijks afgenomen hoeveelheid aardgas</t>
  </si>
  <si>
    <t>€/m3</t>
  </si>
  <si>
    <t>&lt;=170.000 m3</t>
  </si>
  <si>
    <t>170.000-1.000.000 m3</t>
  </si>
  <si>
    <t>1.000.000-10.000.000 m3</t>
  </si>
  <si>
    <t>&gt; 10.000.000 m3</t>
  </si>
  <si>
    <t>jaarlijks afgenomen netto hoeveelheid elektriciteit</t>
  </si>
  <si>
    <t>€/kwh</t>
  </si>
  <si>
    <t>&lt;=10.000 kwh</t>
  </si>
  <si>
    <t>10.000-50.000 kwh</t>
  </si>
  <si>
    <t>50.000-10.000.000 kwh</t>
  </si>
  <si>
    <t>&gt; 10.000.000 kwh</t>
  </si>
  <si>
    <t>conversietabel energiedragers</t>
  </si>
  <si>
    <t>Nm3-eq</t>
  </si>
  <si>
    <t>1 ltr. Huisbrandolie</t>
  </si>
  <si>
    <t>1 ton stookolie</t>
  </si>
  <si>
    <t>1 ton steenkool</t>
  </si>
  <si>
    <t>1 ltr. vloeibaar propaan</t>
  </si>
  <si>
    <t>1 GJ warmte</t>
  </si>
  <si>
    <t>1 ltr. diesel</t>
  </si>
  <si>
    <t>1 ltr. benzine</t>
  </si>
  <si>
    <t>cum.</t>
  </si>
  <si>
    <t>&gt; 10 GWh</t>
  </si>
  <si>
    <t>kWh</t>
  </si>
  <si>
    <t>m3</t>
  </si>
  <si>
    <t>&gt; 10 mln.</t>
  </si>
  <si>
    <t>cum. kosten €</t>
  </si>
  <si>
    <t>maatregel</t>
  </si>
  <si>
    <t>Investering van maatregel</t>
  </si>
  <si>
    <t>B</t>
  </si>
  <si>
    <t>Hulpmiddel ter bepaling van de terugverdientijd</t>
  </si>
  <si>
    <t>Meer informatie</t>
  </si>
  <si>
    <t>Voor u begint</t>
  </si>
  <si>
    <t>RVO.nl:</t>
  </si>
  <si>
    <t>Algemene Groepsvrijstellingsverordering:</t>
  </si>
  <si>
    <t>TVT: terugverdientijd</t>
  </si>
  <si>
    <t>Bij verschillen tussen de hierboven genoemde regeling en dit Excelmodel is de regeling steeds maatgevend.</t>
  </si>
  <si>
    <t>Ben: de jaarlijkse besparing op de energiekosten in euro’s</t>
  </si>
  <si>
    <t>Bov: het saldo van overige jaarlijks terugkerende baten en kosten in euro’s</t>
  </si>
  <si>
    <t>B: de jaarlijkse kostenbesparing in euro’s</t>
  </si>
  <si>
    <t>Kfin: de gemiddelde jaarlijkse kosten voor de financiering van de (meer)investering in euro’s</t>
  </si>
  <si>
    <t>F: de kosten voor de financiering van de (meer)investering in euro’s</t>
  </si>
  <si>
    <t>I: de (meer)investering in euro’s</t>
  </si>
  <si>
    <t>Praktische informatie over de subsidieregeling vindt u op:</t>
  </si>
  <si>
    <t>Referentiesituatie</t>
  </si>
  <si>
    <t>Aardgasverbruik</t>
  </si>
  <si>
    <t>Elektriciteitsverbruik</t>
  </si>
  <si>
    <t>grond- en hulpstofkosten</t>
  </si>
  <si>
    <t>Eigen invoer</t>
  </si>
  <si>
    <t>Bedrijfsnaam:</t>
  </si>
  <si>
    <t>Input energietarieven?</t>
  </si>
  <si>
    <t>Ja</t>
  </si>
  <si>
    <t>Nee</t>
  </si>
  <si>
    <t>Vul alle geel gemarkeerde cellen in!</t>
  </si>
  <si>
    <t>Zelf opgegeven energietarieven</t>
  </si>
  <si>
    <t>Standaardwaarden marginale energieprijs</t>
  </si>
  <si>
    <t xml:space="preserve">Dit hulpmiddel maakt gebruik van rekenregels uit de Staatscourant van 9 juli 2019 (nr. 38941); wijziging van de Activiteitenregeling milieubeheer met betrekking tot de wijze waarop de </t>
  </si>
  <si>
    <t>Verbruik na invoering maatregel</t>
  </si>
  <si>
    <r>
      <t>Vul het</t>
    </r>
    <r>
      <rPr>
        <b/>
        <sz val="11"/>
        <color theme="1"/>
        <rFont val="Calibri"/>
        <family val="2"/>
        <scheme val="minor"/>
      </rPr>
      <t xml:space="preserve"> totale</t>
    </r>
    <r>
      <rPr>
        <sz val="11"/>
        <color theme="1"/>
        <rFont val="Calibri"/>
        <family val="2"/>
        <scheme val="minor"/>
      </rPr>
      <t xml:space="preserve"> gasverbruik van uw bedrijf in, Voor en Na invoering van de maatregel.</t>
    </r>
  </si>
  <si>
    <t>In deze vindt u ook een toelichting op de gehanteerde rekenregels en welke type kosten en opbrengsten in de berekeningen opgevoerd en meegenomen kunnen worden.</t>
  </si>
  <si>
    <t xml:space="preserve">Berekening terugverdientijd </t>
  </si>
  <si>
    <r>
      <t xml:space="preserve">Selecteer </t>
    </r>
    <r>
      <rPr>
        <b/>
        <sz val="11"/>
        <color rgb="FFFF0000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 xml:space="preserve"> of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Nee</t>
    </r>
  </si>
  <si>
    <t xml:space="preserve">Let op: Andere brandstoffen deling door onderste verbrandingswaarde van de brandstof met 31,65 MJ/Nm3 </t>
  </si>
  <si>
    <t>Jaarlijkse besparing op energiekosten [€/jr.]</t>
  </si>
  <si>
    <t>saldo van overige jaarlijkse kosten en baten   [€/jr.]</t>
  </si>
  <si>
    <t>jaarlijkse kostenbesparing  [€/jr.]</t>
  </si>
  <si>
    <t>U maakt gebruik van de standaard energietarieven (ecxl BTW)</t>
  </si>
  <si>
    <t>U maakt gebruik van de bedrijfsspecifieke energietarieven (excl. BTW)</t>
  </si>
  <si>
    <t>Let op, alle bedragen zijn excl.BTW</t>
  </si>
  <si>
    <r>
      <t>Vul het</t>
    </r>
    <r>
      <rPr>
        <b/>
        <sz val="11"/>
        <color theme="1"/>
        <rFont val="Calibri"/>
        <family val="2"/>
        <scheme val="minor"/>
      </rPr>
      <t xml:space="preserve"> totale </t>
    </r>
    <r>
      <rPr>
        <sz val="11"/>
        <color theme="1"/>
        <rFont val="Calibri"/>
        <family val="2"/>
        <scheme val="minor"/>
      </rPr>
      <t>elektriciteitsverbruik van uw bedrijf in: Voor en Na invoering van de maatregel.</t>
    </r>
  </si>
  <si>
    <t xml:space="preserve">Berekening meerinvestering [€] </t>
  </si>
  <si>
    <t>gemiddeld jaarlijkse kosten voor de financiering van de meerinvestering  [€/jr.]</t>
  </si>
  <si>
    <t>kosten voor de financiering van de meerinvestering [€]</t>
  </si>
  <si>
    <t>CO2-kosten voor bedrijven die vallen onder Hoofdstuk VIB. CO2-heffing industrie van de Wet Belastingen op milieugrondslag</t>
  </si>
  <si>
    <t>Erkende maatrelenlijsten per sector</t>
  </si>
  <si>
    <t>Versnelde klimaatinvesteringen industrie (VEKI) (rvo.nl)</t>
  </si>
  <si>
    <t>Bijlage 10a van de Activiteitenregeling milieubeheer berekening TVT :</t>
  </si>
  <si>
    <r>
      <t>Wilt u gebruik maken van uw bedrijfsspecifieke energietarieven? Selecteer eerst</t>
    </r>
    <r>
      <rPr>
        <sz val="11"/>
        <color rgb="FFFF0000"/>
        <rFont val="Calibri"/>
        <family val="2"/>
        <scheme val="minor"/>
      </rPr>
      <t xml:space="preserve"> Ja </t>
    </r>
    <r>
      <rPr>
        <sz val="11"/>
        <color theme="1"/>
        <rFont val="Calibri"/>
        <family val="2"/>
        <scheme val="minor"/>
      </rPr>
      <t>of</t>
    </r>
    <r>
      <rPr>
        <sz val="11"/>
        <color rgb="FFFF0000"/>
        <rFont val="Calibri"/>
        <family val="2"/>
        <scheme val="minor"/>
      </rPr>
      <t xml:space="preserve"> Nee</t>
    </r>
    <r>
      <rPr>
        <sz val="11"/>
        <color theme="1"/>
        <rFont val="Calibri"/>
        <family val="2"/>
        <scheme val="minor"/>
      </rPr>
      <t xml:space="preserve"> in het gele veld. Als u Ja selecteert, vul dan ook de overige geel gemarkeerde velden in.
</t>
    </r>
  </si>
  <si>
    <t>Versnelde klimaatinvesteringen in de industrie 2023</t>
  </si>
  <si>
    <t>alternatieve energiedrager(s) Vul in welke!</t>
  </si>
  <si>
    <t>terugverdientijd van energiebesparende maatregelen wordt berekend. Met update stcrt-2023-6239.</t>
  </si>
  <si>
    <t>U geeft in het projectplan duidelijk aan welke aannames u gehanteerd heeft en onderbouwt die waar mogelijk.</t>
  </si>
  <si>
    <t>Marginale energieprijs</t>
  </si>
  <si>
    <t>Datum:</t>
  </si>
  <si>
    <r>
      <t xml:space="preserve">Op het </t>
    </r>
    <r>
      <rPr>
        <b/>
        <sz val="11"/>
        <color theme="4"/>
        <rFont val="Calibri"/>
        <family val="2"/>
        <scheme val="minor"/>
      </rPr>
      <t xml:space="preserve">Blauwe tabblad </t>
    </r>
    <r>
      <rPr>
        <sz val="11"/>
        <rFont val="Calibri"/>
        <family val="2"/>
        <scheme val="minor"/>
      </rPr>
      <t>"standaardwaarden"</t>
    </r>
    <r>
      <rPr>
        <sz val="11"/>
        <color rgb="FF000000"/>
        <rFont val="Calibri"/>
        <family val="2"/>
        <scheme val="minor"/>
      </rPr>
      <t xml:space="preserve"> en </t>
    </r>
    <r>
      <rPr>
        <b/>
        <sz val="11"/>
        <color rgb="FFFFFF00"/>
        <rFont val="Calibri"/>
        <family val="2"/>
        <scheme val="minor"/>
      </rPr>
      <t>Gele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FFFF00"/>
        <rFont val="Calibri"/>
        <family val="2"/>
        <scheme val="minor"/>
      </rPr>
      <t>tabblad</t>
    </r>
    <r>
      <rPr>
        <sz val="11"/>
        <color rgb="FF000000"/>
        <rFont val="Calibri"/>
        <family val="2"/>
        <scheme val="minor"/>
      </rPr>
      <t xml:space="preserve"> "rekenblad TVT-toets" zijn de velden die u zelf kunt invullen geel gemarkeerd.</t>
    </r>
  </si>
  <si>
    <t>https://wetten.overheid.nl/BWBR0035474</t>
  </si>
  <si>
    <t>hier</t>
  </si>
  <si>
    <t xml:space="preserve"> </t>
  </si>
  <si>
    <r>
      <t xml:space="preserve">Let op, voor een </t>
    </r>
    <r>
      <rPr>
        <sz val="11"/>
        <color rgb="FFFF0000"/>
        <rFont val="Calibri"/>
        <family val="2"/>
        <scheme val="minor"/>
      </rPr>
      <t>Erkende</t>
    </r>
    <r>
      <rPr>
        <sz val="11"/>
        <color theme="1"/>
        <rFont val="Calibri"/>
        <family val="2"/>
        <scheme val="minor"/>
      </rPr>
      <t xml:space="preserve"> maatregel, kunt u </t>
    </r>
    <r>
      <rPr>
        <sz val="11"/>
        <color rgb="FFFF0000"/>
        <rFont val="Calibri"/>
        <family val="2"/>
        <scheme val="minor"/>
      </rPr>
      <t>geen</t>
    </r>
    <r>
      <rPr>
        <sz val="11"/>
        <color theme="1"/>
        <rFont val="Calibri"/>
        <family val="2"/>
        <scheme val="minor"/>
      </rPr>
      <t xml:space="preserve"> subsidie aanvragen!</t>
    </r>
  </si>
  <si>
    <t xml:space="preserve">Regeling Nationale EZK-en LNV-subsidies: </t>
  </si>
  <si>
    <t>Titel 4.6</t>
  </si>
  <si>
    <t xml:space="preserve">https://wetten.overheid.nl/BWBR0022830/ </t>
  </si>
  <si>
    <t>CO2-heffing (€/ton CO2-eq)</t>
  </si>
  <si>
    <t>ETS-prijs (€/ton CO2-eq)</t>
  </si>
  <si>
    <r>
      <t>Voor bedrijven die ook onder het EU-emissiehandelsysteem vallen (ETS-bedrijven) geldt dat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een minimumprijs is. U gaat in de berekening uit van de hoogste van beide prijzen (CO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-hefing en ETS-prijs). Voor de ETS-prijs is de termijnkoers voor het actuele kalenderjaar het uitgangspunt. Deze prijs is voor 2023 vastgesteld op € 73,27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(Stcrt. 2022, nr 33857). Dat betekent dat een ETS-bedrijf voor elk van de 5 jaar na implementatie van de maatregel in beginsel uitgaat van de volgende groen gearceerde prijzen:</t>
    </r>
  </si>
  <si>
    <r>
      <t>Vermeden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-kosten</t>
    </r>
    <r>
      <rPr>
        <sz val="16"/>
        <color theme="1"/>
        <rFont val="Calibri"/>
        <family val="2"/>
        <scheme val="minor"/>
      </rPr>
      <t xml:space="preserve">: </t>
    </r>
  </si>
  <si>
    <t>De Marginale energieprijzen zijn in dit rekenmodel 2023 aangepast. Na publicatie dient u dan met de nieuwe prijzen te rekenen.</t>
  </si>
  <si>
    <t>jaarlijks afgenomen netto hoeveelheid warmte</t>
  </si>
  <si>
    <t>&lt;= 4.830 GJ</t>
  </si>
  <si>
    <t>4.830 GJ - 28.409 GJ</t>
  </si>
  <si>
    <t>€/GJ</t>
  </si>
  <si>
    <t>28.409 GJ - 284.091</t>
  </si>
  <si>
    <t>&gt; 284.091</t>
  </si>
  <si>
    <t>&gt; 284.091 GJ</t>
  </si>
  <si>
    <t>Warmteverbruik</t>
  </si>
  <si>
    <r>
      <t>Vul het</t>
    </r>
    <r>
      <rPr>
        <b/>
        <sz val="11"/>
        <color theme="1"/>
        <rFont val="Calibri"/>
        <family val="2"/>
        <scheme val="minor"/>
      </rPr>
      <t xml:space="preserve"> totale warmteverbruik</t>
    </r>
    <r>
      <rPr>
        <sz val="11"/>
        <color theme="1"/>
        <rFont val="Calibri"/>
        <family val="2"/>
        <scheme val="minor"/>
      </rPr>
      <t xml:space="preserve"> van uw bedrijf in: Voor en Na invoering van de maatregel.</t>
    </r>
  </si>
  <si>
    <t>GJ</t>
  </si>
  <si>
    <t>Warmte</t>
  </si>
  <si>
    <r>
      <t>Bedrijven die vallen onder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industrie moeten de jaarlijks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 meenemen in de berekening. U bepaalt eerst voor elk van de 5 jaar na implementatie van de maatregel wat de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 zijn per ton CO2-eq. Vervolgens berekent u wat gedurende deze 5 jaar de gemiddelde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-kosten/ton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zijn. Dit gemiddelde gebruikt u bij de berekening van de jaarlijks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-kosten. U gebruikt hierbij het tarief voor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uit artikel 71p van de Wet belastingen op milieugrondslag. Het tarief is € 55,94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in 2023 en wordt tot en met 2030 ieder kalenderjaar verhoogd met € 11,55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-eq. Zie tabel hieronder!</t>
    </r>
  </si>
  <si>
    <t>productopbrengsten</t>
  </si>
  <si>
    <t>Versie 1.4 D  24 aug 2023</t>
  </si>
  <si>
    <t>AGVV (Algemene Groepsvrijstellingsverordening)</t>
  </si>
  <si>
    <t>Erkende maartegelen lijst 2023</t>
  </si>
  <si>
    <t>Klik---&gt;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</si>
</sst>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[$-413]d\ mmmm\ yy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3"/>
      <color indexed="9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9"/>
      <color indexed="9"/>
      <name val="Verdana"/>
      <family val="2"/>
    </font>
    <font>
      <b/>
      <sz val="9"/>
      <color indexed="9"/>
      <name val="Verdana"/>
      <family val="2"/>
    </font>
    <font>
      <b/>
      <sz val="14"/>
      <color theme="5"/>
      <name val="Verdana"/>
      <family val="2"/>
    </font>
    <font>
      <b/>
      <sz val="14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5"/>
      <name val="Verdana"/>
      <family val="2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name val="Verdana"/>
      <family val="2"/>
    </font>
    <font>
      <b/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vertAlign val="subscript"/>
      <sz val="9"/>
      <color theme="1"/>
      <name val="Verdan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rgb="FF154273"/>
      <name val="Arial"/>
      <family val="2"/>
    </font>
    <font>
      <u/>
      <sz val="16"/>
      <color theme="10"/>
      <name val="Calibri"/>
      <family val="2"/>
      <scheme val="minor"/>
    </font>
    <font>
      <sz val="12"/>
      <color theme="1"/>
      <name val="Verdana"/>
      <family val="2"/>
    </font>
    <font>
      <u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4" borderId="28" applyNumberFormat="0" applyAlignment="0" applyProtection="0"/>
    <xf numFmtId="0" fontId="13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0" fillId="3" borderId="5" xfId="0" applyFill="1" applyBorder="1"/>
    <xf numFmtId="0" fontId="0" fillId="3" borderId="6" xfId="0" applyFill="1" applyBorder="1"/>
    <xf numFmtId="0" fontId="0" fillId="0" borderId="7" xfId="0" applyBorder="1"/>
    <xf numFmtId="0" fontId="1" fillId="0" borderId="9" xfId="0" applyFont="1" applyBorder="1"/>
    <xf numFmtId="0" fontId="0" fillId="3" borderId="11" xfId="0" applyFill="1" applyBorder="1"/>
    <xf numFmtId="0" fontId="0" fillId="3" borderId="12" xfId="0" applyFill="1" applyBorder="1"/>
    <xf numFmtId="0" fontId="0" fillId="0" borderId="13" xfId="0" applyBorder="1"/>
    <xf numFmtId="0" fontId="0" fillId="3" borderId="19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3" borderId="23" xfId="0" applyFill="1" applyBorder="1"/>
    <xf numFmtId="0" fontId="0" fillId="0" borderId="24" xfId="0" applyBorder="1"/>
    <xf numFmtId="0" fontId="0" fillId="0" borderId="25" xfId="0" applyBorder="1"/>
    <xf numFmtId="0" fontId="0" fillId="3" borderId="26" xfId="0" applyFill="1" applyBorder="1" applyAlignment="1">
      <alignment horizontal="center"/>
    </xf>
    <xf numFmtId="0" fontId="0" fillId="0" borderId="9" xfId="0" applyBorder="1"/>
    <xf numFmtId="0" fontId="0" fillId="3" borderId="26" xfId="0" applyFill="1" applyBorder="1"/>
    <xf numFmtId="0" fontId="0" fillId="0" borderId="27" xfId="0" applyBorder="1"/>
    <xf numFmtId="0" fontId="0" fillId="0" borderId="0" xfId="0" applyFill="1" applyBorder="1"/>
    <xf numFmtId="0" fontId="0" fillId="6" borderId="4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4" xfId="0" applyBorder="1"/>
    <xf numFmtId="0" fontId="0" fillId="0" borderId="33" xfId="0" applyBorder="1"/>
    <xf numFmtId="0" fontId="0" fillId="0" borderId="34" xfId="0" applyBorder="1"/>
    <xf numFmtId="0" fontId="4" fillId="6" borderId="29" xfId="0" applyFont="1" applyFill="1" applyBorder="1" applyAlignment="1" applyProtection="1">
      <alignment horizontal="center"/>
      <protection hidden="1"/>
    </xf>
    <xf numFmtId="0" fontId="4" fillId="5" borderId="32" xfId="0" applyFont="1" applyFill="1" applyBorder="1" applyAlignment="1" applyProtection="1">
      <alignment horizontal="center"/>
      <protection hidden="1"/>
    </xf>
    <xf numFmtId="0" fontId="4" fillId="5" borderId="29" xfId="0" applyFont="1" applyFill="1" applyBorder="1" applyAlignment="1" applyProtection="1">
      <alignment horizontal="center"/>
      <protection hidden="1"/>
    </xf>
    <xf numFmtId="0" fontId="5" fillId="5" borderId="24" xfId="0" applyFont="1" applyFill="1" applyBorder="1" applyAlignment="1" applyProtection="1">
      <alignment horizontal="center"/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5" fillId="5" borderId="14" xfId="0" applyFont="1" applyFill="1" applyBorder="1" applyAlignment="1" applyProtection="1">
      <alignment horizontal="center"/>
      <protection hidden="1"/>
    </xf>
    <xf numFmtId="3" fontId="3" fillId="4" borderId="35" xfId="2" applyNumberFormat="1" applyBorder="1" applyProtection="1">
      <protection hidden="1"/>
    </xf>
    <xf numFmtId="3" fontId="3" fillId="4" borderId="36" xfId="2" applyNumberFormat="1" applyBorder="1" applyProtection="1">
      <protection hidden="1"/>
    </xf>
    <xf numFmtId="3" fontId="3" fillId="4" borderId="37" xfId="2" applyNumberFormat="1" applyBorder="1" applyProtection="1">
      <protection hidden="1"/>
    </xf>
    <xf numFmtId="165" fontId="0" fillId="0" borderId="4" xfId="1" applyNumberFormat="1" applyFont="1" applyBorder="1"/>
    <xf numFmtId="0" fontId="4" fillId="8" borderId="29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/>
      <protection hidden="1"/>
    </xf>
    <xf numFmtId="0" fontId="5" fillId="8" borderId="24" xfId="0" applyFont="1" applyFill="1" applyBorder="1" applyAlignment="1" applyProtection="1">
      <alignment horizontal="center"/>
      <protection hidden="1"/>
    </xf>
    <xf numFmtId="0" fontId="5" fillId="8" borderId="13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0" fontId="5" fillId="8" borderId="14" xfId="0" applyFont="1" applyFill="1" applyBorder="1" applyAlignment="1" applyProtection="1">
      <alignment horizontal="center"/>
      <protection hidden="1"/>
    </xf>
    <xf numFmtId="0" fontId="0" fillId="8" borderId="4" xfId="0" applyFill="1" applyBorder="1"/>
    <xf numFmtId="0" fontId="0" fillId="0" borderId="23" xfId="0" applyBorder="1"/>
    <xf numFmtId="0" fontId="4" fillId="9" borderId="29" xfId="0" applyFont="1" applyFill="1" applyBorder="1" applyAlignment="1" applyProtection="1">
      <alignment horizontal="center"/>
      <protection hidden="1"/>
    </xf>
    <xf numFmtId="0" fontId="1" fillId="9" borderId="4" xfId="0" applyFont="1" applyFill="1" applyBorder="1"/>
    <xf numFmtId="0" fontId="1" fillId="6" borderId="4" xfId="0" applyFont="1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0" fillId="10" borderId="5" xfId="0" applyFill="1" applyBorder="1"/>
    <xf numFmtId="0" fontId="7" fillId="0" borderId="0" xfId="0" applyFont="1" applyFill="1" applyProtection="1"/>
    <xf numFmtId="0" fontId="8" fillId="0" borderId="0" xfId="0" applyFont="1" applyFill="1" applyBorder="1" applyProtection="1"/>
    <xf numFmtId="0" fontId="16" fillId="0" borderId="0" xfId="0" applyFont="1" applyAlignment="1">
      <alignment horizontal="right"/>
    </xf>
    <xf numFmtId="3" fontId="0" fillId="7" borderId="2" xfId="0" applyNumberFormat="1" applyFill="1" applyBorder="1" applyProtection="1">
      <protection locked="0"/>
    </xf>
    <xf numFmtId="3" fontId="0" fillId="7" borderId="0" xfId="0" applyNumberFormat="1" applyFill="1" applyBorder="1" applyProtection="1">
      <protection locked="0"/>
    </xf>
    <xf numFmtId="3" fontId="0" fillId="7" borderId="1" xfId="0" applyNumberFormat="1" applyFill="1" applyBorder="1" applyProtection="1">
      <protection locked="0"/>
    </xf>
    <xf numFmtId="3" fontId="0" fillId="7" borderId="3" xfId="0" applyNumberFormat="1" applyFill="1" applyBorder="1" applyProtection="1">
      <protection locked="0"/>
    </xf>
    <xf numFmtId="3" fontId="0" fillId="7" borderId="8" xfId="0" applyNumberFormat="1" applyFill="1" applyBorder="1" applyProtection="1">
      <protection locked="0"/>
    </xf>
    <xf numFmtId="3" fontId="3" fillId="7" borderId="35" xfId="2" applyNumberFormat="1" applyFill="1" applyBorder="1" applyProtection="1">
      <protection locked="0"/>
    </xf>
    <xf numFmtId="0" fontId="0" fillId="0" borderId="1" xfId="0" applyBorder="1"/>
    <xf numFmtId="0" fontId="0" fillId="11" borderId="1" xfId="0" applyFill="1" applyBorder="1"/>
    <xf numFmtId="0" fontId="0" fillId="12" borderId="1" xfId="0" applyFill="1" applyBorder="1"/>
    <xf numFmtId="43" fontId="0" fillId="0" borderId="25" xfId="1" applyFont="1" applyBorder="1"/>
    <xf numFmtId="0" fontId="0" fillId="11" borderId="40" xfId="0" applyFill="1" applyBorder="1"/>
    <xf numFmtId="0" fontId="0" fillId="0" borderId="39" xfId="0" applyBorder="1" applyAlignment="1">
      <alignment wrapText="1"/>
    </xf>
    <xf numFmtId="0" fontId="0" fillId="11" borderId="1" xfId="0" applyFill="1" applyBorder="1" applyAlignment="1">
      <alignment wrapText="1"/>
    </xf>
    <xf numFmtId="0" fontId="19" fillId="0" borderId="0" xfId="0" applyFont="1"/>
    <xf numFmtId="43" fontId="19" fillId="0" borderId="1" xfId="1" applyFont="1" applyBorder="1"/>
    <xf numFmtId="0" fontId="0" fillId="0" borderId="29" xfId="0" applyBorder="1"/>
    <xf numFmtId="0" fontId="0" fillId="3" borderId="41" xfId="0" applyFill="1" applyBorder="1" applyAlignment="1">
      <alignment horizontal="center"/>
    </xf>
    <xf numFmtId="43" fontId="19" fillId="0" borderId="1" xfId="1" applyFont="1" applyBorder="1" applyProtection="1"/>
    <xf numFmtId="0" fontId="0" fillId="7" borderId="1" xfId="0" applyFill="1" applyBorder="1" applyAlignment="1" applyProtection="1">
      <alignment wrapText="1"/>
      <protection locked="0"/>
    </xf>
    <xf numFmtId="0" fontId="1" fillId="0" borderId="21" xfId="0" applyFont="1" applyBorder="1"/>
    <xf numFmtId="0" fontId="0" fillId="10" borderId="38" xfId="0" applyFont="1" applyFill="1" applyBorder="1"/>
    <xf numFmtId="0" fontId="17" fillId="0" borderId="0" xfId="0" applyFont="1" applyAlignment="1">
      <alignment horizontal="right"/>
    </xf>
    <xf numFmtId="43" fontId="0" fillId="13" borderId="1" xfId="1" applyNumberFormat="1" applyFont="1" applyFill="1" applyBorder="1" applyProtection="1">
      <protection locked="0"/>
    </xf>
    <xf numFmtId="0" fontId="0" fillId="0" borderId="0" xfId="0" applyFill="1" applyBorder="1" applyAlignment="1">
      <alignment wrapText="1"/>
    </xf>
    <xf numFmtId="165" fontId="4" fillId="8" borderId="30" xfId="1" applyNumberFormat="1" applyFont="1" applyFill="1" applyBorder="1" applyAlignment="1" applyProtection="1">
      <alignment horizontal="center"/>
      <protection hidden="1"/>
    </xf>
    <xf numFmtId="165" fontId="4" fillId="8" borderId="31" xfId="1" applyNumberFormat="1" applyFont="1" applyFill="1" applyBorder="1" applyAlignment="1" applyProtection="1">
      <alignment horizontal="center"/>
      <protection hidden="1"/>
    </xf>
    <xf numFmtId="165" fontId="4" fillId="8" borderId="31" xfId="1" quotePrefix="1" applyNumberFormat="1" applyFont="1" applyFill="1" applyBorder="1" applyAlignment="1" applyProtection="1">
      <alignment horizontal="center"/>
      <protection hidden="1"/>
    </xf>
    <xf numFmtId="165" fontId="4" fillId="5" borderId="30" xfId="1" applyNumberFormat="1" applyFont="1" applyFill="1" applyBorder="1" applyAlignment="1" applyProtection="1">
      <alignment horizontal="center"/>
      <protection hidden="1"/>
    </xf>
    <xf numFmtId="165" fontId="4" fillId="5" borderId="31" xfId="1" applyNumberFormat="1" applyFont="1" applyFill="1" applyBorder="1" applyAlignment="1" applyProtection="1">
      <alignment horizontal="center"/>
      <protection hidden="1"/>
    </xf>
    <xf numFmtId="165" fontId="4" fillId="5" borderId="31" xfId="1" quotePrefix="1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0" fontId="12" fillId="0" borderId="0" xfId="0" applyFont="1" applyFill="1" applyProtection="1"/>
    <xf numFmtId="0" fontId="11" fillId="0" borderId="0" xfId="0" applyFont="1" applyFill="1" applyProtection="1"/>
    <xf numFmtId="0" fontId="9" fillId="0" borderId="0" xfId="0" applyFont="1" applyFill="1" applyProtection="1"/>
    <xf numFmtId="0" fontId="10" fillId="0" borderId="0" xfId="0" applyFont="1" applyFill="1" applyProtection="1"/>
    <xf numFmtId="0" fontId="9" fillId="0" borderId="0" xfId="0" applyFont="1" applyFill="1" applyBorder="1" applyProtection="1"/>
    <xf numFmtId="0" fontId="15" fillId="0" borderId="0" xfId="0" applyFont="1" applyFill="1"/>
    <xf numFmtId="0" fontId="6" fillId="0" borderId="0" xfId="0" applyFont="1" applyFill="1" applyProtection="1"/>
    <xf numFmtId="165" fontId="0" fillId="0" borderId="0" xfId="1" applyNumberFormat="1" applyFont="1" applyBorder="1"/>
    <xf numFmtId="43" fontId="0" fillId="0" borderId="0" xfId="1" applyFont="1" applyBorder="1"/>
    <xf numFmtId="3" fontId="0" fillId="7" borderId="39" xfId="0" applyNumberFormat="1" applyFill="1" applyBorder="1" applyProtection="1">
      <protection locked="0"/>
    </xf>
    <xf numFmtId="43" fontId="0" fillId="0" borderId="0" xfId="1" applyNumberFormat="1" applyFont="1" applyFill="1" applyBorder="1" applyProtection="1">
      <protection locked="0"/>
    </xf>
    <xf numFmtId="0" fontId="0" fillId="0" borderId="0" xfId="0" applyProtection="1">
      <protection hidden="1"/>
    </xf>
    <xf numFmtId="3" fontId="0" fillId="0" borderId="2" xfId="0" applyNumberFormat="1" applyFill="1" applyBorder="1" applyProtection="1">
      <protection hidden="1"/>
    </xf>
    <xf numFmtId="3" fontId="0" fillId="0" borderId="14" xfId="0" applyNumberFormat="1" applyBorder="1" applyProtection="1">
      <protection hidden="1"/>
    </xf>
    <xf numFmtId="3" fontId="0" fillId="0" borderId="1" xfId="0" applyNumberFormat="1" applyFill="1" applyBorder="1" applyProtection="1">
      <protection hidden="1"/>
    </xf>
    <xf numFmtId="3" fontId="0" fillId="0" borderId="15" xfId="0" applyNumberFormat="1" applyBorder="1" applyProtection="1">
      <protection hidden="1"/>
    </xf>
    <xf numFmtId="3" fontId="1" fillId="0" borderId="17" xfId="0" applyNumberFormat="1" applyFont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0" borderId="8" xfId="0" applyNumberFormat="1" applyBorder="1" applyProtection="1">
      <protection hidden="1"/>
    </xf>
    <xf numFmtId="3" fontId="1" fillId="0" borderId="22" xfId="0" applyNumberFormat="1" applyFont="1" applyBorder="1" applyProtection="1">
      <protection hidden="1"/>
    </xf>
    <xf numFmtId="3" fontId="1" fillId="0" borderId="38" xfId="0" applyNumberFormat="1" applyFont="1" applyBorder="1" applyProtection="1">
      <protection hidden="1"/>
    </xf>
    <xf numFmtId="3" fontId="1" fillId="0" borderId="20" xfId="0" applyNumberFormat="1" applyFont="1" applyBorder="1" applyProtection="1">
      <protection hidden="1"/>
    </xf>
    <xf numFmtId="164" fontId="1" fillId="0" borderId="10" xfId="0" applyNumberFormat="1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0" fillId="0" borderId="3" xfId="0" applyBorder="1"/>
    <xf numFmtId="0" fontId="1" fillId="0" borderId="33" xfId="0" applyFont="1" applyBorder="1"/>
    <xf numFmtId="0" fontId="0" fillId="10" borderId="19" xfId="0" applyFill="1" applyBorder="1"/>
    <xf numFmtId="0" fontId="0" fillId="2" borderId="19" xfId="0" applyFill="1" applyBorder="1"/>
    <xf numFmtId="0" fontId="0" fillId="0" borderId="1" xfId="0" applyBorder="1" applyProtection="1">
      <protection hidden="1"/>
    </xf>
    <xf numFmtId="0" fontId="6" fillId="0" borderId="31" xfId="0" applyFont="1" applyFill="1" applyBorder="1" applyProtection="1"/>
    <xf numFmtId="0" fontId="0" fillId="0" borderId="31" xfId="0" applyFill="1" applyBorder="1"/>
    <xf numFmtId="0" fontId="0" fillId="0" borderId="32" xfId="0" applyFill="1" applyBorder="1"/>
    <xf numFmtId="0" fontId="0" fillId="0" borderId="13" xfId="0" applyFill="1" applyBorder="1"/>
    <xf numFmtId="0" fontId="0" fillId="0" borderId="14" xfId="0" applyFill="1" applyBorder="1"/>
    <xf numFmtId="0" fontId="14" fillId="0" borderId="13" xfId="0" applyFont="1" applyFill="1" applyBorder="1" applyProtection="1"/>
    <xf numFmtId="0" fontId="13" fillId="0" borderId="0" xfId="3" applyBorder="1"/>
    <xf numFmtId="0" fontId="7" fillId="0" borderId="0" xfId="0" applyFont="1" applyFill="1" applyBorder="1" applyProtection="1"/>
    <xf numFmtId="0" fontId="13" fillId="0" borderId="0" xfId="3" applyFill="1" applyBorder="1" applyAlignment="1" applyProtection="1">
      <alignment horizontal="left"/>
    </xf>
    <xf numFmtId="0" fontId="0" fillId="0" borderId="9" xfId="0" applyFill="1" applyBorder="1"/>
    <xf numFmtId="0" fontId="0" fillId="0" borderId="33" xfId="0" applyFill="1" applyBorder="1"/>
    <xf numFmtId="0" fontId="0" fillId="0" borderId="34" xfId="0" applyFill="1" applyBorder="1"/>
    <xf numFmtId="0" fontId="0" fillId="14" borderId="0" xfId="0" applyFill="1"/>
    <xf numFmtId="0" fontId="25" fillId="0" borderId="0" xfId="0" applyFont="1"/>
    <xf numFmtId="166" fontId="0" fillId="7" borderId="1" xfId="0" applyNumberFormat="1" applyFill="1" applyBorder="1" applyAlignment="1" applyProtection="1">
      <alignment horizontal="left" wrapText="1"/>
      <protection locked="0"/>
    </xf>
    <xf numFmtId="0" fontId="15" fillId="0" borderId="0" xfId="0" applyFont="1" applyFill="1" applyAlignment="1"/>
    <xf numFmtId="0" fontId="0" fillId="0" borderId="0" xfId="0" applyFill="1" applyAlignment="1"/>
    <xf numFmtId="0" fontId="24" fillId="0" borderId="30" xfId="0" applyFont="1" applyFill="1" applyBorder="1"/>
    <xf numFmtId="0" fontId="15" fillId="0" borderId="13" xfId="0" applyFont="1" applyFill="1" applyBorder="1"/>
    <xf numFmtId="0" fontId="15" fillId="0" borderId="9" xfId="0" applyFont="1" applyFill="1" applyBorder="1"/>
    <xf numFmtId="0" fontId="22" fillId="0" borderId="30" xfId="0" applyFont="1" applyFill="1" applyBorder="1" applyProtection="1"/>
    <xf numFmtId="0" fontId="27" fillId="0" borderId="0" xfId="0" applyFont="1" applyFill="1" applyProtection="1"/>
    <xf numFmtId="0" fontId="13" fillId="0" borderId="0" xfId="3"/>
    <xf numFmtId="0" fontId="14" fillId="0" borderId="13" xfId="0" applyFont="1" applyFill="1" applyBorder="1" applyAlignment="1" applyProtection="1">
      <alignment vertical="top"/>
    </xf>
    <xf numFmtId="0" fontId="29" fillId="0" borderId="33" xfId="0" applyFont="1" applyFill="1" applyBorder="1"/>
    <xf numFmtId="0" fontId="0" fillId="0" borderId="44" xfId="0" applyBorder="1"/>
    <xf numFmtId="0" fontId="16" fillId="0" borderId="39" xfId="0" applyFont="1" applyBorder="1" applyAlignment="1">
      <alignment horizontal="right"/>
    </xf>
    <xf numFmtId="0" fontId="1" fillId="0" borderId="16" xfId="0" applyFont="1" applyBorder="1"/>
    <xf numFmtId="0" fontId="0" fillId="10" borderId="4" xfId="0" applyFont="1" applyFill="1" applyBorder="1"/>
    <xf numFmtId="0" fontId="1" fillId="0" borderId="13" xfId="0" applyFont="1" applyBorder="1"/>
    <xf numFmtId="0" fontId="13" fillId="0" borderId="0" xfId="3" applyAlignment="1">
      <alignment vertical="center"/>
    </xf>
    <xf numFmtId="0" fontId="0" fillId="0" borderId="1" xfId="0" applyFill="1" applyBorder="1" applyAlignment="1">
      <alignment wrapText="1"/>
    </xf>
    <xf numFmtId="0" fontId="15" fillId="0" borderId="0" xfId="0" applyFont="1" applyFill="1" applyBorder="1"/>
    <xf numFmtId="0" fontId="31" fillId="0" borderId="4" xfId="0" applyFont="1" applyBorder="1" applyAlignment="1">
      <alignment vertical="center"/>
    </xf>
    <xf numFmtId="0" fontId="32" fillId="0" borderId="38" xfId="0" applyFont="1" applyBorder="1" applyAlignment="1">
      <alignment horizontal="right" vertical="center"/>
    </xf>
    <xf numFmtId="0" fontId="31" fillId="0" borderId="27" xfId="0" applyFont="1" applyBorder="1" applyAlignment="1">
      <alignment vertical="center"/>
    </xf>
    <xf numFmtId="0" fontId="31" fillId="0" borderId="34" xfId="0" applyFont="1" applyBorder="1" applyAlignment="1">
      <alignment horizontal="right" vertical="center"/>
    </xf>
    <xf numFmtId="0" fontId="31" fillId="15" borderId="34" xfId="0" applyFont="1" applyFill="1" applyBorder="1" applyAlignment="1">
      <alignment horizontal="right" vertical="center"/>
    </xf>
    <xf numFmtId="0" fontId="0" fillId="0" borderId="45" xfId="0" applyBorder="1"/>
    <xf numFmtId="0" fontId="25" fillId="0" borderId="30" xfId="0" applyFont="1" applyBorder="1" applyAlignment="1">
      <alignment vertical="center"/>
    </xf>
    <xf numFmtId="0" fontId="28" fillId="0" borderId="13" xfId="0" applyFont="1" applyBorder="1" applyAlignment="1">
      <alignment horizontal="left" vertical="center" indent="4"/>
    </xf>
    <xf numFmtId="0" fontId="28" fillId="0" borderId="13" xfId="0" applyFont="1" applyBorder="1" applyAlignment="1">
      <alignment vertical="center"/>
    </xf>
    <xf numFmtId="0" fontId="28" fillId="0" borderId="13" xfId="0" applyFont="1" applyBorder="1" applyAlignment="1">
      <alignment horizontal="left" vertical="center" indent="1"/>
    </xf>
    <xf numFmtId="0" fontId="3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1" fillId="12" borderId="4" xfId="0" applyFont="1" applyFill="1" applyBorder="1"/>
    <xf numFmtId="0" fontId="4" fillId="12" borderId="29" xfId="0" applyFont="1" applyFill="1" applyBorder="1" applyAlignment="1" applyProtection="1">
      <alignment horizontal="center"/>
      <protection hidden="1"/>
    </xf>
    <xf numFmtId="165" fontId="4" fillId="12" borderId="30" xfId="1" applyNumberFormat="1" applyFont="1" applyFill="1" applyBorder="1" applyAlignment="1" applyProtection="1">
      <alignment horizontal="center"/>
      <protection hidden="1"/>
    </xf>
    <xf numFmtId="165" fontId="4" fillId="12" borderId="31" xfId="1" applyNumberFormat="1" applyFont="1" applyFill="1" applyBorder="1" applyAlignment="1" applyProtection="1">
      <alignment horizontal="center"/>
      <protection hidden="1"/>
    </xf>
    <xf numFmtId="165" fontId="4" fillId="12" borderId="31" xfId="1" quotePrefix="1" applyNumberFormat="1" applyFont="1" applyFill="1" applyBorder="1" applyAlignment="1" applyProtection="1">
      <alignment horizontal="center"/>
      <protection hidden="1"/>
    </xf>
    <xf numFmtId="0" fontId="4" fillId="12" borderId="32" xfId="0" applyFont="1" applyFill="1" applyBorder="1" applyAlignment="1" applyProtection="1">
      <alignment horizontal="center"/>
      <protection hidden="1"/>
    </xf>
    <xf numFmtId="0" fontId="5" fillId="12" borderId="24" xfId="0" applyFont="1" applyFill="1" applyBorder="1" applyAlignment="1" applyProtection="1">
      <alignment horizontal="center"/>
      <protection hidden="1"/>
    </xf>
    <xf numFmtId="0" fontId="5" fillId="12" borderId="13" xfId="0" applyFont="1" applyFill="1" applyBorder="1" applyAlignment="1" applyProtection="1">
      <alignment horizontal="center"/>
      <protection hidden="1"/>
    </xf>
    <xf numFmtId="0" fontId="5" fillId="12" borderId="0" xfId="0" applyFont="1" applyFill="1" applyBorder="1" applyAlignment="1" applyProtection="1">
      <alignment horizontal="center"/>
      <protection hidden="1"/>
    </xf>
    <xf numFmtId="0" fontId="5" fillId="12" borderId="14" xfId="0" applyFont="1" applyFill="1" applyBorder="1" applyAlignment="1" applyProtection="1">
      <alignment horizontal="center"/>
      <protection hidden="1"/>
    </xf>
    <xf numFmtId="0" fontId="0" fillId="12" borderId="4" xfId="0" applyFill="1" applyBorder="1"/>
    <xf numFmtId="0" fontId="0" fillId="7" borderId="40" xfId="0" applyFill="1" applyBorder="1" applyProtection="1">
      <protection locked="0"/>
    </xf>
    <xf numFmtId="0" fontId="0" fillId="0" borderId="39" xfId="0" applyBorder="1"/>
    <xf numFmtId="3" fontId="0" fillId="0" borderId="47" xfId="0" applyNumberFormat="1" applyFill="1" applyBorder="1" applyProtection="1">
      <protection hidden="1"/>
    </xf>
    <xf numFmtId="0" fontId="0" fillId="0" borderId="46" xfId="0" applyBorder="1"/>
    <xf numFmtId="0" fontId="18" fillId="7" borderId="4" xfId="0" applyFont="1" applyFill="1" applyBorder="1" applyAlignment="1" applyProtection="1">
      <alignment horizontal="center"/>
      <protection locked="0"/>
    </xf>
    <xf numFmtId="0" fontId="28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36" fillId="0" borderId="0" xfId="3" applyFont="1" applyAlignment="1">
      <alignment vertical="top"/>
    </xf>
    <xf numFmtId="0" fontId="36" fillId="0" borderId="33" xfId="3" applyFont="1" applyBorder="1"/>
    <xf numFmtId="0" fontId="37" fillId="0" borderId="0" xfId="0" applyFont="1" applyAlignment="1">
      <alignment vertical="center"/>
    </xf>
    <xf numFmtId="0" fontId="38" fillId="0" borderId="0" xfId="3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wrapText="1"/>
    </xf>
  </cellXfs>
  <cellStyles count="4">
    <cellStyle name="Berekening" xfId="2" builtinId="22"/>
    <cellStyle name="Hyperlink" xfId="3" builtinId="8"/>
    <cellStyle name="Komma" xfId="1" builtinId="3"/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  <color rgb="FFD9E1F2"/>
      <color rgb="FFED7D31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28575</xdr:rowOff>
    </xdr:from>
    <xdr:to>
      <xdr:col>15</xdr:col>
      <xdr:colOff>110940</xdr:colOff>
      <xdr:row>8</xdr:row>
      <xdr:rowOff>87518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BF8635-BE3B-406A-A122-DC626FF5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28575"/>
          <a:ext cx="5400675" cy="15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eur-lex.europa.eu/legal-content/NL/TXT/?uri=CELEX%3A02014R0651-20230701&amp;qid=169105374993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rvo.nl/subsidies-financiering/veki" TargetMode="External"/><Relationship Id="rId1" Type="http://schemas.openxmlformats.org/officeDocument/2006/relationships/hyperlink" Target="https://www.rvo.nl/subsidies-regelingen/klimaatinvesteringen-industrie" TargetMode="External"/><Relationship Id="rId6" Type="http://schemas.openxmlformats.org/officeDocument/2006/relationships/hyperlink" Target="https://wetten.overheid.nl/BWBR0022830/" TargetMode="External"/><Relationship Id="rId5" Type="http://schemas.openxmlformats.org/officeDocument/2006/relationships/hyperlink" Target="http://www.rvo.nl/eml" TargetMode="External"/><Relationship Id="rId4" Type="http://schemas.openxmlformats.org/officeDocument/2006/relationships/hyperlink" Target="https://wetten.overheid.nl/BWBR00354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1144-9623-44DC-B36B-87A8E77E1947}">
  <sheetPr codeName="Blad1">
    <tabColor rgb="FF00B0F0"/>
  </sheetPr>
  <dimension ref="A1:AN52"/>
  <sheetViews>
    <sheetView showGridLines="0" tabSelected="1" zoomScale="85" zoomScaleNormal="85" workbookViewId="0">
      <selection activeCell="I25" sqref="I25"/>
    </sheetView>
  </sheetViews>
  <sheetFormatPr defaultColWidth="9.1328125" defaultRowHeight="14.25" x14ac:dyDescent="0.45"/>
  <cols>
    <col min="1" max="1" width="4" style="89" customWidth="1"/>
    <col min="2" max="2" width="23.59765625" style="89" customWidth="1"/>
    <col min="3" max="4" width="9.1328125" style="89"/>
    <col min="5" max="5" width="11" style="89" customWidth="1"/>
    <col min="6" max="6" width="11.86328125" style="89" customWidth="1"/>
    <col min="7" max="8" width="9.1328125" style="89"/>
    <col min="9" max="9" width="6.06640625" style="89" customWidth="1"/>
    <col min="10" max="14" width="9.1328125" style="89"/>
    <col min="15" max="15" width="12.3984375" style="89" customWidth="1"/>
    <col min="16" max="16" width="12.265625" style="89" customWidth="1"/>
    <col min="17" max="16384" width="9.1328125" style="89"/>
  </cols>
  <sheetData>
    <row r="1" spans="1:40" ht="9.6" customHeight="1" x14ac:dyDescent="0.45"/>
    <row r="2" spans="1:40" ht="7.9" customHeight="1" x14ac:dyDescent="0.45"/>
    <row r="3" spans="1:40" ht="20.25" customHeight="1" x14ac:dyDescent="0.45">
      <c r="B3" s="90" t="s">
        <v>82</v>
      </c>
      <c r="P3" s="89" t="s">
        <v>132</v>
      </c>
    </row>
    <row r="4" spans="1:40" ht="17.649999999999999" x14ac:dyDescent="0.45">
      <c r="B4" s="91" t="s">
        <v>100</v>
      </c>
    </row>
    <row r="8" spans="1:40" s="56" customFormat="1" ht="21" x14ac:dyDescent="0.65">
      <c r="A8" s="92"/>
      <c r="B8" s="141" t="s">
        <v>54</v>
      </c>
      <c r="C8" s="92"/>
      <c r="D8" s="93"/>
      <c r="E8" s="93"/>
      <c r="F8" s="92"/>
      <c r="G8" s="94"/>
      <c r="H8" s="92"/>
      <c r="I8" s="92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</row>
    <row r="10" spans="1:40" x14ac:dyDescent="0.45">
      <c r="B10" s="89" t="s">
        <v>78</v>
      </c>
    </row>
    <row r="11" spans="1:40" x14ac:dyDescent="0.45">
      <c r="B11" s="89" t="s">
        <v>102</v>
      </c>
    </row>
    <row r="12" spans="1:40" x14ac:dyDescent="0.45">
      <c r="B12" s="89" t="s">
        <v>81</v>
      </c>
    </row>
    <row r="13" spans="1:40" x14ac:dyDescent="0.45">
      <c r="B13" s="89" t="s">
        <v>58</v>
      </c>
    </row>
    <row r="15" spans="1:40" x14ac:dyDescent="0.45">
      <c r="B15" s="132" t="s">
        <v>106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40" x14ac:dyDescent="0.45">
      <c r="B16" s="95" t="s">
        <v>57</v>
      </c>
    </row>
    <row r="17" spans="2:16" x14ac:dyDescent="0.45">
      <c r="B17" s="95" t="s">
        <v>59</v>
      </c>
    </row>
    <row r="18" spans="2:16" x14ac:dyDescent="0.45">
      <c r="B18" s="95" t="s">
        <v>60</v>
      </c>
    </row>
    <row r="19" spans="2:16" x14ac:dyDescent="0.45">
      <c r="B19" s="95" t="s">
        <v>61</v>
      </c>
    </row>
    <row r="20" spans="2:16" x14ac:dyDescent="0.45">
      <c r="B20" s="95" t="s">
        <v>62</v>
      </c>
    </row>
    <row r="21" spans="2:16" x14ac:dyDescent="0.45">
      <c r="B21" s="95" t="s">
        <v>63</v>
      </c>
    </row>
    <row r="22" spans="2:16" x14ac:dyDescent="0.45">
      <c r="B22" s="95" t="s">
        <v>64</v>
      </c>
    </row>
    <row r="23" spans="2:16" ht="14.65" thickBot="1" x14ac:dyDescent="0.5">
      <c r="B23" s="95"/>
    </row>
    <row r="24" spans="2:16" ht="21" x14ac:dyDescent="0.65">
      <c r="B24" s="137" t="s">
        <v>104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/>
    </row>
    <row r="25" spans="2:16" x14ac:dyDescent="0.45">
      <c r="B25" s="138" t="s">
        <v>118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4"/>
    </row>
    <row r="26" spans="2:16" x14ac:dyDescent="0.45">
      <c r="B26" s="13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24"/>
    </row>
    <row r="27" spans="2:16" ht="14.65" thickBot="1" x14ac:dyDescent="0.5">
      <c r="B27" s="13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1"/>
    </row>
    <row r="28" spans="2:16" x14ac:dyDescent="0.45">
      <c r="B28" s="15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ht="14.65" thickBot="1" x14ac:dyDescent="0.5">
      <c r="B29" s="15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2:16" ht="24" x14ac:dyDescent="0.45">
      <c r="B30" s="159" t="s">
        <v>117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22"/>
    </row>
    <row r="31" spans="2:16" ht="55.15" customHeight="1" x14ac:dyDescent="0.45">
      <c r="B31" s="181" t="s">
        <v>130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</row>
    <row r="32" spans="2:16" ht="57.4" customHeight="1" x14ac:dyDescent="0.45">
      <c r="B32" s="181" t="s">
        <v>116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3"/>
    </row>
    <row r="33" spans="1:27" ht="14.65" thickBot="1" x14ac:dyDescent="0.5">
      <c r="B33" s="16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24"/>
    </row>
    <row r="34" spans="1:27" ht="14.65" thickBot="1" x14ac:dyDescent="0.5">
      <c r="B34" s="153"/>
      <c r="C34" s="154">
        <v>2023</v>
      </c>
      <c r="D34" s="154">
        <v>2024</v>
      </c>
      <c r="E34" s="154">
        <v>2025</v>
      </c>
      <c r="F34" s="154">
        <v>2026</v>
      </c>
      <c r="G34" s="154">
        <v>2027</v>
      </c>
      <c r="H34" s="154">
        <v>2028</v>
      </c>
      <c r="I34" s="154">
        <v>2029</v>
      </c>
      <c r="J34" s="154">
        <v>2030</v>
      </c>
      <c r="K34" s="154">
        <v>2031</v>
      </c>
      <c r="L34" s="154">
        <v>2032</v>
      </c>
      <c r="M34" s="154">
        <v>2033</v>
      </c>
      <c r="N34" s="154">
        <v>2034</v>
      </c>
      <c r="O34" s="154">
        <v>2035</v>
      </c>
      <c r="P34" s="124"/>
    </row>
    <row r="35" spans="1:27" ht="14.65" thickBot="1" x14ac:dyDescent="0.5">
      <c r="B35" s="155" t="s">
        <v>114</v>
      </c>
      <c r="C35" s="156">
        <v>55.94</v>
      </c>
      <c r="D35" s="156">
        <v>67.489999999999995</v>
      </c>
      <c r="E35" s="157">
        <v>79.040000000000006</v>
      </c>
      <c r="F35" s="157">
        <v>90.59</v>
      </c>
      <c r="G35" s="157">
        <v>102.14</v>
      </c>
      <c r="H35" s="157">
        <v>113.69</v>
      </c>
      <c r="I35" s="157">
        <v>125.24</v>
      </c>
      <c r="J35" s="157">
        <v>136.79</v>
      </c>
      <c r="K35" s="157">
        <v>136.79</v>
      </c>
      <c r="L35" s="157">
        <v>136.79</v>
      </c>
      <c r="M35" s="157">
        <v>136.79</v>
      </c>
      <c r="N35" s="157">
        <v>136.79</v>
      </c>
      <c r="O35" s="157">
        <v>136.79</v>
      </c>
      <c r="P35" s="124"/>
    </row>
    <row r="36" spans="1:27" ht="14.65" thickBot="1" x14ac:dyDescent="0.5">
      <c r="B36" s="155" t="s">
        <v>115</v>
      </c>
      <c r="C36" s="157">
        <v>73.27</v>
      </c>
      <c r="D36" s="157">
        <v>73.27</v>
      </c>
      <c r="E36" s="156">
        <v>73.27</v>
      </c>
      <c r="F36" s="156">
        <v>73.27</v>
      </c>
      <c r="G36" s="156">
        <v>73.27</v>
      </c>
      <c r="H36" s="156">
        <v>73.27</v>
      </c>
      <c r="I36" s="156">
        <v>73.27</v>
      </c>
      <c r="J36" s="156">
        <v>73.27</v>
      </c>
      <c r="K36" s="156">
        <v>73.27</v>
      </c>
      <c r="L36" s="156">
        <v>73.27</v>
      </c>
      <c r="M36" s="156">
        <v>73.27</v>
      </c>
      <c r="N36" s="156">
        <v>73.27</v>
      </c>
      <c r="O36" s="156">
        <v>73.27</v>
      </c>
      <c r="P36" s="124"/>
    </row>
    <row r="37" spans="1:27" x14ac:dyDescent="0.45">
      <c r="B37" s="16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24"/>
    </row>
    <row r="38" spans="1:27" x14ac:dyDescent="0.45">
      <c r="B38" s="162" t="s">
        <v>103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24"/>
    </row>
    <row r="39" spans="1:27" ht="14.65" thickBot="1" x14ac:dyDescent="0.5">
      <c r="B39" s="13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1"/>
    </row>
    <row r="40" spans="1:27" ht="14.65" thickBot="1" x14ac:dyDescent="0.5">
      <c r="B40" s="135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1:27" s="56" customFormat="1" ht="16.5" x14ac:dyDescent="0.45">
      <c r="A41" s="96"/>
      <c r="B41" s="140" t="s">
        <v>53</v>
      </c>
      <c r="C41" s="120"/>
      <c r="D41" s="120"/>
      <c r="E41" s="120"/>
      <c r="F41" s="120"/>
      <c r="G41" s="120"/>
      <c r="H41" s="120"/>
      <c r="I41" s="120"/>
      <c r="J41" s="121"/>
      <c r="K41" s="121"/>
      <c r="L41" s="121"/>
      <c r="M41" s="121"/>
      <c r="N41" s="121"/>
      <c r="O41" s="121"/>
      <c r="P41" s="122"/>
      <c r="Q41" s="21"/>
      <c r="R41" s="21"/>
      <c r="S41" s="89"/>
      <c r="T41" s="89"/>
      <c r="X41" s="57"/>
      <c r="Y41" s="57"/>
      <c r="Z41" s="57"/>
      <c r="AA41" s="57"/>
    </row>
    <row r="42" spans="1:27" x14ac:dyDescent="0.45">
      <c r="B42" s="123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24"/>
      <c r="Q42" s="21"/>
      <c r="R42" s="21"/>
    </row>
    <row r="43" spans="1:27" x14ac:dyDescent="0.45">
      <c r="B43" s="125" t="s">
        <v>98</v>
      </c>
      <c r="C43" s="21"/>
      <c r="D43" s="21"/>
      <c r="E43" s="21"/>
      <c r="F43" s="21"/>
      <c r="G43" s="21"/>
      <c r="H43" s="150" t="s">
        <v>113</v>
      </c>
      <c r="I43" s="21"/>
      <c r="J43" s="21"/>
      <c r="K43" s="21"/>
      <c r="L43" s="21"/>
      <c r="M43" s="21"/>
      <c r="N43" s="21"/>
      <c r="O43" s="21"/>
      <c r="P43" s="124"/>
      <c r="Q43" s="21"/>
      <c r="R43" s="21"/>
    </row>
    <row r="44" spans="1:27" x14ac:dyDescent="0.45">
      <c r="B44" s="125" t="s">
        <v>65</v>
      </c>
      <c r="C44" s="127"/>
      <c r="D44" s="127"/>
      <c r="E44" s="127"/>
      <c r="F44" s="127"/>
      <c r="G44" s="127"/>
      <c r="H44" s="21"/>
      <c r="I44" s="21"/>
      <c r="J44" s="21"/>
      <c r="K44" s="21"/>
      <c r="L44" s="21"/>
      <c r="M44" s="21"/>
      <c r="N44" s="21"/>
      <c r="O44" s="21"/>
      <c r="P44" s="124"/>
      <c r="Q44" s="21"/>
      <c r="R44" s="21"/>
    </row>
    <row r="45" spans="1:27" x14ac:dyDescent="0.45">
      <c r="B45" s="125" t="s">
        <v>55</v>
      </c>
      <c r="C45" s="127"/>
      <c r="D45" s="127"/>
      <c r="E45" s="127"/>
      <c r="F45" s="127"/>
      <c r="G45" s="127"/>
      <c r="H45" s="126" t="s">
        <v>97</v>
      </c>
      <c r="I45" s="127"/>
      <c r="J45" s="21"/>
      <c r="K45" s="21"/>
      <c r="L45" s="21"/>
      <c r="M45" s="21"/>
      <c r="N45" s="21"/>
      <c r="O45" s="21"/>
      <c r="P45" s="124"/>
      <c r="Q45" s="21"/>
      <c r="R45" s="21"/>
    </row>
    <row r="46" spans="1:27" x14ac:dyDescent="0.45">
      <c r="B46" s="125" t="s">
        <v>56</v>
      </c>
      <c r="C46" s="127"/>
      <c r="D46" s="127"/>
      <c r="E46" s="127"/>
      <c r="F46" s="127"/>
      <c r="G46" s="127"/>
      <c r="H46" s="126" t="s">
        <v>133</v>
      </c>
      <c r="I46" s="128"/>
      <c r="J46" s="21"/>
      <c r="K46" s="21"/>
      <c r="L46" s="21"/>
      <c r="M46" s="21"/>
      <c r="N46" s="21"/>
      <c r="O46" s="21"/>
      <c r="P46" s="124"/>
      <c r="Q46" s="21"/>
      <c r="R46" s="21"/>
    </row>
    <row r="47" spans="1:27" x14ac:dyDescent="0.45">
      <c r="B47" s="125" t="s">
        <v>111</v>
      </c>
      <c r="C47" s="127"/>
      <c r="D47" s="127"/>
      <c r="E47" s="127"/>
      <c r="F47" s="127"/>
      <c r="G47" s="127"/>
      <c r="H47" s="142" t="s">
        <v>107</v>
      </c>
      <c r="I47" s="128"/>
      <c r="J47" s="21"/>
      <c r="K47" s="21"/>
      <c r="L47" s="21"/>
      <c r="M47" s="21" t="s">
        <v>112</v>
      </c>
      <c r="N47" s="21"/>
      <c r="O47" s="21"/>
      <c r="P47" s="124"/>
      <c r="Q47" s="21"/>
      <c r="R47" s="21"/>
    </row>
    <row r="48" spans="1:27" ht="25.5" customHeight="1" x14ac:dyDescent="0.45">
      <c r="B48" s="143" t="s">
        <v>96</v>
      </c>
      <c r="C48" s="127"/>
      <c r="D48" s="127"/>
      <c r="E48" s="127"/>
      <c r="F48" s="127"/>
      <c r="G48" s="127"/>
      <c r="H48" s="188" t="s">
        <v>135</v>
      </c>
      <c r="I48" s="186" t="s">
        <v>108</v>
      </c>
      <c r="J48" s="189" t="s">
        <v>134</v>
      </c>
      <c r="K48" s="190"/>
      <c r="L48" s="190"/>
      <c r="M48" s="190"/>
      <c r="N48" s="190"/>
      <c r="O48" s="190"/>
      <c r="P48" s="191"/>
      <c r="Q48" s="21"/>
      <c r="R48" s="21"/>
    </row>
    <row r="49" spans="2:18" ht="19.899999999999999" customHeight="1" thickBot="1" x14ac:dyDescent="0.7">
      <c r="B49" s="129"/>
      <c r="C49" s="130"/>
      <c r="D49" s="130"/>
      <c r="E49" s="130"/>
      <c r="F49" s="130"/>
      <c r="G49" s="130"/>
      <c r="H49" s="130"/>
      <c r="I49" s="187"/>
      <c r="J49" s="144"/>
      <c r="K49" s="130"/>
      <c r="L49" s="130"/>
      <c r="M49" s="130"/>
      <c r="N49" s="130"/>
      <c r="O49" s="130"/>
      <c r="P49" s="131"/>
      <c r="Q49" s="21"/>
      <c r="R49" s="21"/>
    </row>
    <row r="52" spans="2:18" x14ac:dyDescent="0.45">
      <c r="M52" s="89" t="s">
        <v>109</v>
      </c>
    </row>
  </sheetData>
  <sheetProtection algorithmName="SHA-512" hashValue="KTpf5GPtsxrMsQYiK18nqyZ9hOWyaUlGMl0HLkj3dLj9Qh5pLqD5BBYyhT5PRuFt9PfG7YwUA5nx4eTcO05B5g==" saltValue="RmR2eapBz8AQVlQvTWl+mg==" spinCount="100000" sheet="1" objects="1" scenarios="1"/>
  <mergeCells count="3">
    <mergeCell ref="J48:P48"/>
    <mergeCell ref="B31:P31"/>
    <mergeCell ref="B32:P32"/>
  </mergeCells>
  <hyperlinks>
    <hyperlink ref="H46:I46" r:id="rId1" display="https://www.rvo.nl/subsidies-regelingen/klimaatinvesteringen-industrie" xr:uid="{3D6AA670-BDC0-4C96-81DF-6346DC9B98FE}"/>
    <hyperlink ref="H45" r:id="rId2" display="https://www.rvo.nl/subsidies-financiering/veki" xr:uid="{7276E5D3-38D5-4297-A231-E6B226771991}"/>
    <hyperlink ref="H46" r:id="rId3" display="AGVV (Algemene Groepsvrijstellingsverordening).pdf (rvo.nl)" xr:uid="{C4870387-EAB2-448B-B2F2-FFDB3B33DA39}"/>
    <hyperlink ref="H47" r:id="rId4" xr:uid="{7CF794A7-9FC8-4A50-B46C-00D43D971F34}"/>
    <hyperlink ref="I48" r:id="rId5" xr:uid="{E0586937-D6AA-4169-A217-50B0D2427085}"/>
    <hyperlink ref="H43" r:id="rId6" display="https://wetten.overheid.nl/BWBR0022830/" xr:uid="{867B7210-8D82-4E9C-9AAC-FB078DD44432}"/>
  </hyperlinks>
  <pageMargins left="0.7" right="0.7" top="0.75" bottom="0.75" header="0.3" footer="0.3"/>
  <pageSetup paperSize="9" orientation="portrait" r:id="rId7"/>
  <headerFooter>
    <oddFooter>&amp;L_x000D_&amp;1#&amp;"Calibri"&amp;10&amp;K000000 Intern gebruik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3722-CFDA-4D05-A8C8-38F83047B03E}">
  <sheetPr codeName="Blad2">
    <tabColor rgb="FF00B0F0"/>
  </sheetPr>
  <dimension ref="C1:AJ41"/>
  <sheetViews>
    <sheetView showGridLines="0" zoomScale="80" zoomScaleNormal="80" workbookViewId="0">
      <selection activeCell="E5" sqref="E5"/>
    </sheetView>
  </sheetViews>
  <sheetFormatPr defaultRowHeight="14.25" x14ac:dyDescent="0.45"/>
  <cols>
    <col min="1" max="1" width="2.86328125" customWidth="1"/>
    <col min="2" max="2" width="0" hidden="1" customWidth="1"/>
    <col min="3" max="3" width="14.73046875" customWidth="1"/>
    <col min="4" max="4" width="55.3984375" customWidth="1"/>
    <col min="5" max="5" width="16.59765625" customWidth="1"/>
    <col min="6" max="6" width="3.265625" customWidth="1"/>
    <col min="8" max="8" width="22.1328125" customWidth="1"/>
    <col min="10" max="10" width="16.59765625" customWidth="1"/>
    <col min="14" max="14" width="21.59765625" customWidth="1"/>
    <col min="19" max="19" width="14.86328125" customWidth="1"/>
    <col min="34" max="36" width="8.86328125" hidden="1" customWidth="1"/>
    <col min="37" max="41" width="0" hidden="1" customWidth="1"/>
  </cols>
  <sheetData>
    <row r="1" spans="3:35" x14ac:dyDescent="0.45">
      <c r="D1" t="s">
        <v>110</v>
      </c>
      <c r="H1" t="str">
        <f>'Voor u begint'!P3</f>
        <v>Versie 1.4 D  24 aug 2023</v>
      </c>
    </row>
    <row r="3" spans="3:35" x14ac:dyDescent="0.45">
      <c r="C3" t="s">
        <v>71</v>
      </c>
      <c r="D3" s="77"/>
    </row>
    <row r="4" spans="3:35" ht="14.65" thickBot="1" x14ac:dyDescent="0.5">
      <c r="C4" t="s">
        <v>105</v>
      </c>
      <c r="D4" s="134"/>
      <c r="E4" t="s">
        <v>83</v>
      </c>
    </row>
    <row r="5" spans="3:35" ht="58.15" thickBot="1" x14ac:dyDescent="0.6">
      <c r="D5" s="70" t="s">
        <v>99</v>
      </c>
      <c r="E5" s="180"/>
      <c r="H5" s="151"/>
      <c r="AI5" t="s">
        <v>72</v>
      </c>
    </row>
    <row r="6" spans="3:35" ht="28.5" x14ac:dyDescent="0.45">
      <c r="D6" s="66"/>
      <c r="E6" s="69" t="s">
        <v>70</v>
      </c>
      <c r="H6" s="71" t="s">
        <v>21</v>
      </c>
      <c r="AI6" s="72" t="s">
        <v>73</v>
      </c>
    </row>
    <row r="7" spans="3:35" x14ac:dyDescent="0.45">
      <c r="D7" s="67" t="s">
        <v>22</v>
      </c>
      <c r="E7" s="67" t="s">
        <v>23</v>
      </c>
      <c r="H7" s="67" t="s">
        <v>23</v>
      </c>
      <c r="AI7" s="72" t="s">
        <v>74</v>
      </c>
    </row>
    <row r="8" spans="3:35" x14ac:dyDescent="0.45">
      <c r="D8" s="65" t="s">
        <v>24</v>
      </c>
      <c r="E8" s="81"/>
      <c r="H8" s="76">
        <v>1.1599999999999999</v>
      </c>
    </row>
    <row r="9" spans="3:35" x14ac:dyDescent="0.45">
      <c r="D9" s="65" t="s">
        <v>25</v>
      </c>
      <c r="E9" s="81"/>
      <c r="H9" s="76">
        <v>0.83</v>
      </c>
      <c r="AI9" s="72" t="s">
        <v>88</v>
      </c>
    </row>
    <row r="10" spans="3:35" x14ac:dyDescent="0.45">
      <c r="D10" s="65" t="s">
        <v>26</v>
      </c>
      <c r="E10" s="81"/>
      <c r="H10" s="76">
        <v>0.72</v>
      </c>
      <c r="AI10" s="72" t="s">
        <v>89</v>
      </c>
    </row>
    <row r="11" spans="3:35" x14ac:dyDescent="0.45">
      <c r="D11" s="65" t="s">
        <v>27</v>
      </c>
      <c r="E11" s="81"/>
      <c r="H11" s="76">
        <v>0.62</v>
      </c>
    </row>
    <row r="12" spans="3:35" x14ac:dyDescent="0.45">
      <c r="D12" s="80" t="str">
        <f>IF($E$5=$AI$6,$AI$15,"")</f>
        <v/>
      </c>
      <c r="E12" s="100"/>
      <c r="AI12" s="72" t="s">
        <v>76</v>
      </c>
    </row>
    <row r="13" spans="3:35" x14ac:dyDescent="0.45">
      <c r="AI13" s="72" t="s">
        <v>77</v>
      </c>
    </row>
    <row r="14" spans="3:35" ht="28.5" x14ac:dyDescent="0.45">
      <c r="D14" s="66"/>
      <c r="E14" s="66" t="s">
        <v>70</v>
      </c>
      <c r="H14" s="71" t="s">
        <v>21</v>
      </c>
    </row>
    <row r="15" spans="3:35" x14ac:dyDescent="0.45">
      <c r="D15" s="67" t="s">
        <v>28</v>
      </c>
      <c r="E15" s="67" t="s">
        <v>29</v>
      </c>
      <c r="H15" s="67" t="s">
        <v>29</v>
      </c>
      <c r="AI15" t="s">
        <v>75</v>
      </c>
    </row>
    <row r="16" spans="3:35" x14ac:dyDescent="0.45">
      <c r="D16" s="65" t="s">
        <v>30</v>
      </c>
      <c r="E16" s="81"/>
      <c r="H16" s="73">
        <v>0.26</v>
      </c>
    </row>
    <row r="17" spans="4:14" x14ac:dyDescent="0.45">
      <c r="D17" s="65" t="s">
        <v>31</v>
      </c>
      <c r="E17" s="81"/>
      <c r="H17" s="73">
        <v>0.28999999999999998</v>
      </c>
    </row>
    <row r="18" spans="4:14" x14ac:dyDescent="0.45">
      <c r="D18" s="65" t="s">
        <v>32</v>
      </c>
      <c r="E18" s="81"/>
      <c r="H18" s="73">
        <v>0.21</v>
      </c>
    </row>
    <row r="19" spans="4:14" x14ac:dyDescent="0.45">
      <c r="D19" s="65" t="s">
        <v>33</v>
      </c>
      <c r="E19" s="81"/>
      <c r="H19" s="73">
        <v>0.16</v>
      </c>
    </row>
    <row r="20" spans="4:14" x14ac:dyDescent="0.45">
      <c r="D20" s="80" t="str">
        <f>IF($E$5=$AI$6,$AI$15,"")</f>
        <v/>
      </c>
      <c r="E20" s="21"/>
    </row>
    <row r="21" spans="4:14" ht="1.5" customHeight="1" x14ac:dyDescent="0.45">
      <c r="D21" s="80"/>
      <c r="E21" s="21"/>
    </row>
    <row r="22" spans="4:14" x14ac:dyDescent="0.45">
      <c r="D22" s="80"/>
      <c r="E22" s="21"/>
    </row>
    <row r="23" spans="4:14" ht="28.5" x14ac:dyDescent="0.45">
      <c r="D23" s="66"/>
      <c r="E23" s="66" t="s">
        <v>70</v>
      </c>
      <c r="H23" s="71" t="s">
        <v>21</v>
      </c>
    </row>
    <row r="24" spans="4:14" x14ac:dyDescent="0.45">
      <c r="D24" s="67" t="s">
        <v>119</v>
      </c>
      <c r="E24" s="67" t="s">
        <v>29</v>
      </c>
      <c r="H24" s="67" t="s">
        <v>122</v>
      </c>
    </row>
    <row r="25" spans="4:14" x14ac:dyDescent="0.45">
      <c r="D25" s="65" t="s">
        <v>120</v>
      </c>
      <c r="E25" s="81"/>
      <c r="H25" s="73">
        <v>41</v>
      </c>
    </row>
    <row r="26" spans="4:14" x14ac:dyDescent="0.45">
      <c r="D26" s="65" t="s">
        <v>121</v>
      </c>
      <c r="E26" s="81"/>
      <c r="H26" s="73">
        <v>29</v>
      </c>
    </row>
    <row r="27" spans="4:14" x14ac:dyDescent="0.45">
      <c r="D27" s="65" t="s">
        <v>123</v>
      </c>
      <c r="E27" s="81"/>
      <c r="H27" s="73">
        <v>25</v>
      </c>
    </row>
    <row r="28" spans="4:14" x14ac:dyDescent="0.45">
      <c r="D28" s="65" t="s">
        <v>125</v>
      </c>
      <c r="E28" s="81"/>
      <c r="H28" s="73">
        <v>22</v>
      </c>
      <c r="N28" s="163"/>
    </row>
    <row r="29" spans="4:14" x14ac:dyDescent="0.45">
      <c r="D29" s="80" t="str">
        <f>IF($E$5=$AI$6,$AI$15,"")</f>
        <v/>
      </c>
      <c r="E29" s="21"/>
      <c r="N29" s="164"/>
    </row>
    <row r="30" spans="4:14" x14ac:dyDescent="0.45">
      <c r="D30" s="80"/>
      <c r="E30" s="21"/>
      <c r="N30" s="163"/>
    </row>
    <row r="31" spans="4:14" x14ac:dyDescent="0.45">
      <c r="D31" s="80"/>
      <c r="E31" s="21"/>
      <c r="N31" s="164"/>
    </row>
    <row r="32" spans="4:14" x14ac:dyDescent="0.45">
      <c r="N32" s="163"/>
    </row>
    <row r="33" spans="4:14" x14ac:dyDescent="0.45">
      <c r="D33" s="66" t="str">
        <f>'rekenblad TVT-toets'!V34</f>
        <v>conversietabel energiedragers</v>
      </c>
      <c r="E33" s="66" t="str">
        <f>'rekenblad TVT-toets'!W34</f>
        <v>Nm3-eq</v>
      </c>
      <c r="N33" s="164"/>
    </row>
    <row r="34" spans="4:14" x14ac:dyDescent="0.45">
      <c r="D34" s="65" t="str">
        <f>'rekenblad TVT-toets'!V35</f>
        <v>1 ltr. Huisbrandolie</v>
      </c>
      <c r="E34" s="119">
        <f>'rekenblad TVT-toets'!W35</f>
        <v>1.2</v>
      </c>
      <c r="N34" s="163"/>
    </row>
    <row r="35" spans="4:14" x14ac:dyDescent="0.45">
      <c r="D35" s="65" t="str">
        <f>'rekenblad TVT-toets'!V36</f>
        <v>1 ton stookolie</v>
      </c>
      <c r="E35" s="119">
        <f>'rekenblad TVT-toets'!W36</f>
        <v>1300</v>
      </c>
      <c r="N35" s="164"/>
    </row>
    <row r="36" spans="4:14" x14ac:dyDescent="0.45">
      <c r="D36" s="65" t="str">
        <f>'rekenblad TVT-toets'!V37</f>
        <v>1 ton steenkool</v>
      </c>
      <c r="E36" s="119">
        <f>'rekenblad TVT-toets'!W37</f>
        <v>925</v>
      </c>
      <c r="N36" s="163"/>
    </row>
    <row r="37" spans="4:14" x14ac:dyDescent="0.45">
      <c r="D37" s="65" t="str">
        <f>'rekenblad TVT-toets'!V38</f>
        <v>1 ltr. vloeibaar propaan</v>
      </c>
      <c r="E37" s="119">
        <f>'rekenblad TVT-toets'!W38</f>
        <v>0.73</v>
      </c>
    </row>
    <row r="38" spans="4:14" x14ac:dyDescent="0.45">
      <c r="D38" s="65" t="str">
        <f>'rekenblad TVT-toets'!V39</f>
        <v>1 GJ warmte</v>
      </c>
      <c r="E38" s="119">
        <f>'rekenblad TVT-toets'!W39</f>
        <v>31.6</v>
      </c>
    </row>
    <row r="39" spans="4:14" x14ac:dyDescent="0.45">
      <c r="D39" s="65" t="str">
        <f>'rekenblad TVT-toets'!V40</f>
        <v>1 ltr. diesel</v>
      </c>
      <c r="E39" s="119">
        <f>'rekenblad TVT-toets'!W40</f>
        <v>1.1299999999999999</v>
      </c>
    </row>
    <row r="40" spans="4:14" x14ac:dyDescent="0.45">
      <c r="D40" s="65" t="str">
        <f>'rekenblad TVT-toets'!V41</f>
        <v>1 ltr. benzine</v>
      </c>
      <c r="E40" s="119">
        <f>'rekenblad TVT-toets'!W41</f>
        <v>1.04</v>
      </c>
    </row>
    <row r="41" spans="4:14" x14ac:dyDescent="0.45">
      <c r="D41" t="str">
        <f>'rekenblad TVT-toets'!V42</f>
        <v xml:space="preserve">Let op: Andere brandstoffen deling door onderste verbrandingswaarde van de brandstof met 31,65 MJ/Nm3 </v>
      </c>
    </row>
  </sheetData>
  <sheetProtection algorithmName="SHA-512" hashValue="xQAqDiG7o4pQDxzmgpIsgsSKcHFKCNPCPOCl13hSQxDZfUshdoffTsSeuyW5rFBtHem1LHLw9N1LY5c7LsgETA==" saltValue="vLesqDzTvKPv6pJej/07Uw==" spinCount="100000" sheet="1" objects="1" scenarios="1"/>
  <conditionalFormatting sqref="S6">
    <cfRule type="expression" dxfId="4" priority="8">
      <formula>"als+$E$4=$AI$5"</formula>
    </cfRule>
  </conditionalFormatting>
  <conditionalFormatting sqref="S13">
    <cfRule type="expression" dxfId="3" priority="6">
      <formula>"als($E$4=$AI$5)"</formula>
    </cfRule>
  </conditionalFormatting>
  <conditionalFormatting sqref="E8:E11">
    <cfRule type="expression" dxfId="2" priority="3">
      <formula>$E$5="ja"</formula>
    </cfRule>
  </conditionalFormatting>
  <conditionalFormatting sqref="E16:E19">
    <cfRule type="expression" dxfId="1" priority="2">
      <formula>$E$5="ja"</formula>
    </cfRule>
  </conditionalFormatting>
  <conditionalFormatting sqref="E25:E28">
    <cfRule type="expression" dxfId="0" priority="1">
      <formula>$E$5="ja"</formula>
    </cfRule>
  </conditionalFormatting>
  <dataValidations count="1">
    <dataValidation type="list" allowBlank="1" showInputMessage="1" showErrorMessage="1" sqref="E5" xr:uid="{1377FDE9-5F85-437F-AB62-B421BD27AB33}">
      <formula1>$AI$6:$AI$7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E4B8-861A-4802-A645-7F0D303453B0}">
  <sheetPr codeName="Blad3">
    <tabColor rgb="FFFFFF00"/>
  </sheetPr>
  <dimension ref="A1:W42"/>
  <sheetViews>
    <sheetView showGridLines="0" zoomScale="70" zoomScaleNormal="70" workbookViewId="0">
      <selection activeCell="I20" sqref="I20"/>
    </sheetView>
  </sheetViews>
  <sheetFormatPr defaultRowHeight="14.25" x14ac:dyDescent="0.45"/>
  <cols>
    <col min="1" max="1" width="6.265625" customWidth="1"/>
    <col min="2" max="2" width="44.265625" customWidth="1"/>
    <col min="3" max="3" width="32.86328125" customWidth="1"/>
    <col min="4" max="4" width="25" bestFit="1" customWidth="1"/>
    <col min="5" max="5" width="11.73046875" bestFit="1" customWidth="1"/>
    <col min="6" max="6" width="10.86328125" bestFit="1" customWidth="1"/>
    <col min="8" max="8" width="3.265625" customWidth="1"/>
    <col min="9" max="9" width="21.265625" customWidth="1"/>
    <col min="10" max="13" width="15.59765625" customWidth="1"/>
    <col min="15" max="15" width="17.59765625" customWidth="1"/>
    <col min="16" max="19" width="15.59765625" customWidth="1"/>
    <col min="21" max="21" width="1.265625" customWidth="1"/>
    <col min="22" max="22" width="41.73046875" customWidth="1"/>
    <col min="23" max="23" width="8.86328125" customWidth="1"/>
    <col min="25" max="25" width="11.265625" bestFit="1" customWidth="1"/>
    <col min="26" max="26" width="12.59765625" bestFit="1" customWidth="1"/>
    <col min="27" max="27" width="10" bestFit="1" customWidth="1"/>
    <col min="32" max="32" width="12.86328125" bestFit="1" customWidth="1"/>
    <col min="33" max="33" width="10" bestFit="1" customWidth="1"/>
  </cols>
  <sheetData>
    <row r="1" spans="1:23" ht="21" x14ac:dyDescent="0.65">
      <c r="B1" s="133" t="s">
        <v>52</v>
      </c>
      <c r="D1" t="str">
        <f>'Voor u begint'!P3</f>
        <v>Versie 1.4 D  24 aug 2023</v>
      </c>
    </row>
    <row r="2" spans="1:23" x14ac:dyDescent="0.45">
      <c r="B2" t="s">
        <v>90</v>
      </c>
    </row>
    <row r="3" spans="1:23" x14ac:dyDescent="0.45">
      <c r="B3" s="101" t="str">
        <f>IF(standaardwaarden!E5=standaardwaarden!AI6,standaardwaarden!AI10,standaardwaarden!AI9)</f>
        <v>U maakt gebruik van de standaard energietarieven (ecxl BTW)</v>
      </c>
      <c r="C3" s="101"/>
    </row>
    <row r="4" spans="1:23" ht="14.65" thickBot="1" x14ac:dyDescent="0.5"/>
    <row r="5" spans="1:23" ht="14.65" thickBot="1" x14ac:dyDescent="0.5">
      <c r="A5" s="12"/>
      <c r="B5" s="2" t="s">
        <v>92</v>
      </c>
      <c r="C5" s="9"/>
      <c r="D5" s="3"/>
      <c r="I5" s="49" t="s">
        <v>67</v>
      </c>
      <c r="J5" t="s">
        <v>80</v>
      </c>
    </row>
    <row r="6" spans="1:23" ht="14.65" thickBot="1" x14ac:dyDescent="0.5">
      <c r="A6" s="12"/>
      <c r="B6" s="4" t="s">
        <v>50</v>
      </c>
      <c r="C6" s="115"/>
      <c r="D6" s="63"/>
    </row>
    <row r="7" spans="1:23" ht="14.65" thickBot="1" x14ac:dyDescent="0.5">
      <c r="A7" s="12"/>
      <c r="B7" s="4" t="s">
        <v>6</v>
      </c>
      <c r="C7" s="115"/>
      <c r="D7" s="63"/>
      <c r="I7" s="23" t="s">
        <v>66</v>
      </c>
      <c r="J7" s="24"/>
      <c r="K7" s="24"/>
      <c r="L7" s="24"/>
      <c r="M7" s="25"/>
      <c r="O7" s="23" t="s">
        <v>79</v>
      </c>
      <c r="P7" s="24"/>
      <c r="Q7" s="24"/>
      <c r="R7" s="24"/>
      <c r="S7" s="25"/>
      <c r="V7" s="47" t="str">
        <f>IF(standaardwaarden!$E$5=standaardwaarden!$AI$6,standaardwaarden!$AI$12,standaardwaarden!$AI$13)</f>
        <v>Standaardwaarden marginale energieprijs</v>
      </c>
      <c r="W7" s="74"/>
    </row>
    <row r="8" spans="1:23" ht="14.65" thickBot="1" x14ac:dyDescent="0.5">
      <c r="A8" s="58" t="s">
        <v>18</v>
      </c>
      <c r="B8" s="5" t="s">
        <v>7</v>
      </c>
      <c r="C8" s="116"/>
      <c r="D8" s="114" t="str">
        <f>IF(D6-D7&lt;=0,"Geen subsidiabele kosten.",D6-D7)</f>
        <v>Geen subsidiabele kosten.</v>
      </c>
      <c r="I8" s="48" t="s">
        <v>43</v>
      </c>
      <c r="J8" s="83">
        <v>170000</v>
      </c>
      <c r="K8" s="84">
        <v>1000000</v>
      </c>
      <c r="L8" s="85">
        <f>10000000</f>
        <v>10000000</v>
      </c>
      <c r="M8" s="41" t="s">
        <v>47</v>
      </c>
      <c r="O8" s="40" t="s">
        <v>43</v>
      </c>
      <c r="P8" s="83">
        <v>170000</v>
      </c>
      <c r="Q8" s="84">
        <v>1000000</v>
      </c>
      <c r="R8" s="85">
        <f>10000000</f>
        <v>10000000</v>
      </c>
      <c r="S8" s="41" t="s">
        <v>47</v>
      </c>
      <c r="V8" s="14" t="s">
        <v>22</v>
      </c>
      <c r="W8" s="75" t="s">
        <v>23</v>
      </c>
    </row>
    <row r="9" spans="1:23" x14ac:dyDescent="0.45">
      <c r="A9" s="12"/>
      <c r="I9" s="42" t="s">
        <v>46</v>
      </c>
      <c r="J9" s="43" t="s">
        <v>46</v>
      </c>
      <c r="K9" s="44" t="s">
        <v>46</v>
      </c>
      <c r="L9" s="44" t="s">
        <v>46</v>
      </c>
      <c r="M9" s="45" t="s">
        <v>46</v>
      </c>
      <c r="O9" s="42" t="s">
        <v>46</v>
      </c>
      <c r="P9" s="43" t="s">
        <v>46</v>
      </c>
      <c r="Q9" s="44" t="s">
        <v>46</v>
      </c>
      <c r="R9" s="44" t="s">
        <v>46</v>
      </c>
      <c r="S9" s="45" t="s">
        <v>46</v>
      </c>
      <c r="V9" s="8" t="s">
        <v>24</v>
      </c>
      <c r="W9" s="68">
        <f>IF(standaardwaarden!$E$5=standaardwaarden!$AI$6,standaardwaarden!E8,standaardwaarden!H8)</f>
        <v>1.1599999999999999</v>
      </c>
    </row>
    <row r="10" spans="1:23" ht="14.65" thickBot="1" x14ac:dyDescent="0.5">
      <c r="A10" s="12"/>
      <c r="I10" s="64">
        <v>0</v>
      </c>
      <c r="J10" s="36">
        <f>MIN(J$8,$I10)</f>
        <v>0</v>
      </c>
      <c r="K10" s="37">
        <f>MIN(K$8,$I10)-J10</f>
        <v>0</v>
      </c>
      <c r="L10" s="37">
        <f>MIN(L$8,$I10)-K10-J10</f>
        <v>0</v>
      </c>
      <c r="M10" s="38">
        <f>IF(I10&lt;L8,0,I10-L8)</f>
        <v>0</v>
      </c>
      <c r="O10" s="64">
        <v>0</v>
      </c>
      <c r="P10" s="36">
        <f>MIN(P$8,$O10)</f>
        <v>0</v>
      </c>
      <c r="Q10" s="37">
        <f>MIN(Q$8,$O10)-P10</f>
        <v>0</v>
      </c>
      <c r="R10" s="37">
        <f>MIN(R$8,$O10)-Q10-P10</f>
        <v>0</v>
      </c>
      <c r="S10" s="38">
        <f>IF(O10&lt;R8,0,O10-R8)</f>
        <v>0</v>
      </c>
      <c r="V10" s="4" t="s">
        <v>25</v>
      </c>
      <c r="W10" s="68">
        <f>IF(standaardwaarden!$E$5=standaardwaarden!$AI$6,standaardwaarden!E9,standaardwaarden!H9)</f>
        <v>0.83</v>
      </c>
    </row>
    <row r="11" spans="1:23" ht="14.65" thickBot="1" x14ac:dyDescent="0.5">
      <c r="A11" s="12"/>
      <c r="B11" s="2" t="s">
        <v>85</v>
      </c>
      <c r="C11" s="9"/>
      <c r="D11" s="6" t="s">
        <v>3</v>
      </c>
      <c r="E11" s="6" t="s">
        <v>49</v>
      </c>
      <c r="F11" s="7" t="s">
        <v>8</v>
      </c>
      <c r="I11" s="8"/>
      <c r="J11" s="1"/>
      <c r="K11" s="1"/>
      <c r="L11" s="1"/>
      <c r="M11" s="26"/>
      <c r="O11" s="8"/>
      <c r="P11" s="1"/>
      <c r="Q11" s="1"/>
      <c r="R11" s="1"/>
      <c r="S11" s="26"/>
      <c r="V11" s="8" t="s">
        <v>26</v>
      </c>
      <c r="W11" s="68">
        <f>IF(standaardwaarden!$E$5=standaardwaarden!$AI$6,standaardwaarden!E10,standaardwaarden!H10)</f>
        <v>0.72</v>
      </c>
    </row>
    <row r="12" spans="1:23" ht="14.65" thickBot="1" x14ac:dyDescent="0.5">
      <c r="A12" s="12"/>
      <c r="B12" s="8" t="s">
        <v>9</v>
      </c>
      <c r="C12" s="1"/>
      <c r="D12" s="102">
        <f>J12</f>
        <v>0</v>
      </c>
      <c r="E12" s="102">
        <f>P12</f>
        <v>0</v>
      </c>
      <c r="F12" s="103">
        <f>D12-E12</f>
        <v>0</v>
      </c>
      <c r="I12" s="46" t="s">
        <v>48</v>
      </c>
      <c r="J12" s="39">
        <f>IF($I$10=0,0,J10*W9+K10*W10+L10*W11+M10*W12)</f>
        <v>0</v>
      </c>
      <c r="K12" s="27"/>
      <c r="L12" s="27"/>
      <c r="M12" s="28"/>
      <c r="O12" s="46" t="s">
        <v>48</v>
      </c>
      <c r="P12" s="39">
        <f>IF($O$10=0,0,P10*W9+Q10*W10+R10*W11+S10*W12)</f>
        <v>0</v>
      </c>
      <c r="Q12" s="27"/>
      <c r="R12" s="27"/>
      <c r="S12" s="28"/>
      <c r="V12" s="13" t="s">
        <v>27</v>
      </c>
      <c r="W12" s="68">
        <f>IF(standaardwaarden!$E$5=standaardwaarden!$AI$6,standaardwaarden!E11,standaardwaarden!H11)</f>
        <v>0.62</v>
      </c>
    </row>
    <row r="13" spans="1:23" x14ac:dyDescent="0.45">
      <c r="A13" s="12"/>
      <c r="B13" s="179" t="s">
        <v>10</v>
      </c>
      <c r="C13" s="158"/>
      <c r="D13" s="104">
        <f>J22</f>
        <v>0</v>
      </c>
      <c r="E13" s="104">
        <f>P22</f>
        <v>0</v>
      </c>
      <c r="F13" s="105">
        <f>D13-E13</f>
        <v>0</v>
      </c>
    </row>
    <row r="14" spans="1:23" ht="14.65" thickBot="1" x14ac:dyDescent="0.5">
      <c r="A14" s="12"/>
      <c r="B14" s="177" t="s">
        <v>129</v>
      </c>
      <c r="C14" s="145"/>
      <c r="D14" s="178">
        <f>J31</f>
        <v>0</v>
      </c>
      <c r="E14" s="102">
        <f>P31</f>
        <v>0</v>
      </c>
      <c r="F14" s="105">
        <f>D14-E14</f>
        <v>0</v>
      </c>
    </row>
    <row r="15" spans="1:23" ht="14.65" thickBot="1" x14ac:dyDescent="0.5">
      <c r="A15" s="12"/>
      <c r="B15" s="8" t="s">
        <v>101</v>
      </c>
      <c r="C15" s="176"/>
      <c r="D15" s="61">
        <v>0</v>
      </c>
      <c r="E15" s="61">
        <v>0</v>
      </c>
      <c r="F15" s="103">
        <f>D15-E15</f>
        <v>0</v>
      </c>
      <c r="I15" s="50" t="s">
        <v>68</v>
      </c>
      <c r="J15" t="s">
        <v>91</v>
      </c>
    </row>
    <row r="16" spans="1:23" ht="14.65" thickBot="1" x14ac:dyDescent="0.5">
      <c r="A16" s="146" t="s">
        <v>17</v>
      </c>
      <c r="B16" s="147" t="s">
        <v>11</v>
      </c>
      <c r="C16" s="78"/>
      <c r="D16" s="106">
        <f>SUM(D12:D15)</f>
        <v>0</v>
      </c>
      <c r="E16" s="106">
        <f>SUM(E12:E15)</f>
        <v>0</v>
      </c>
      <c r="F16" s="107">
        <f>D16-E16</f>
        <v>0</v>
      </c>
    </row>
    <row r="17" spans="1:23" ht="14.65" thickBot="1" x14ac:dyDescent="0.5">
      <c r="A17" s="12"/>
      <c r="I17" s="23" t="s">
        <v>66</v>
      </c>
      <c r="J17" s="24"/>
      <c r="K17" s="24"/>
      <c r="L17" s="24"/>
      <c r="M17" s="25"/>
      <c r="O17" s="23" t="s">
        <v>79</v>
      </c>
      <c r="P17" s="24"/>
      <c r="Q17" s="24"/>
      <c r="R17" s="24"/>
      <c r="S17" s="25"/>
      <c r="V17" s="47" t="str">
        <f>IF(standaardwaarden!$E$5=standaardwaarden!$AI$6,standaardwaarden!$AI$12,standaardwaarden!$AI$13)</f>
        <v>Standaardwaarden marginale energieprijs</v>
      </c>
      <c r="W17" s="74"/>
    </row>
    <row r="18" spans="1:23" ht="14.65" thickBot="1" x14ac:dyDescent="0.5">
      <c r="A18" s="12"/>
      <c r="I18" s="29" t="s">
        <v>43</v>
      </c>
      <c r="J18" s="86">
        <f>10000</f>
        <v>10000</v>
      </c>
      <c r="K18" s="87">
        <f>50000</f>
        <v>50000</v>
      </c>
      <c r="L18" s="88">
        <f>10000000</f>
        <v>10000000</v>
      </c>
      <c r="M18" s="30" t="s">
        <v>44</v>
      </c>
      <c r="O18" s="31" t="s">
        <v>43</v>
      </c>
      <c r="P18" s="86">
        <f>10000</f>
        <v>10000</v>
      </c>
      <c r="Q18" s="87">
        <f>50000</f>
        <v>50000</v>
      </c>
      <c r="R18" s="88">
        <f>10000000</f>
        <v>10000000</v>
      </c>
      <c r="S18" s="30" t="s">
        <v>44</v>
      </c>
      <c r="V18" s="2" t="s">
        <v>28</v>
      </c>
      <c r="W18" s="17" t="s">
        <v>29</v>
      </c>
    </row>
    <row r="19" spans="1:23" x14ac:dyDescent="0.45">
      <c r="A19" s="12"/>
      <c r="B19" s="2" t="s">
        <v>86</v>
      </c>
      <c r="C19" s="9"/>
      <c r="D19" s="6" t="s">
        <v>3</v>
      </c>
      <c r="E19" s="9" t="s">
        <v>49</v>
      </c>
      <c r="F19" s="3" t="s">
        <v>5</v>
      </c>
      <c r="I19" s="32" t="s">
        <v>45</v>
      </c>
      <c r="J19" s="33" t="s">
        <v>45</v>
      </c>
      <c r="K19" s="34" t="s">
        <v>45</v>
      </c>
      <c r="L19" s="34" t="s">
        <v>45</v>
      </c>
      <c r="M19" s="35" t="s">
        <v>45</v>
      </c>
      <c r="O19" s="32" t="s">
        <v>45</v>
      </c>
      <c r="P19" s="33" t="s">
        <v>45</v>
      </c>
      <c r="Q19" s="34" t="s">
        <v>45</v>
      </c>
      <c r="R19" s="34" t="s">
        <v>45</v>
      </c>
      <c r="S19" s="35" t="s">
        <v>45</v>
      </c>
      <c r="V19" s="8" t="s">
        <v>30</v>
      </c>
      <c r="W19" s="68">
        <f>IF(standaardwaarden!$E$5=standaardwaarden!$AI$6,standaardwaarden!E16,standaardwaarden!H16)</f>
        <v>0.26</v>
      </c>
    </row>
    <row r="20" spans="1:23" x14ac:dyDescent="0.45">
      <c r="A20" s="12"/>
      <c r="B20" s="8" t="s">
        <v>12</v>
      </c>
      <c r="C20" s="1"/>
      <c r="D20" s="59"/>
      <c r="E20" s="60"/>
      <c r="F20" s="108">
        <f t="shared" ref="F20:F25" si="0">E20-D20</f>
        <v>0</v>
      </c>
      <c r="I20" s="64">
        <v>0</v>
      </c>
      <c r="J20" s="36">
        <f>MIN(J$18,$I20)</f>
        <v>0</v>
      </c>
      <c r="K20" s="37">
        <f>MIN(K$18,$I20)-J20</f>
        <v>0</v>
      </c>
      <c r="L20" s="37">
        <f>MIN(L$18,$I20)-K20-J20</f>
        <v>0</v>
      </c>
      <c r="M20" s="38">
        <f>IF(I20&lt;L18,0,I20-L18)</f>
        <v>0</v>
      </c>
      <c r="O20" s="64">
        <v>0</v>
      </c>
      <c r="P20" s="36">
        <f>MIN(P$18,$O20)</f>
        <v>0</v>
      </c>
      <c r="Q20" s="37">
        <f>MIN(Q$18,$O20)-P20</f>
        <v>0</v>
      </c>
      <c r="R20" s="37">
        <f>MIN(R$18,$O20)-Q20-P20</f>
        <v>0</v>
      </c>
      <c r="S20" s="38">
        <f>IF(O20&lt;R18,0,O20-R18)</f>
        <v>0</v>
      </c>
      <c r="V20" s="4" t="s">
        <v>31</v>
      </c>
      <c r="W20" s="68">
        <f>IF(standaardwaarden!$E$5=standaardwaarden!$AI$6,standaardwaarden!E17,standaardwaarden!H17)</f>
        <v>0.28999999999999998</v>
      </c>
    </row>
    <row r="21" spans="1:23" ht="14.65" thickBot="1" x14ac:dyDescent="0.5">
      <c r="A21" s="12"/>
      <c r="B21" s="4" t="s">
        <v>13</v>
      </c>
      <c r="C21" s="115"/>
      <c r="D21" s="61"/>
      <c r="E21" s="62"/>
      <c r="F21" s="109">
        <f t="shared" si="0"/>
        <v>0</v>
      </c>
      <c r="I21" s="8"/>
      <c r="J21" s="1"/>
      <c r="K21" s="1"/>
      <c r="L21" s="1"/>
      <c r="M21" s="26"/>
      <c r="O21" s="8"/>
      <c r="P21" s="1"/>
      <c r="Q21" s="1"/>
      <c r="R21" s="1"/>
      <c r="S21" s="26"/>
      <c r="V21" s="8" t="s">
        <v>32</v>
      </c>
      <c r="W21" s="68">
        <f>IF(standaardwaarden!$E$5=standaardwaarden!$AI$6,standaardwaarden!E18,standaardwaarden!H18)</f>
        <v>0.21</v>
      </c>
    </row>
    <row r="22" spans="1:23" ht="14.65" thickBot="1" x14ac:dyDescent="0.5">
      <c r="A22" s="12"/>
      <c r="B22" s="4" t="s">
        <v>69</v>
      </c>
      <c r="C22" s="145"/>
      <c r="D22" s="61"/>
      <c r="E22" s="99"/>
      <c r="F22" s="109">
        <f t="shared" si="0"/>
        <v>0</v>
      </c>
      <c r="I22" s="22" t="s">
        <v>48</v>
      </c>
      <c r="J22" s="39">
        <f>IF($I$20=0,0,J20*W19+K20*W20+L20*W21+M20*W22)</f>
        <v>0</v>
      </c>
      <c r="K22" s="27"/>
      <c r="L22" s="27"/>
      <c r="M22" s="28"/>
      <c r="O22" s="22" t="s">
        <v>48</v>
      </c>
      <c r="P22" s="39">
        <f>IF($O$20=0,0,P20*W19+Q20*W20+R20*W21+S20*W22)</f>
        <v>0</v>
      </c>
      <c r="Q22" s="27"/>
      <c r="R22" s="27"/>
      <c r="S22" s="28"/>
      <c r="V22" s="13" t="s">
        <v>33</v>
      </c>
      <c r="W22" s="68">
        <f>IF(standaardwaarden!$E$5=standaardwaarden!$AI$6,standaardwaarden!E19,standaardwaarden!H19)</f>
        <v>0.16</v>
      </c>
    </row>
    <row r="23" spans="1:23" ht="30.4" customHeight="1" thickBot="1" x14ac:dyDescent="0.5">
      <c r="A23" s="12"/>
      <c r="B23" s="184" t="s">
        <v>95</v>
      </c>
      <c r="C23" s="185"/>
      <c r="D23" s="59"/>
      <c r="E23" s="60"/>
      <c r="F23" s="108">
        <f t="shared" si="0"/>
        <v>0</v>
      </c>
      <c r="I23" s="21"/>
      <c r="J23" s="97"/>
      <c r="K23" s="1"/>
      <c r="L23" s="1"/>
      <c r="M23" s="1"/>
      <c r="O23" s="21"/>
      <c r="P23" s="97"/>
      <c r="Q23" s="1"/>
      <c r="R23" s="1"/>
      <c r="S23" s="1"/>
      <c r="V23" s="1"/>
      <c r="W23" s="98"/>
    </row>
    <row r="24" spans="1:23" ht="14.65" thickBot="1" x14ac:dyDescent="0.5">
      <c r="A24" s="12"/>
      <c r="B24" s="4" t="s">
        <v>14</v>
      </c>
      <c r="C24" s="115"/>
      <c r="D24" s="61"/>
      <c r="E24" s="62"/>
      <c r="F24" s="109">
        <f t="shared" si="0"/>
        <v>0</v>
      </c>
      <c r="I24" s="165" t="s">
        <v>126</v>
      </c>
      <c r="J24" t="s">
        <v>127</v>
      </c>
    </row>
    <row r="25" spans="1:23" ht="14.65" thickBot="1" x14ac:dyDescent="0.5">
      <c r="A25" s="12"/>
      <c r="B25" s="8" t="s">
        <v>131</v>
      </c>
      <c r="C25" s="1"/>
      <c r="D25" s="59"/>
      <c r="E25" s="60"/>
      <c r="F25" s="108">
        <f t="shared" si="0"/>
        <v>0</v>
      </c>
    </row>
    <row r="26" spans="1:23" ht="14.65" thickBot="1" x14ac:dyDescent="0.5">
      <c r="A26" s="146" t="s">
        <v>16</v>
      </c>
      <c r="B26" s="147" t="s">
        <v>15</v>
      </c>
      <c r="C26" s="78"/>
      <c r="D26" s="51"/>
      <c r="E26" s="52"/>
      <c r="F26" s="110">
        <f>F25-SUM(F20:F24)</f>
        <v>0</v>
      </c>
      <c r="I26" s="23" t="s">
        <v>66</v>
      </c>
      <c r="J26" s="24"/>
      <c r="K26" s="24"/>
      <c r="L26" s="24"/>
      <c r="M26" s="25"/>
      <c r="O26" s="23" t="s">
        <v>79</v>
      </c>
      <c r="P26" s="24"/>
      <c r="Q26" s="24"/>
      <c r="R26" s="24"/>
      <c r="S26" s="25"/>
      <c r="V26" s="47" t="str">
        <f>IF(standaardwaarden!$E$5=standaardwaarden!$AI$6,standaardwaarden!$AI$12,standaardwaarden!$AI$13)</f>
        <v>Standaardwaarden marginale energieprijs</v>
      </c>
      <c r="W26" s="74"/>
    </row>
    <row r="27" spans="1:23" ht="14.65" thickBot="1" x14ac:dyDescent="0.5">
      <c r="A27" s="12"/>
      <c r="B27" s="53"/>
      <c r="C27" s="53"/>
      <c r="D27" s="54"/>
      <c r="E27" s="54"/>
      <c r="F27" s="54"/>
      <c r="I27" s="166" t="s">
        <v>43</v>
      </c>
      <c r="J27" s="167">
        <v>4830</v>
      </c>
      <c r="K27" s="168">
        <v>28409</v>
      </c>
      <c r="L27" s="169">
        <v>284091</v>
      </c>
      <c r="M27" s="170" t="s">
        <v>124</v>
      </c>
      <c r="O27" s="166" t="s">
        <v>43</v>
      </c>
      <c r="P27" s="167">
        <v>4830</v>
      </c>
      <c r="Q27" s="168">
        <v>28409</v>
      </c>
      <c r="R27" s="169">
        <v>284091</v>
      </c>
      <c r="S27" s="170" t="s">
        <v>124</v>
      </c>
      <c r="V27" s="2" t="s">
        <v>28</v>
      </c>
      <c r="W27" s="17" t="s">
        <v>122</v>
      </c>
    </row>
    <row r="28" spans="1:23" ht="14.65" thickBot="1" x14ac:dyDescent="0.5">
      <c r="A28" s="146" t="s">
        <v>51</v>
      </c>
      <c r="B28" s="148" t="s">
        <v>87</v>
      </c>
      <c r="C28" s="79"/>
      <c r="D28" s="111">
        <f>F16+F26</f>
        <v>0</v>
      </c>
      <c r="E28" s="54"/>
      <c r="F28" s="54"/>
      <c r="I28" s="171" t="s">
        <v>128</v>
      </c>
      <c r="J28" s="172" t="s">
        <v>128</v>
      </c>
      <c r="K28" s="173" t="s">
        <v>128</v>
      </c>
      <c r="L28" s="173" t="s">
        <v>128</v>
      </c>
      <c r="M28" s="174" t="s">
        <v>128</v>
      </c>
      <c r="O28" s="171" t="s">
        <v>128</v>
      </c>
      <c r="P28" s="172" t="s">
        <v>128</v>
      </c>
      <c r="Q28" s="173" t="s">
        <v>128</v>
      </c>
      <c r="R28" s="173" t="s">
        <v>128</v>
      </c>
      <c r="S28" s="174" t="s">
        <v>128</v>
      </c>
      <c r="V28" s="8" t="s">
        <v>30</v>
      </c>
      <c r="W28" s="68">
        <f>IF(standaardwaarden!$E$5=standaardwaarden!$AI$6,standaardwaarden!E25,standaardwaarden!H25)</f>
        <v>41</v>
      </c>
    </row>
    <row r="29" spans="1:23" ht="14.65" thickBot="1" x14ac:dyDescent="0.5">
      <c r="A29" s="12"/>
      <c r="I29" s="64">
        <v>0</v>
      </c>
      <c r="J29" s="36">
        <f>MIN(J$27,$I29)</f>
        <v>0</v>
      </c>
      <c r="K29" s="37">
        <f>MIN(K$27,$I29)-J29</f>
        <v>0</v>
      </c>
      <c r="L29" s="37">
        <f>MIN(L$27,$I29)-K29-J29</f>
        <v>0</v>
      </c>
      <c r="M29" s="38">
        <f>IF(I29&lt;L27,0,I29-L27)</f>
        <v>0</v>
      </c>
      <c r="O29" s="64"/>
      <c r="P29" s="36">
        <f>MIN(P$27,$O29)</f>
        <v>4830</v>
      </c>
      <c r="Q29" s="37">
        <f>MIN(Q$27,$O29)-P29</f>
        <v>23579</v>
      </c>
      <c r="R29" s="37">
        <f>MIN(R$27,$O29)-Q29-P29</f>
        <v>255682</v>
      </c>
      <c r="S29" s="38">
        <f>IF(O29&lt;R27,0,O29-R27)</f>
        <v>0</v>
      </c>
      <c r="V29" s="4" t="s">
        <v>31</v>
      </c>
      <c r="W29" s="68">
        <f>IF(standaardwaarden!$E$5=standaardwaarden!$AI$6,standaardwaarden!E26,standaardwaarden!H26)</f>
        <v>29</v>
      </c>
    </row>
    <row r="30" spans="1:23" ht="14.65" thickBot="1" x14ac:dyDescent="0.5">
      <c r="A30" s="12"/>
      <c r="B30" s="55" t="s">
        <v>20</v>
      </c>
      <c r="C30" s="117"/>
      <c r="D30" s="3"/>
      <c r="I30" s="8"/>
      <c r="J30" s="1"/>
      <c r="K30" s="1"/>
      <c r="L30" s="1"/>
      <c r="M30" s="26"/>
      <c r="O30" s="8"/>
      <c r="P30" s="1"/>
      <c r="Q30" s="1"/>
      <c r="R30" s="1"/>
      <c r="S30" s="26"/>
      <c r="V30" s="8" t="s">
        <v>32</v>
      </c>
      <c r="W30" s="68">
        <f>IF(standaardwaarden!$E$5=standaardwaarden!$AI$6,standaardwaarden!E27,standaardwaarden!H27)</f>
        <v>25</v>
      </c>
    </row>
    <row r="31" spans="1:23" ht="14.65" thickBot="1" x14ac:dyDescent="0.5">
      <c r="A31" s="146" t="s">
        <v>1</v>
      </c>
      <c r="B31" s="149" t="s">
        <v>93</v>
      </c>
      <c r="C31" s="53"/>
      <c r="D31" s="112">
        <f>IFERROR(0.0434*0.5*D8,0)</f>
        <v>0</v>
      </c>
      <c r="I31" s="175" t="s">
        <v>48</v>
      </c>
      <c r="J31" s="39">
        <f>IF($I$29=0,0,J29*W28+K29*W29+L29*W30+M29*W31)</f>
        <v>0</v>
      </c>
      <c r="K31" s="27"/>
      <c r="L31" s="27"/>
      <c r="M31" s="28"/>
      <c r="O31" s="175" t="s">
        <v>48</v>
      </c>
      <c r="P31" s="39">
        <f>IF($O$29=0,0,P29*W28+Q29*W29+R29*W30+S29*W31)</f>
        <v>0</v>
      </c>
      <c r="Q31" s="27"/>
      <c r="R31" s="27"/>
      <c r="S31" s="28"/>
      <c r="V31" s="13" t="s">
        <v>33</v>
      </c>
      <c r="W31" s="68">
        <f>IF(standaardwaarden!$E$5=standaardwaarden!$AI$6,standaardwaarden!E28,standaardwaarden!H28)</f>
        <v>22</v>
      </c>
    </row>
    <row r="32" spans="1:23" ht="14.65" thickBot="1" x14ac:dyDescent="0.5">
      <c r="A32" s="146" t="s">
        <v>2</v>
      </c>
      <c r="B32" s="147" t="s">
        <v>94</v>
      </c>
      <c r="C32" s="78"/>
      <c r="D32" s="110">
        <f>IFERROR(D31*D8/(F16+F26),0)</f>
        <v>0</v>
      </c>
    </row>
    <row r="33" spans="1:23" ht="14.65" thickBot="1" x14ac:dyDescent="0.5">
      <c r="A33" s="12"/>
    </row>
    <row r="34" spans="1:23" ht="14.65" thickBot="1" x14ac:dyDescent="0.5">
      <c r="A34" s="12"/>
      <c r="I34" s="163"/>
      <c r="V34" s="2" t="s">
        <v>34</v>
      </c>
      <c r="W34" s="19" t="s">
        <v>35</v>
      </c>
    </row>
    <row r="35" spans="1:23" x14ac:dyDescent="0.45">
      <c r="A35" s="12"/>
      <c r="B35" s="10" t="s">
        <v>19</v>
      </c>
      <c r="C35" s="118"/>
      <c r="D35" s="11" t="s">
        <v>4</v>
      </c>
      <c r="I35" s="164"/>
      <c r="V35" s="8" t="s">
        <v>36</v>
      </c>
      <c r="W35" s="15">
        <v>1.2</v>
      </c>
    </row>
    <row r="36" spans="1:23" ht="14.65" thickBot="1" x14ac:dyDescent="0.5">
      <c r="A36" s="58" t="s">
        <v>0</v>
      </c>
      <c r="B36" s="5" t="s">
        <v>0</v>
      </c>
      <c r="C36" s="116"/>
      <c r="D36" s="113">
        <f>IFERROR(IF(D28&lt;0,"niet terug te verdienen",(D8+D32)/(F16+F26)),0)</f>
        <v>0</v>
      </c>
      <c r="I36" s="163"/>
      <c r="V36" s="4" t="s">
        <v>37</v>
      </c>
      <c r="W36" s="16">
        <v>1300</v>
      </c>
    </row>
    <row r="37" spans="1:23" x14ac:dyDescent="0.45">
      <c r="I37" s="164"/>
      <c r="V37" s="8" t="s">
        <v>38</v>
      </c>
      <c r="W37" s="15">
        <v>925</v>
      </c>
    </row>
    <row r="38" spans="1:23" ht="28.15" customHeight="1" x14ac:dyDescent="0.45">
      <c r="I38" s="163"/>
      <c r="V38" s="4" t="s">
        <v>39</v>
      </c>
      <c r="W38" s="16">
        <v>0.73</v>
      </c>
    </row>
    <row r="39" spans="1:23" x14ac:dyDescent="0.45">
      <c r="I39" s="164"/>
      <c r="V39" s="8" t="s">
        <v>40</v>
      </c>
      <c r="W39" s="15">
        <v>31.6</v>
      </c>
    </row>
    <row r="40" spans="1:23" x14ac:dyDescent="0.45">
      <c r="I40" s="163"/>
      <c r="V40" s="4" t="s">
        <v>41</v>
      </c>
      <c r="W40" s="16">
        <v>1.1299999999999999</v>
      </c>
    </row>
    <row r="41" spans="1:23" ht="14.65" thickBot="1" x14ac:dyDescent="0.5">
      <c r="I41" s="164"/>
      <c r="V41" s="18" t="s">
        <v>42</v>
      </c>
      <c r="W41" s="20">
        <v>1.04</v>
      </c>
    </row>
    <row r="42" spans="1:23" ht="42.75" x14ac:dyDescent="0.45">
      <c r="I42" s="163"/>
      <c r="V42" s="82" t="s">
        <v>84</v>
      </c>
    </row>
  </sheetData>
  <sheetProtection algorithmName="SHA-512" hashValue="Gnz/zTqIslXM+74csdgeR5Ll6oX7nLtjFbR3LgGEZstlNFoNZ0fpBV8t3G5tSjAVPLKJ/q5SKacql3FrF9QMpA==" saltValue="thQOejtpd5wxDndofPxNuw==" spinCount="100000" sheet="1" selectLockedCells="1"/>
  <protectedRanges>
    <protectedRange sqref="D20:E25 D6:D7 I10 O10 O20 I20 O29 I29" name="Bereik1"/>
  </protectedRanges>
  <mergeCells count="1">
    <mergeCell ref="B23:C23"/>
  </mergeCell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Voor u begint</vt:lpstr>
      <vt:lpstr>standaardwaarden</vt:lpstr>
      <vt:lpstr>rekenblad TVT-toets</vt:lpstr>
      <vt:lpstr>'Voor u begint'!_Hlk127966169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Weiden, A.G.M. van der (Arjan)</dc:creator>
  <cp:lastModifiedBy>Brink, F. van den (Fred)</cp:lastModifiedBy>
  <cp:lastPrinted>2019-07-08T08:46:05Z</cp:lastPrinted>
  <dcterms:created xsi:type="dcterms:W3CDTF">2019-07-08T08:05:46Z</dcterms:created>
  <dcterms:modified xsi:type="dcterms:W3CDTF">2023-08-24T13:38:15Z</dcterms:modified>
</cp:coreProperties>
</file>