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agnl\Data - Q-schijf op Fil08\EK\MEI_IDE\Programma SDE\MSK SDE+ SDE++\MSK SDE++ (vanaf najaar 2020)\Wind\"/>
    </mc:Choice>
  </mc:AlternateContent>
  <xr:revisionPtr revIDLastSave="0" documentId="13_ncr:1_{9F8A68EA-2A73-40C3-85D3-ACCCD47CED2A}" xr6:coauthVersionLast="47" xr6:coauthVersionMax="47" xr10:uidLastSave="{00000000-0000-0000-0000-000000000000}"/>
  <bookViews>
    <workbookView xWindow="-120" yWindow="-120" windowWidth="51840" windowHeight="21240" tabRatio="874" xr2:uid="{00000000-000D-0000-FFFF-FFFF00000000}"/>
  </bookViews>
  <sheets>
    <sheet name="Invoerblad" sheetId="1" r:id="rId1"/>
    <sheet name="Overzicht MSK toets" sheetId="3" r:id="rId2"/>
    <sheet name="hulpberekeningen 2" sheetId="15" state="hidden" r:id="rId3"/>
    <sheet name="Samenvatting en uitgangspunten" sheetId="6" r:id="rId4"/>
    <sheet name="Hulpberekeningen 1" sheetId="9" state="hidden" r:id="rId5"/>
    <sheet name="Beoordeling" sheetId="18" state="hidden" r:id="rId6"/>
    <sheet name="Toelichting" sheetId="17" r:id="rId7"/>
    <sheet name="Stamblad" sheetId="7" r:id="rId8"/>
    <sheet name="Hulpberekeningen 3 " sheetId="19" state="hidden" r:id="rId9"/>
    <sheet name="Rendement geinv. vermogen" sheetId="10" state="hidden" r:id="rId10"/>
    <sheet name="VAMIL voordeel" sheetId="11" state="hidden" r:id="rId11"/>
    <sheet name="Invoerblad  bij lease" sheetId="12" state="hidden" r:id="rId12"/>
  </sheets>
  <externalReferences>
    <externalReference r:id="rId13"/>
  </externalReferences>
  <definedNames>
    <definedName name="_xlnm.Print_Area" localSheetId="0">Invoerblad!$A$5:$AB$130</definedName>
    <definedName name="Categorie">[1]Stamblad!$B$9:$B$39</definedName>
    <definedName name="inv_bl_A">Invoerblad!$A$8:$W$85</definedName>
    <definedName name="inv_bl_C">Invoerblad!#REF!</definedName>
    <definedName name="invbl_B1">Invoerblad!$A$115:$W$119</definedName>
    <definedName name="invbl_b2">Invoerblad!$A$121:$W$130</definedName>
    <definedName name="lijst_categorien" localSheetId="7">#REF!</definedName>
    <definedName name="lijst_categorien">#REF!</definedName>
    <definedName name="msktoets">'Overzicht MSK toets'!$A$1:$M$97</definedName>
    <definedName name="sde_ronde">#REF!</definedName>
    <definedName name="Z_4284377C_91E6_4152_887E_8DA87560FDD6_.wvu.Cols" localSheetId="0">Invoerblad!$F:$F,Invoerblad!$I:$J</definedName>
    <definedName name="Z_4284377C_91E6_4152_887E_8DA87560FDD6_.wvu.Rows" localSheetId="0">Invoerblad!#REF!,Invoerblad!#REF!,Invoerblad!#REF!</definedName>
    <definedName name="Z_4284377C_91E6_4152_887E_8DA87560FDD6_.wvu.Rows" localSheetId="11">'Invoerblad  bij lease'!$9:$10</definedName>
    <definedName name="Z_4284377C_91E6_4152_887E_8DA87560FDD6_.wvu.Rows" localSheetId="1">'Overzicht MSK toets'!$79:$79,'Overzicht MSK toets'!$82:$82</definedName>
    <definedName name="Z_546B9E27_05F9_47A7_B161_BCC56D613799_.wvu.Cols" localSheetId="0">Invoerblad!$F:$F,Invoerblad!$I:$J</definedName>
    <definedName name="Z_546B9E27_05F9_47A7_B161_BCC56D613799_.wvu.Rows" localSheetId="0">Invoerblad!#REF!,Invoerblad!#REF!,Invoerblad!#REF!</definedName>
    <definedName name="Z_546B9E27_05F9_47A7_B161_BCC56D613799_.wvu.Rows" localSheetId="11">'Invoerblad  bij lease'!$9:$10</definedName>
    <definedName name="Z_546B9E27_05F9_47A7_B161_BCC56D613799_.wvu.Rows" localSheetId="1">'Overzicht MSK toets'!$79:$79,'Overzicht MSK toets'!$82:$82</definedName>
    <definedName name="Z_5D986420_B83B_47C8_8160_784F77FFC196_.wvu.Cols" localSheetId="0">Invoerblad!$I:$J</definedName>
    <definedName name="Z_5D986420_B83B_47C8_8160_784F77FFC196_.wvu.Rows" localSheetId="0">Invoerblad!#REF!,Invoerblad!#REF!,Invoerblad!#REF!</definedName>
    <definedName name="Z_5D986420_B83B_47C8_8160_784F77FFC196_.wvu.Rows" localSheetId="11">'Invoerblad  bij lease'!$9:$10</definedName>
    <definedName name="Z_5D986420_B83B_47C8_8160_784F77FFC196_.wvu.Rows" localSheetId="1">'Overzicht MSK toets'!$79:$79,'Overzicht MSK toets'!$82:$82</definedName>
    <definedName name="Z_C9029B8D_126A_43F1_8BE9_BB8A7DE12FBF_.wvu.Cols" localSheetId="0">Invoerblad!$F:$F,Invoerblad!$I:$J</definedName>
    <definedName name="Z_C9029B8D_126A_43F1_8BE9_BB8A7DE12FBF_.wvu.Rows" localSheetId="0">Invoerblad!#REF!,Invoerblad!#REF!,Invoerblad!#REF!</definedName>
    <definedName name="Z_C9029B8D_126A_43F1_8BE9_BB8A7DE12FBF_.wvu.Rows" localSheetId="11">'Invoerblad  bij lease'!$9:$10</definedName>
    <definedName name="Z_C9029B8D_126A_43F1_8BE9_BB8A7DE12FBF_.wvu.Rows" localSheetId="1">'Overzicht MSK toets'!$79:$79,'Overzicht MSK toets'!$82:$82</definedName>
    <definedName name="Z_D98A0717_74D0_4F54_BB8F_A337A1A9E4DF_.wvu.Cols" localSheetId="0">Invoerblad!$F:$F,Invoerblad!$I:$J</definedName>
    <definedName name="Z_D98A0717_74D0_4F54_BB8F_A337A1A9E4DF_.wvu.Rows" localSheetId="0">Invoerblad!#REF!,Invoerblad!#REF!,Invoerblad!#REF!</definedName>
    <definedName name="Z_D98A0717_74D0_4F54_BB8F_A337A1A9E4DF_.wvu.Rows" localSheetId="11">'Invoerblad  bij lease'!$9:$10</definedName>
    <definedName name="Z_D98A0717_74D0_4F54_BB8F_A337A1A9E4DF_.wvu.Rows" localSheetId="1">'Overzicht MSK toets'!$79:$79,'Overzicht MSK toets'!$82:$82</definedName>
  </definedNames>
  <calcPr calcId="191029" iterate="1" iterateCount="30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91" i="1" l="1"/>
  <c r="N91" i="1"/>
  <c r="O91" i="1"/>
  <c r="P91" i="1"/>
  <c r="Q91" i="1"/>
  <c r="R91" i="1"/>
  <c r="S91" i="1"/>
  <c r="T91" i="1"/>
  <c r="U91" i="1"/>
  <c r="V91" i="1"/>
  <c r="W91" i="1"/>
  <c r="X91" i="1"/>
  <c r="Y91" i="1"/>
  <c r="Z91" i="1"/>
  <c r="AA91" i="1"/>
  <c r="AB91" i="1"/>
  <c r="L91" i="1"/>
  <c r="E82" i="1" l="1" a="1"/>
  <c r="E82" i="1"/>
  <c r="E83" i="1" a="1"/>
  <c r="E83" i="1"/>
  <c r="B148" i="1" l="1"/>
  <c r="B146" i="1" l="1"/>
  <c r="B147" i="1"/>
  <c r="B145" i="1"/>
  <c r="B91" i="1" l="1"/>
  <c r="T9" i="11" l="1"/>
  <c r="T7" i="11"/>
  <c r="O62" i="1"/>
  <c r="P62" i="1"/>
  <c r="Q62" i="1"/>
  <c r="R62" i="1"/>
  <c r="S62" i="1"/>
  <c r="T62" i="1"/>
  <c r="U62" i="1"/>
  <c r="V62" i="1"/>
  <c r="W62" i="1"/>
  <c r="X62" i="1"/>
  <c r="Y62" i="1"/>
  <c r="N62" i="1"/>
  <c r="E34" i="1" l="1"/>
  <c r="P29" i="9"/>
  <c r="P30" i="9" l="1"/>
  <c r="P31" i="9" s="1"/>
  <c r="P32" i="9" s="1"/>
  <c r="A15" i="11"/>
  <c r="I136" i="1"/>
  <c r="Y128" i="1" a="1"/>
  <c r="Y128" i="1" s="1"/>
  <c r="X128" i="1" a="1"/>
  <c r="X128" i="1" s="1"/>
  <c r="W128" i="1" a="1"/>
  <c r="W128" i="1" s="1"/>
  <c r="V128" i="1" a="1"/>
  <c r="V128" i="1" s="1"/>
  <c r="U128" i="1" a="1"/>
  <c r="U128" i="1" s="1"/>
  <c r="T128" i="1" a="1"/>
  <c r="T128" i="1" s="1"/>
  <c r="S128" i="1" a="1"/>
  <c r="S128" i="1" s="1"/>
  <c r="R128" i="1" a="1"/>
  <c r="R128" i="1" s="1"/>
  <c r="Q128" i="1" a="1"/>
  <c r="Q128" i="1" s="1"/>
  <c r="P128" i="1" a="1"/>
  <c r="P128" i="1" s="1"/>
  <c r="O128" i="1" a="1"/>
  <c r="O128" i="1" s="1"/>
  <c r="N128" i="1" a="1"/>
  <c r="N128" i="1" s="1"/>
  <c r="I38" i="1" l="1"/>
  <c r="I130" i="1"/>
  <c r="E80" i="1" a="1"/>
  <c r="E80" i="1" s="1"/>
  <c r="E75" i="1" a="1"/>
  <c r="E75" i="1" s="1"/>
  <c r="E5" i="9" l="1"/>
  <c r="K136" i="1" l="1"/>
  <c r="B3" i="15" l="1"/>
  <c r="I22" i="1" l="1"/>
  <c r="B6" i="15"/>
  <c r="E4" i="15"/>
  <c r="F4" i="15"/>
  <c r="G4" i="15"/>
  <c r="H4" i="15"/>
  <c r="I4" i="15"/>
  <c r="J4" i="15"/>
  <c r="K4" i="15"/>
  <c r="L4" i="15"/>
  <c r="M4" i="15"/>
  <c r="N4" i="15"/>
  <c r="O4" i="15"/>
  <c r="P4" i="15"/>
  <c r="Q4" i="15"/>
  <c r="R4" i="15"/>
  <c r="S4" i="15"/>
  <c r="T4" i="15"/>
  <c r="D4" i="15"/>
  <c r="B5" i="15"/>
  <c r="B4" i="15"/>
  <c r="D25" i="15"/>
  <c r="E25" i="15"/>
  <c r="F25" i="15"/>
  <c r="G25" i="15"/>
  <c r="H25" i="15"/>
  <c r="I25" i="15"/>
  <c r="J25" i="15"/>
  <c r="K25" i="15"/>
  <c r="L25" i="15"/>
  <c r="M25" i="15"/>
  <c r="N25" i="15"/>
  <c r="O25" i="15"/>
  <c r="P25" i="15"/>
  <c r="Q25" i="15"/>
  <c r="R25" i="15"/>
  <c r="S25" i="15"/>
  <c r="T25" i="15"/>
  <c r="U25" i="15"/>
  <c r="U33" i="15" l="1"/>
  <c r="T32" i="15"/>
  <c r="U32" i="15"/>
  <c r="B7" i="15" l="1"/>
  <c r="I20" i="1"/>
  <c r="E3" i="9" l="1"/>
  <c r="AB89" i="1" l="1"/>
  <c r="L90" i="1"/>
  <c r="M90" i="1"/>
  <c r="N90" i="1"/>
  <c r="O90" i="1"/>
  <c r="P90" i="1"/>
  <c r="Q90" i="1"/>
  <c r="R90" i="1"/>
  <c r="S90" i="1"/>
  <c r="T90" i="1"/>
  <c r="U90" i="1"/>
  <c r="V90" i="1"/>
  <c r="W90" i="1"/>
  <c r="X90" i="1"/>
  <c r="Y90" i="1"/>
  <c r="Z90" i="1"/>
  <c r="AA90" i="1"/>
  <c r="AB90" i="1"/>
  <c r="L89" i="1"/>
  <c r="M89" i="1"/>
  <c r="N89" i="1"/>
  <c r="O89" i="1"/>
  <c r="P89" i="1"/>
  <c r="Q89" i="1"/>
  <c r="R89" i="1"/>
  <c r="S89" i="1"/>
  <c r="T89" i="1"/>
  <c r="U89" i="1"/>
  <c r="V89" i="1"/>
  <c r="W89" i="1"/>
  <c r="X89" i="1"/>
  <c r="Y89" i="1"/>
  <c r="Z89" i="1"/>
  <c r="AA89" i="1"/>
  <c r="K90" i="1"/>
  <c r="K89" i="1"/>
  <c r="D16" i="3" l="1"/>
  <c r="E11" i="6" s="1"/>
  <c r="D17" i="3"/>
  <c r="E12" i="6" s="1"/>
  <c r="B8" i="10" l="1"/>
  <c r="B25" i="10"/>
  <c r="B9" i="10" l="1"/>
  <c r="B144" i="1"/>
  <c r="B3" i="10" l="1"/>
  <c r="T49" i="15" l="1"/>
  <c r="U49" i="15"/>
  <c r="U26" i="15"/>
  <c r="U50" i="15" l="1"/>
  <c r="A37" i="15"/>
  <c r="E49" i="15"/>
  <c r="F49" i="15"/>
  <c r="G49" i="15"/>
  <c r="H49" i="15"/>
  <c r="I49" i="15"/>
  <c r="J49" i="15"/>
  <c r="K49" i="15"/>
  <c r="L49" i="15"/>
  <c r="M49" i="15"/>
  <c r="N49" i="15"/>
  <c r="O49" i="15"/>
  <c r="P49" i="15"/>
  <c r="Q49" i="15"/>
  <c r="R49" i="15"/>
  <c r="S49" i="15"/>
  <c r="D49" i="15"/>
  <c r="E53" i="3" l="1"/>
  <c r="F37" i="6" s="1"/>
  <c r="B40" i="6" s="1"/>
  <c r="U29" i="15"/>
  <c r="U30" i="15"/>
  <c r="B55" i="3" l="1"/>
  <c r="B56" i="3"/>
  <c r="B54" i="3"/>
  <c r="C12" i="12" l="1"/>
  <c r="C11" i="12"/>
  <c r="C9" i="12"/>
  <c r="C19" i="12" s="1"/>
  <c r="F1" i="12"/>
  <c r="Q9" i="11"/>
  <c r="P9" i="11"/>
  <c r="O9" i="11"/>
  <c r="N9" i="11"/>
  <c r="M9" i="11"/>
  <c r="L9" i="11"/>
  <c r="K9" i="11"/>
  <c r="J9" i="11"/>
  <c r="I9" i="11"/>
  <c r="H9" i="11"/>
  <c r="G9" i="11"/>
  <c r="F9" i="11"/>
  <c r="B4" i="11"/>
  <c r="B26" i="10"/>
  <c r="B7" i="10"/>
  <c r="D3" i="9"/>
  <c r="E2" i="9"/>
  <c r="E1" i="9"/>
  <c r="E78" i="6"/>
  <c r="E77" i="6"/>
  <c r="E76" i="6"/>
  <c r="E75" i="6"/>
  <c r="E74" i="6"/>
  <c r="E72" i="6"/>
  <c r="E68" i="6"/>
  <c r="E62" i="6"/>
  <c r="B63" i="6" s="1"/>
  <c r="E61" i="6"/>
  <c r="E59" i="6"/>
  <c r="E56" i="6"/>
  <c r="E55" i="6"/>
  <c r="B57" i="6" s="1"/>
  <c r="E54" i="6"/>
  <c r="E52" i="6"/>
  <c r="E51" i="6"/>
  <c r="E50" i="6"/>
  <c r="E45" i="6"/>
  <c r="E44" i="6"/>
  <c r="E43" i="6"/>
  <c r="D13" i="6"/>
  <c r="D12" i="6"/>
  <c r="D11" i="6"/>
  <c r="D20" i="3"/>
  <c r="E15" i="6" s="1"/>
  <c r="D19" i="3"/>
  <c r="E14" i="6" s="1"/>
  <c r="D18" i="3"/>
  <c r="E13" i="6" s="1"/>
  <c r="C18" i="3"/>
  <c r="C17" i="3"/>
  <c r="C16" i="3"/>
  <c r="E7" i="3"/>
  <c r="F4" i="6" s="1"/>
  <c r="AB92" i="1"/>
  <c r="AA92" i="1"/>
  <c r="Z92" i="1"/>
  <c r="Y92" i="1"/>
  <c r="X92" i="1"/>
  <c r="W92" i="1"/>
  <c r="V92" i="1"/>
  <c r="U92" i="1"/>
  <c r="T92" i="1"/>
  <c r="S92" i="1"/>
  <c r="R92" i="1"/>
  <c r="Q92" i="1"/>
  <c r="P92" i="1"/>
  <c r="O92" i="1"/>
  <c r="N92" i="1"/>
  <c r="M92" i="1"/>
  <c r="L92" i="1"/>
  <c r="K92" i="1"/>
  <c r="E76" i="1"/>
  <c r="B5" i="10" s="1"/>
  <c r="E67" i="1"/>
  <c r="E63" i="6" s="1"/>
  <c r="E59" i="1"/>
  <c r="E52" i="1"/>
  <c r="C18" i="12" l="1"/>
  <c r="C20" i="12" s="1"/>
  <c r="E4" i="9"/>
  <c r="E57" i="6"/>
  <c r="E73" i="1"/>
  <c r="E18" i="9"/>
  <c r="D8" i="9"/>
  <c r="F17" i="9"/>
  <c r="E69" i="6"/>
  <c r="E22" i="9" l="1"/>
  <c r="E15" i="9"/>
  <c r="K18" i="1"/>
  <c r="C7" i="11" s="1"/>
  <c r="C8" i="11" s="1"/>
  <c r="D5" i="9"/>
  <c r="D10" i="9"/>
  <c r="D9" i="9"/>
  <c r="E14" i="9"/>
  <c r="E66" i="6"/>
  <c r="D11" i="9" l="1"/>
  <c r="E19" i="9" s="1"/>
  <c r="D12" i="9"/>
  <c r="D15" i="9" s="1"/>
  <c r="E24" i="9"/>
  <c r="K19" i="1" s="1"/>
  <c r="D26" i="15"/>
  <c r="D50" i="15" s="1"/>
  <c r="D5" i="15"/>
  <c r="K88" i="1"/>
  <c r="K57" i="1"/>
  <c r="L18" i="1"/>
  <c r="D7" i="11" s="1"/>
  <c r="K118" i="1"/>
  <c r="L118" i="1" s="1"/>
  <c r="M118" i="1" s="1"/>
  <c r="N118" i="1" s="1"/>
  <c r="O118" i="1" s="1"/>
  <c r="P118" i="1" s="1"/>
  <c r="Q118" i="1" s="1"/>
  <c r="R118" i="1" s="1"/>
  <c r="S118" i="1" s="1"/>
  <c r="T118" i="1" s="1"/>
  <c r="U118" i="1" s="1"/>
  <c r="V118" i="1" s="1"/>
  <c r="W118" i="1" s="1"/>
  <c r="X118" i="1" s="1"/>
  <c r="Y118" i="1" s="1"/>
  <c r="Z118" i="1" s="1"/>
  <c r="AA118" i="1" s="1"/>
  <c r="C2" i="19" l="1"/>
  <c r="K108" i="1"/>
  <c r="K65" i="1"/>
  <c r="K62" i="1"/>
  <c r="K59" i="1"/>
  <c r="C12" i="10"/>
  <c r="L57" i="1"/>
  <c r="D12" i="10" s="1"/>
  <c r="K128" i="1" a="1"/>
  <c r="K128" i="1" s="1"/>
  <c r="R8" i="11"/>
  <c r="D14" i="9"/>
  <c r="D7" i="15"/>
  <c r="K20" i="1" s="1"/>
  <c r="K93" i="1"/>
  <c r="K101" i="1"/>
  <c r="E25" i="9"/>
  <c r="E5" i="15"/>
  <c r="L88" i="1"/>
  <c r="M18" i="1"/>
  <c r="E7" i="11" s="1"/>
  <c r="E26" i="15"/>
  <c r="F21" i="9"/>
  <c r="D2" i="19" l="1"/>
  <c r="L108" i="1"/>
  <c r="L62" i="1"/>
  <c r="D9" i="11" s="1"/>
  <c r="C27" i="10"/>
  <c r="C26" i="10"/>
  <c r="C9" i="11"/>
  <c r="C11" i="11" s="1"/>
  <c r="C13" i="11" s="1"/>
  <c r="M57" i="1"/>
  <c r="E12" i="10" s="1"/>
  <c r="L65" i="1"/>
  <c r="L59" i="1"/>
  <c r="F5" i="15"/>
  <c r="L93" i="1"/>
  <c r="L101" i="1"/>
  <c r="K122" i="1"/>
  <c r="K102" i="1"/>
  <c r="M88" i="1"/>
  <c r="E50" i="15"/>
  <c r="N18" i="1"/>
  <c r="F26" i="15"/>
  <c r="G21" i="9"/>
  <c r="F22" i="9"/>
  <c r="F24" i="9"/>
  <c r="D26" i="10" l="1"/>
  <c r="E26" i="10" s="1"/>
  <c r="D27" i="10"/>
  <c r="E2" i="19"/>
  <c r="F27" i="10"/>
  <c r="F26" i="10"/>
  <c r="E27" i="10"/>
  <c r="D8" i="11"/>
  <c r="S8" i="11" s="1"/>
  <c r="G5" i="15"/>
  <c r="F7" i="11"/>
  <c r="N57" i="1"/>
  <c r="M62" i="1"/>
  <c r="M65" i="1"/>
  <c r="E68" i="1" s="1"/>
  <c r="M59" i="1"/>
  <c r="E60" i="1" s="1"/>
  <c r="L19" i="1"/>
  <c r="L128" i="1" a="1"/>
  <c r="L128" i="1" s="1"/>
  <c r="L122" i="1"/>
  <c r="L102" i="1"/>
  <c r="M93" i="1"/>
  <c r="M101" i="1"/>
  <c r="E7" i="15"/>
  <c r="L20" i="1" s="1"/>
  <c r="N88" i="1"/>
  <c r="F2" i="19" s="1"/>
  <c r="O18" i="1"/>
  <c r="G26" i="15"/>
  <c r="F50" i="15"/>
  <c r="F25" i="9"/>
  <c r="G24" i="9" s="1"/>
  <c r="E8" i="11" s="1"/>
  <c r="G22" i="9"/>
  <c r="H21" i="9"/>
  <c r="D11" i="11" l="1"/>
  <c r="D13" i="11" s="1"/>
  <c r="G27" i="10"/>
  <c r="G26" i="10"/>
  <c r="O57" i="1"/>
  <c r="F12" i="10"/>
  <c r="I65" i="1"/>
  <c r="M128" i="1" a="1"/>
  <c r="M128" i="1" s="1"/>
  <c r="T8" i="11"/>
  <c r="T11" i="11" s="1"/>
  <c r="T13" i="11" s="1"/>
  <c r="H5" i="15"/>
  <c r="G7" i="11"/>
  <c r="D12" i="3"/>
  <c r="E7" i="6" s="1"/>
  <c r="E58" i="6"/>
  <c r="E9" i="11"/>
  <c r="E64" i="6"/>
  <c r="D21" i="3"/>
  <c r="E16" i="6" s="1"/>
  <c r="I59" i="1"/>
  <c r="M19" i="1"/>
  <c r="F6" i="15" s="1"/>
  <c r="O88" i="1"/>
  <c r="G2" i="19" s="1"/>
  <c r="M122" i="1"/>
  <c r="M102" i="1"/>
  <c r="F7" i="15"/>
  <c r="M20" i="1" s="1"/>
  <c r="G50" i="15"/>
  <c r="P18" i="1"/>
  <c r="H26" i="15"/>
  <c r="G25" i="9"/>
  <c r="H22" i="9"/>
  <c r="I21" i="9"/>
  <c r="H27" i="10" l="1"/>
  <c r="H26" i="10"/>
  <c r="P57" i="1"/>
  <c r="G12" i="10"/>
  <c r="E11" i="11"/>
  <c r="E13" i="11" s="1"/>
  <c r="I5" i="15"/>
  <c r="H7" i="11"/>
  <c r="N93" i="1"/>
  <c r="N101" i="1"/>
  <c r="P88" i="1"/>
  <c r="H2" i="19" s="1"/>
  <c r="H50" i="15"/>
  <c r="Q18" i="1"/>
  <c r="I26" i="15"/>
  <c r="J21" i="9"/>
  <c r="K21" i="9" s="1"/>
  <c r="I22" i="9"/>
  <c r="H24" i="9"/>
  <c r="Q57" i="1" l="1"/>
  <c r="H12" i="10"/>
  <c r="I27" i="10"/>
  <c r="I26" i="10"/>
  <c r="N19" i="1"/>
  <c r="G6" i="15" s="1"/>
  <c r="F8" i="11"/>
  <c r="F11" i="11" s="1"/>
  <c r="F13" i="11" s="1"/>
  <c r="J5" i="15"/>
  <c r="I7" i="11"/>
  <c r="O93" i="1"/>
  <c r="O101" i="1"/>
  <c r="N102" i="1"/>
  <c r="N122" i="1"/>
  <c r="Q88" i="1"/>
  <c r="I2" i="19" s="1"/>
  <c r="G7" i="15"/>
  <c r="N20" i="1" s="1"/>
  <c r="I50" i="15"/>
  <c r="R18" i="1"/>
  <c r="J26" i="15"/>
  <c r="J22" i="9"/>
  <c r="K22" i="9" s="1"/>
  <c r="H25" i="9"/>
  <c r="L21" i="9"/>
  <c r="J27" i="10" l="1"/>
  <c r="J26" i="10"/>
  <c r="R57" i="1"/>
  <c r="I12" i="10"/>
  <c r="K5" i="15"/>
  <c r="J7" i="11"/>
  <c r="P93" i="1"/>
  <c r="P101" i="1"/>
  <c r="O122" i="1"/>
  <c r="O102" i="1"/>
  <c r="R88" i="1"/>
  <c r="J2" i="19" s="1"/>
  <c r="J50" i="15"/>
  <c r="S18" i="1"/>
  <c r="K26" i="15"/>
  <c r="I24" i="9"/>
  <c r="L22" i="9"/>
  <c r="M21" i="9"/>
  <c r="K27" i="10" l="1"/>
  <c r="K26" i="10"/>
  <c r="S57" i="1"/>
  <c r="J12" i="10"/>
  <c r="L5" i="15"/>
  <c r="K7" i="11"/>
  <c r="O19" i="1"/>
  <c r="H6" i="15" s="1"/>
  <c r="G8" i="11"/>
  <c r="G11" i="11" s="1"/>
  <c r="G13" i="11" s="1"/>
  <c r="Q93" i="1"/>
  <c r="Q101" i="1"/>
  <c r="P102" i="1"/>
  <c r="P122" i="1"/>
  <c r="S88" i="1"/>
  <c r="K2" i="19" s="1"/>
  <c r="H7" i="15"/>
  <c r="O20" i="1" s="1"/>
  <c r="T18" i="1"/>
  <c r="L26" i="15"/>
  <c r="K50" i="15"/>
  <c r="M22" i="9"/>
  <c r="N21" i="9"/>
  <c r="I25" i="9"/>
  <c r="L27" i="10" l="1"/>
  <c r="L26" i="10"/>
  <c r="T57" i="1"/>
  <c r="K12" i="10"/>
  <c r="M5" i="15"/>
  <c r="L7" i="11"/>
  <c r="R93" i="1"/>
  <c r="R101" i="1"/>
  <c r="Q122" i="1"/>
  <c r="Q102" i="1"/>
  <c r="T88" i="1"/>
  <c r="L2" i="19" s="1"/>
  <c r="U18" i="1"/>
  <c r="M26" i="15"/>
  <c r="L50" i="15"/>
  <c r="N22" i="9"/>
  <c r="O21" i="9"/>
  <c r="J24" i="9"/>
  <c r="M27" i="10" l="1"/>
  <c r="M26" i="10"/>
  <c r="U57" i="1"/>
  <c r="L12" i="10"/>
  <c r="P19" i="1"/>
  <c r="I6" i="15" s="1"/>
  <c r="H8" i="11"/>
  <c r="H11" i="11" s="1"/>
  <c r="H13" i="11" s="1"/>
  <c r="N5" i="15"/>
  <c r="M7" i="11"/>
  <c r="S93" i="1"/>
  <c r="S101" i="1"/>
  <c r="R122" i="1"/>
  <c r="R102" i="1"/>
  <c r="U88" i="1"/>
  <c r="M2" i="19" s="1"/>
  <c r="I7" i="15"/>
  <c r="P20" i="1" s="1"/>
  <c r="M50" i="15"/>
  <c r="V18" i="1"/>
  <c r="N26" i="15"/>
  <c r="J25" i="9"/>
  <c r="O22" i="9"/>
  <c r="P21" i="9"/>
  <c r="N27" i="10" l="1"/>
  <c r="N26" i="10"/>
  <c r="V57" i="1"/>
  <c r="M12" i="10"/>
  <c r="B30" i="10"/>
  <c r="O5" i="15"/>
  <c r="N7" i="11"/>
  <c r="T93" i="1"/>
  <c r="T101" i="1"/>
  <c r="S122" i="1"/>
  <c r="S102" i="1"/>
  <c r="V88" i="1"/>
  <c r="N2" i="19" s="1"/>
  <c r="N50" i="15"/>
  <c r="W18" i="1"/>
  <c r="O26" i="15"/>
  <c r="P22" i="9"/>
  <c r="Q21" i="9"/>
  <c r="K24" i="9"/>
  <c r="W57" i="1" l="1"/>
  <c r="N12" i="10"/>
  <c r="P5" i="15"/>
  <c r="O7" i="11"/>
  <c r="Q19" i="1"/>
  <c r="J6" i="15" s="1"/>
  <c r="I8" i="11"/>
  <c r="I11" i="11" s="1"/>
  <c r="I13" i="11" s="1"/>
  <c r="U93" i="1"/>
  <c r="U101" i="1"/>
  <c r="T122" i="1"/>
  <c r="T102" i="1"/>
  <c r="W88" i="1"/>
  <c r="O2" i="19" s="1"/>
  <c r="J7" i="15"/>
  <c r="Q20" i="1" s="1"/>
  <c r="O50" i="15"/>
  <c r="X18" i="1"/>
  <c r="P26" i="15"/>
  <c r="K25" i="9"/>
  <c r="L24" i="9" s="1"/>
  <c r="Q22" i="9"/>
  <c r="R21" i="9"/>
  <c r="X57" i="1" l="1"/>
  <c r="O12" i="10"/>
  <c r="D11" i="3"/>
  <c r="E81" i="1"/>
  <c r="E73" i="6" s="1"/>
  <c r="R19" i="1"/>
  <c r="K6" i="15" s="1"/>
  <c r="J8" i="11"/>
  <c r="J11" i="11" s="1"/>
  <c r="J13" i="11" s="1"/>
  <c r="Q5" i="15"/>
  <c r="P7" i="11"/>
  <c r="V93" i="1"/>
  <c r="V101" i="1"/>
  <c r="U122" i="1"/>
  <c r="U102" i="1"/>
  <c r="X88" i="1"/>
  <c r="P2" i="19" s="1"/>
  <c r="K7" i="15"/>
  <c r="R20" i="1" s="1"/>
  <c r="P50" i="15"/>
  <c r="Y18" i="1"/>
  <c r="Q26" i="15"/>
  <c r="L25" i="9"/>
  <c r="R22" i="9"/>
  <c r="S21" i="9"/>
  <c r="Y57" i="1" l="1"/>
  <c r="P12" i="10"/>
  <c r="E6" i="6"/>
  <c r="D14" i="3"/>
  <c r="E9" i="6" s="1"/>
  <c r="R5" i="15"/>
  <c r="Q7" i="11"/>
  <c r="W93" i="1"/>
  <c r="W101" i="1"/>
  <c r="V122" i="1"/>
  <c r="V102" i="1"/>
  <c r="Y88" i="1"/>
  <c r="Q2" i="19" s="1"/>
  <c r="Q50" i="15"/>
  <c r="Z18" i="1"/>
  <c r="R26" i="15"/>
  <c r="M24" i="9"/>
  <c r="S22" i="9"/>
  <c r="T21" i="9"/>
  <c r="Z57" i="1" l="1"/>
  <c r="Q12" i="10"/>
  <c r="S19" i="1"/>
  <c r="L6" i="15" s="1"/>
  <c r="K8" i="11"/>
  <c r="K11" i="11" s="1"/>
  <c r="K13" i="11" s="1"/>
  <c r="S5" i="15"/>
  <c r="R7" i="11"/>
  <c r="X93" i="1"/>
  <c r="X101" i="1"/>
  <c r="W102" i="1"/>
  <c r="W122" i="1"/>
  <c r="Z88" i="1"/>
  <c r="R2" i="19" s="1"/>
  <c r="L7" i="15"/>
  <c r="S20" i="1" s="1"/>
  <c r="R50" i="15"/>
  <c r="AA18" i="1"/>
  <c r="S7" i="11" s="1"/>
  <c r="S26" i="15"/>
  <c r="M25" i="9"/>
  <c r="T22" i="9"/>
  <c r="U21" i="9"/>
  <c r="R12" i="10" l="1"/>
  <c r="AA57" i="1"/>
  <c r="Z62" i="1"/>
  <c r="Y93" i="1"/>
  <c r="Y101" i="1"/>
  <c r="X122" i="1"/>
  <c r="X102" i="1"/>
  <c r="AA88" i="1"/>
  <c r="S2" i="19" s="1"/>
  <c r="T26" i="15"/>
  <c r="T50" i="15" s="1"/>
  <c r="T5" i="15"/>
  <c r="S50" i="15"/>
  <c r="U24" i="9"/>
  <c r="U22" i="9"/>
  <c r="V21" i="9"/>
  <c r="N24" i="9"/>
  <c r="AA62" i="1" l="1"/>
  <c r="S9" i="11" s="1"/>
  <c r="S11" i="11" s="1"/>
  <c r="S13" i="11" s="1"/>
  <c r="S12" i="10"/>
  <c r="R9" i="11"/>
  <c r="T19" i="1"/>
  <c r="M6" i="15" s="1"/>
  <c r="L8" i="11"/>
  <c r="L11" i="11" s="1"/>
  <c r="L13" i="11" s="1"/>
  <c r="T7" i="15"/>
  <c r="AA20" i="1" s="1"/>
  <c r="Z93" i="1"/>
  <c r="Z101" i="1"/>
  <c r="Y122" i="1"/>
  <c r="Y102" i="1"/>
  <c r="AB88" i="1"/>
  <c r="T2" i="19" s="1"/>
  <c r="M7" i="15"/>
  <c r="T20" i="1" s="1"/>
  <c r="N25" i="9"/>
  <c r="O24" i="9" s="1"/>
  <c r="V24" i="9"/>
  <c r="V22" i="9"/>
  <c r="W21" i="9"/>
  <c r="I62" i="1" l="1"/>
  <c r="U19" i="1"/>
  <c r="N6" i="15" s="1"/>
  <c r="N16" i="15" s="1"/>
  <c r="U24" i="1" s="1"/>
  <c r="M8" i="11"/>
  <c r="M11" i="11" s="1"/>
  <c r="M13" i="11" s="1"/>
  <c r="AB93" i="1"/>
  <c r="AB101" i="1"/>
  <c r="AB102" i="1" s="1"/>
  <c r="Z102" i="1"/>
  <c r="Z122" i="1"/>
  <c r="H122" i="1" s="1"/>
  <c r="E79" i="6" s="1"/>
  <c r="AA93" i="1"/>
  <c r="AA101" i="1"/>
  <c r="H101" i="1"/>
  <c r="N7" i="15"/>
  <c r="U20" i="1" s="1"/>
  <c r="W24" i="9"/>
  <c r="W22" i="9"/>
  <c r="X21" i="9"/>
  <c r="O25" i="9"/>
  <c r="AA102" i="1" l="1"/>
  <c r="AA122" i="1"/>
  <c r="H102" i="1"/>
  <c r="X24" i="9"/>
  <c r="X22" i="9"/>
  <c r="P24" i="9"/>
  <c r="N8" i="11" s="1"/>
  <c r="N11" i="11" s="1"/>
  <c r="N13" i="11" s="1"/>
  <c r="V19" i="1" l="1"/>
  <c r="O6" i="15" s="1"/>
  <c r="O16" i="15"/>
  <c r="V24" i="1" s="1"/>
  <c r="O7" i="15"/>
  <c r="V20" i="1" s="1"/>
  <c r="P25" i="9"/>
  <c r="Q24" i="9" s="1"/>
  <c r="W19" i="1" l="1"/>
  <c r="P6" i="15" s="1"/>
  <c r="P16" i="15" s="1"/>
  <c r="W24" i="1" s="1"/>
  <c r="O8" i="11"/>
  <c r="O11" i="11" s="1"/>
  <c r="O13" i="11" s="1"/>
  <c r="P7" i="15"/>
  <c r="W20" i="1" s="1"/>
  <c r="Q25" i="9"/>
  <c r="R24" i="9" s="1"/>
  <c r="X19" i="1" l="1"/>
  <c r="Q6" i="15" s="1"/>
  <c r="Q16" i="15" s="1"/>
  <c r="X24" i="1" s="1"/>
  <c r="P8" i="11"/>
  <c r="Q7" i="15"/>
  <c r="X20" i="1" s="1"/>
  <c r="R25" i="9"/>
  <c r="P11" i="11" l="1"/>
  <c r="P13" i="11" s="1"/>
  <c r="S24" i="9"/>
  <c r="Y19" i="1" l="1"/>
  <c r="R6" i="15" s="1"/>
  <c r="R16" i="15" s="1"/>
  <c r="Y24" i="1" s="1"/>
  <c r="Q8" i="11"/>
  <c r="R7" i="15"/>
  <c r="Y20" i="1" s="1"/>
  <c r="S25" i="9"/>
  <c r="T24" i="9" s="1"/>
  <c r="S7" i="15" l="1"/>
  <c r="Z20" i="1" s="1"/>
  <c r="T25" i="9"/>
  <c r="U25" i="9" s="1"/>
  <c r="V25" i="9" s="1"/>
  <c r="W25" i="9" s="1"/>
  <c r="X25" i="9" s="1"/>
  <c r="Q11" i="11"/>
  <c r="Q13" i="11" s="1"/>
  <c r="R11" i="11" l="1"/>
  <c r="R13" i="11" s="1"/>
  <c r="C15" i="11" s="1"/>
  <c r="E63" i="1" l="1"/>
  <c r="E60" i="6" s="1"/>
  <c r="E69" i="1" l="1"/>
  <c r="E74" i="1" s="1"/>
  <c r="E67" i="6" s="1"/>
  <c r="D22" i="3"/>
  <c r="D23" i="3" s="1"/>
  <c r="E18" i="6" s="1"/>
  <c r="E65" i="6" l="1"/>
  <c r="E78" i="1"/>
  <c r="E71" i="6" s="1"/>
  <c r="E77" i="1"/>
  <c r="E70" i="6" s="1"/>
  <c r="C5" i="10"/>
  <c r="C3" i="10"/>
  <c r="E17" i="6"/>
  <c r="E24" i="3"/>
  <c r="F19" i="6" s="1"/>
  <c r="D56" i="15"/>
  <c r="C2" i="10" l="1"/>
  <c r="E26" i="3"/>
  <c r="F21" i="6" s="1"/>
  <c r="B13" i="10"/>
  <c r="C13" i="10" s="1"/>
  <c r="B14" i="10"/>
  <c r="C14" i="10" s="1"/>
  <c r="D14" i="10" l="1"/>
  <c r="E14" i="10" s="1"/>
  <c r="D13" i="10"/>
  <c r="E13" i="10" s="1"/>
  <c r="C15" i="10"/>
  <c r="C16" i="10"/>
  <c r="D16" i="10" l="1"/>
  <c r="E16" i="10"/>
  <c r="D15" i="10"/>
  <c r="F14" i="10" l="1"/>
  <c r="E15" i="10"/>
  <c r="F16" i="10" l="1"/>
  <c r="F13" i="10"/>
  <c r="F15" i="10"/>
  <c r="G14" i="10"/>
  <c r="G16" i="10"/>
  <c r="G15" i="10" l="1"/>
  <c r="G13" i="10"/>
  <c r="H14" i="10"/>
  <c r="H16" i="10"/>
  <c r="H15" i="10" l="1"/>
  <c r="H13" i="10"/>
  <c r="I16" i="10"/>
  <c r="I14" i="10"/>
  <c r="I13" i="10" l="1"/>
  <c r="I15" i="10"/>
  <c r="J16" i="10"/>
  <c r="J14" i="10"/>
  <c r="J13" i="10" l="1"/>
  <c r="J15" i="10"/>
  <c r="K14" i="10"/>
  <c r="K16" i="10"/>
  <c r="K15" i="10" l="1"/>
  <c r="K13" i="10"/>
  <c r="L14" i="10"/>
  <c r="L16" i="10"/>
  <c r="L13" i="10" l="1"/>
  <c r="L15" i="10"/>
  <c r="M14" i="10"/>
  <c r="M16" i="10"/>
  <c r="M13" i="10" l="1"/>
  <c r="M15" i="10"/>
  <c r="N16" i="10"/>
  <c r="N14" i="10"/>
  <c r="N13" i="10" l="1"/>
  <c r="N15" i="10"/>
  <c r="O16" i="10"/>
  <c r="O14" i="10"/>
  <c r="O15" i="10" l="1"/>
  <c r="O13" i="10"/>
  <c r="P14" i="10"/>
  <c r="P16" i="10"/>
  <c r="P15" i="10" l="1"/>
  <c r="P13" i="10"/>
  <c r="Q16" i="10"/>
  <c r="Q14" i="10"/>
  <c r="R14" i="10" l="1"/>
  <c r="R16" i="10"/>
  <c r="Q15" i="10"/>
  <c r="Q13" i="10"/>
  <c r="N8" i="15"/>
  <c r="O8" i="15"/>
  <c r="P8" i="15"/>
  <c r="Q8" i="15"/>
  <c r="R8" i="15"/>
  <c r="N9" i="15"/>
  <c r="N18" i="15" s="1"/>
  <c r="U25" i="1" s="1"/>
  <c r="O9" i="15"/>
  <c r="O18" i="15" s="1"/>
  <c r="V25" i="1" s="1"/>
  <c r="V103" i="1" s="1"/>
  <c r="P9" i="15"/>
  <c r="P18" i="15" s="1"/>
  <c r="W25" i="1" s="1"/>
  <c r="W103" i="1" s="1"/>
  <c r="Q9" i="15"/>
  <c r="Q18" i="15" s="1"/>
  <c r="X25" i="1" s="1"/>
  <c r="X103" i="1" s="1"/>
  <c r="R9" i="15"/>
  <c r="R18" i="15" s="1"/>
  <c r="Y25" i="1" s="1"/>
  <c r="Y103" i="1" s="1"/>
  <c r="R15" i="10" l="1"/>
  <c r="R13" i="10"/>
  <c r="S14" i="10"/>
  <c r="S16" i="10"/>
  <c r="B20" i="10" s="1"/>
  <c r="F8" i="15"/>
  <c r="G8" i="15"/>
  <c r="H8" i="15"/>
  <c r="I8" i="15"/>
  <c r="J8" i="15"/>
  <c r="K8" i="15"/>
  <c r="L8" i="15"/>
  <c r="M8" i="15"/>
  <c r="F9" i="15"/>
  <c r="F18" i="15" s="1"/>
  <c r="M25" i="1" s="1"/>
  <c r="G9" i="15"/>
  <c r="G18" i="15" s="1"/>
  <c r="N25" i="1" s="1"/>
  <c r="H9" i="15"/>
  <c r="H18" i="15" s="1"/>
  <c r="O25" i="1" s="1"/>
  <c r="I9" i="15"/>
  <c r="I18" i="15" s="1"/>
  <c r="P25" i="1" s="1"/>
  <c r="J9" i="15"/>
  <c r="J18" i="15" s="1"/>
  <c r="Q25" i="1" s="1"/>
  <c r="Q103" i="1" s="1"/>
  <c r="K9" i="15"/>
  <c r="K18" i="15" s="1"/>
  <c r="R25" i="1" s="1"/>
  <c r="R103" i="1" s="1"/>
  <c r="L9" i="15"/>
  <c r="L18" i="15" s="1"/>
  <c r="S25" i="1" s="1"/>
  <c r="S103" i="1" s="1"/>
  <c r="M9" i="15"/>
  <c r="M18" i="15" s="1"/>
  <c r="T25" i="1" s="1"/>
  <c r="F16" i="15"/>
  <c r="M24" i="1" s="1"/>
  <c r="G16" i="15"/>
  <c r="N24" i="1" s="1"/>
  <c r="H16" i="15"/>
  <c r="O24" i="1" s="1"/>
  <c r="I16" i="15"/>
  <c r="P24" i="1" s="1"/>
  <c r="J16" i="15"/>
  <c r="Q24" i="1" s="1"/>
  <c r="K16" i="15"/>
  <c r="R24" i="1" s="1"/>
  <c r="L16" i="15"/>
  <c r="S24" i="1" s="1"/>
  <c r="M16" i="15"/>
  <c r="T24" i="1" s="1"/>
  <c r="T103" i="1" l="1"/>
  <c r="U103" i="1"/>
  <c r="P103" i="1"/>
  <c r="O103" i="1"/>
  <c r="N103" i="1"/>
  <c r="S15" i="10"/>
  <c r="B19" i="10" s="1"/>
  <c r="B21" i="10" s="1"/>
  <c r="E28" i="3" s="1"/>
  <c r="F22" i="6" s="1"/>
  <c r="S13" i="10"/>
  <c r="D6" i="15"/>
  <c r="D16" i="15" l="1"/>
  <c r="D9" i="15"/>
  <c r="D13" i="15" s="1"/>
  <c r="D8" i="15"/>
  <c r="D14" i="15" s="1"/>
  <c r="K24" i="1" l="1"/>
  <c r="D18" i="15"/>
  <c r="K25" i="1" s="1"/>
  <c r="K103" i="1" l="1"/>
  <c r="E30" i="15"/>
  <c r="D29" i="15"/>
  <c r="E6" i="15" l="1"/>
  <c r="E8" i="15" s="1"/>
  <c r="E16" i="15" l="1"/>
  <c r="L24" i="1" s="1"/>
  <c r="E9" i="15"/>
  <c r="E18" i="15" s="1"/>
  <c r="L25" i="1" s="1"/>
  <c r="E12" i="15"/>
  <c r="E22" i="15" s="1"/>
  <c r="M103" i="1" l="1"/>
  <c r="L103" i="1"/>
  <c r="E11" i="15"/>
  <c r="F33" i="15"/>
  <c r="E32" i="15"/>
  <c r="E14" i="15" l="1"/>
  <c r="F12" i="15" s="1"/>
  <c r="F22" i="15" s="1"/>
  <c r="E21" i="15"/>
  <c r="F31" i="15"/>
  <c r="E13" i="15"/>
  <c r="F11" i="15" s="1"/>
  <c r="F21" i="15" s="1"/>
  <c r="F32" i="15"/>
  <c r="G33" i="15"/>
  <c r="G31" i="15" l="1"/>
  <c r="F14" i="15"/>
  <c r="G12" i="15" s="1"/>
  <c r="G22" i="15" s="1"/>
  <c r="F13" i="15"/>
  <c r="F30" i="15" l="1"/>
  <c r="E29" i="15"/>
  <c r="G32" i="15"/>
  <c r="H33" i="15"/>
  <c r="G11" i="15"/>
  <c r="G13" i="15" l="1"/>
  <c r="G21" i="15"/>
  <c r="H31" i="15"/>
  <c r="G14" i="15"/>
  <c r="H12" i="15" s="1"/>
  <c r="H22" i="15" s="1"/>
  <c r="H11" i="15"/>
  <c r="H21" i="15" s="1"/>
  <c r="H13" i="15" l="1"/>
  <c r="I11" i="15" s="1"/>
  <c r="I21" i="15" s="1"/>
  <c r="I33" i="15"/>
  <c r="H32" i="15"/>
  <c r="H14" i="15"/>
  <c r="I12" i="15" s="1"/>
  <c r="I22" i="15" s="1"/>
  <c r="I31" i="15"/>
  <c r="J33" i="15" l="1"/>
  <c r="I32" i="15"/>
  <c r="I13" i="15"/>
  <c r="I14" i="15"/>
  <c r="J12" i="15" s="1"/>
  <c r="J22" i="15" s="1"/>
  <c r="J11" i="15"/>
  <c r="J21" i="15" s="1"/>
  <c r="J31" i="15"/>
  <c r="J14" i="15" l="1"/>
  <c r="K12" i="15" s="1"/>
  <c r="J13" i="15"/>
  <c r="K11" i="15" s="1"/>
  <c r="K21" i="15" s="1"/>
  <c r="K33" i="15"/>
  <c r="J32" i="15"/>
  <c r="K31" i="15"/>
  <c r="K32" i="15" l="1"/>
  <c r="K22" i="15"/>
  <c r="L33" i="15"/>
  <c r="K13" i="15"/>
  <c r="L11" i="15" s="1"/>
  <c r="L21" i="15" s="1"/>
  <c r="K14" i="15"/>
  <c r="L12" i="15" s="1"/>
  <c r="L22" i="15" s="1"/>
  <c r="L31" i="15"/>
  <c r="L13" i="15" l="1"/>
  <c r="M33" i="15"/>
  <c r="L32" i="15"/>
  <c r="M11" i="15"/>
  <c r="M21" i="15" s="1"/>
  <c r="M31" i="15"/>
  <c r="L14" i="15"/>
  <c r="M12" i="15" l="1"/>
  <c r="M22" i="15" s="1"/>
  <c r="N31" i="15"/>
  <c r="N33" i="15" l="1"/>
  <c r="M32" i="15"/>
  <c r="M13" i="15"/>
  <c r="M14" i="15"/>
  <c r="N12" i="15" s="1"/>
  <c r="N22" i="15" s="1"/>
  <c r="N11" i="15" l="1"/>
  <c r="O33" i="15"/>
  <c r="N32" i="15"/>
  <c r="N14" i="15" l="1"/>
  <c r="O12" i="15" s="1"/>
  <c r="O22" i="15" s="1"/>
  <c r="N21" i="15"/>
  <c r="O31" i="15"/>
  <c r="N13" i="15"/>
  <c r="O11" i="15" s="1"/>
  <c r="O21" i="15" s="1"/>
  <c r="O32" i="15"/>
  <c r="P33" i="15"/>
  <c r="O14" i="15" l="1"/>
  <c r="P31" i="15"/>
  <c r="O13" i="15"/>
  <c r="P11" i="15" s="1"/>
  <c r="P21" i="15" s="1"/>
  <c r="P12" i="15"/>
  <c r="P22" i="15" s="1"/>
  <c r="Q31" i="15" l="1"/>
  <c r="P13" i="15"/>
  <c r="Q11" i="15" s="1"/>
  <c r="Q21" i="15" s="1"/>
  <c r="P32" i="15"/>
  <c r="Q33" i="15"/>
  <c r="P14" i="15"/>
  <c r="R31" i="15" l="1"/>
  <c r="Q12" i="15"/>
  <c r="Q22" i="15" s="1"/>
  <c r="Q32" i="15" l="1"/>
  <c r="R33" i="15"/>
  <c r="Q13" i="15"/>
  <c r="R11" i="15" s="1"/>
  <c r="R21" i="15" s="1"/>
  <c r="Y26" i="1" s="1"/>
  <c r="Q14" i="15"/>
  <c r="S31" i="15" l="1"/>
  <c r="R12" i="15"/>
  <c r="R22" i="15" s="1"/>
  <c r="Y27" i="1" s="1"/>
  <c r="R14" i="15"/>
  <c r="S33" i="15" l="1"/>
  <c r="R32" i="15"/>
  <c r="R13" i="15"/>
  <c r="K95" i="1" l="1"/>
  <c r="K96" i="1" s="1"/>
  <c r="L95" i="1" l="1"/>
  <c r="L96" i="1" s="1"/>
  <c r="L27" i="1" l="1"/>
  <c r="L105" i="1" s="1"/>
  <c r="O26" i="1"/>
  <c r="P27" i="1"/>
  <c r="W26" i="1"/>
  <c r="X27" i="1"/>
  <c r="Q26" i="1"/>
  <c r="R27" i="1"/>
  <c r="M26" i="1"/>
  <c r="N27" i="1"/>
  <c r="N26" i="1"/>
  <c r="O27" i="1"/>
  <c r="R26" i="1"/>
  <c r="S27" i="1"/>
  <c r="V26" i="1"/>
  <c r="W27" i="1"/>
  <c r="K106" i="1"/>
  <c r="S26" i="1"/>
  <c r="T27" i="1"/>
  <c r="L26" i="1"/>
  <c r="M27" i="1"/>
  <c r="P26" i="1"/>
  <c r="Q27" i="1"/>
  <c r="T26" i="1"/>
  <c r="U27" i="1"/>
  <c r="X26" i="1"/>
  <c r="U26" i="1"/>
  <c r="V27" i="1"/>
  <c r="C3" i="19" l="1"/>
  <c r="K107" i="1"/>
  <c r="Z19" i="1"/>
  <c r="Y105" i="1"/>
  <c r="V105" i="1"/>
  <c r="L106" i="1"/>
  <c r="U105" i="1"/>
  <c r="S105" i="1"/>
  <c r="O105" i="1"/>
  <c r="P105" i="1"/>
  <c r="U119" i="1"/>
  <c r="V104" i="1"/>
  <c r="N30" i="15"/>
  <c r="M29" i="15"/>
  <c r="Z104" i="1"/>
  <c r="X119" i="1"/>
  <c r="Y104" i="1"/>
  <c r="T119" i="1"/>
  <c r="U104" i="1"/>
  <c r="U106" i="1" s="1"/>
  <c r="M3" i="19" s="1"/>
  <c r="P119" i="1"/>
  <c r="Q104" i="1"/>
  <c r="M105" i="1"/>
  <c r="P30" i="15"/>
  <c r="O29" i="15"/>
  <c r="S119" i="1"/>
  <c r="T104" i="1"/>
  <c r="L29" i="15"/>
  <c r="M30" i="15"/>
  <c r="V119" i="1"/>
  <c r="W104" i="1"/>
  <c r="N119" i="1"/>
  <c r="O104" i="1"/>
  <c r="M119" i="1"/>
  <c r="N104" i="1"/>
  <c r="Q119" i="1"/>
  <c r="R104" i="1"/>
  <c r="W119" i="1"/>
  <c r="X104" i="1"/>
  <c r="R29" i="15"/>
  <c r="S30" i="15"/>
  <c r="J29" i="15"/>
  <c r="K30" i="15"/>
  <c r="R30" i="15"/>
  <c r="Q29" i="15"/>
  <c r="Y119" i="1"/>
  <c r="Q105" i="1"/>
  <c r="Q106" i="1" s="1"/>
  <c r="I3" i="19" s="1"/>
  <c r="L119" i="1"/>
  <c r="M104" i="1"/>
  <c r="H30" i="15"/>
  <c r="G29" i="15"/>
  <c r="T105" i="1"/>
  <c r="K119" i="1"/>
  <c r="P29" i="15"/>
  <c r="Q30" i="15"/>
  <c r="H29" i="15"/>
  <c r="I30" i="15"/>
  <c r="W105" i="1"/>
  <c r="R119" i="1"/>
  <c r="S104" i="1"/>
  <c r="J30" i="15"/>
  <c r="I29" i="15"/>
  <c r="N105" i="1"/>
  <c r="R105" i="1"/>
  <c r="L30" i="15"/>
  <c r="K29" i="15"/>
  <c r="X105" i="1"/>
  <c r="O119" i="1"/>
  <c r="P104" i="1"/>
  <c r="N29" i="15"/>
  <c r="O30" i="15"/>
  <c r="F29" i="15"/>
  <c r="G30" i="15"/>
  <c r="R129" i="1" l="1" a="1"/>
  <c r="R129" i="1" s="1"/>
  <c r="R126" i="1"/>
  <c r="K129" i="1"/>
  <c r="K126" i="1"/>
  <c r="Y129" i="1" a="1"/>
  <c r="Y129" i="1" s="1"/>
  <c r="Y126" i="1"/>
  <c r="W129" i="1" a="1"/>
  <c r="W129" i="1" s="1"/>
  <c r="W126" i="1"/>
  <c r="Q129" i="1" a="1"/>
  <c r="Q129" i="1" s="1"/>
  <c r="Q126" i="1"/>
  <c r="V129" i="1" a="1"/>
  <c r="V129" i="1" s="1"/>
  <c r="V126" i="1"/>
  <c r="S129" i="1" a="1"/>
  <c r="S129" i="1" s="1"/>
  <c r="S126" i="1"/>
  <c r="P129" i="1" a="1"/>
  <c r="P129" i="1" s="1"/>
  <c r="P126" i="1"/>
  <c r="T129" i="1" a="1"/>
  <c r="T129" i="1" s="1"/>
  <c r="T126" i="1"/>
  <c r="X129" i="1" a="1"/>
  <c r="X129" i="1" s="1"/>
  <c r="X126" i="1"/>
  <c r="U129" i="1" a="1"/>
  <c r="U129" i="1" s="1"/>
  <c r="U126" i="1"/>
  <c r="L107" i="1"/>
  <c r="D3" i="19"/>
  <c r="D6" i="19"/>
  <c r="C6" i="19"/>
  <c r="J9" i="3" s="1"/>
  <c r="O129" i="1" a="1"/>
  <c r="O129" i="1" s="1"/>
  <c r="O126" i="1"/>
  <c r="N129" i="1" a="1"/>
  <c r="N129" i="1" s="1"/>
  <c r="N126" i="1"/>
  <c r="M129" i="1" a="1"/>
  <c r="M129" i="1" s="1"/>
  <c r="M126" i="1"/>
  <c r="L129" i="1" a="1"/>
  <c r="L129" i="1" s="1"/>
  <c r="L126" i="1"/>
  <c r="Q107" i="1"/>
  <c r="U107" i="1"/>
  <c r="P106" i="1"/>
  <c r="H3" i="19" s="1"/>
  <c r="Y106" i="1"/>
  <c r="V106" i="1"/>
  <c r="S106" i="1"/>
  <c r="K3" i="19" s="1"/>
  <c r="R106" i="1"/>
  <c r="J3" i="19" s="1"/>
  <c r="M106" i="1"/>
  <c r="E3" i="19" s="1"/>
  <c r="X106" i="1"/>
  <c r="L109" i="1"/>
  <c r="L133" i="1" s="1"/>
  <c r="N106" i="1"/>
  <c r="O106" i="1"/>
  <c r="G3" i="19" s="1"/>
  <c r="W106" i="1"/>
  <c r="O3" i="19" s="1"/>
  <c r="T106" i="1"/>
  <c r="L3" i="19" s="1"/>
  <c r="K109" i="1"/>
  <c r="K133" i="1" s="1"/>
  <c r="Z128" i="1" a="1"/>
  <c r="Z128" i="1" s="1"/>
  <c r="N107" i="1" l="1"/>
  <c r="F3" i="19"/>
  <c r="X107" i="1"/>
  <c r="P3" i="19"/>
  <c r="E6" i="19"/>
  <c r="F6" i="19"/>
  <c r="G6" i="19"/>
  <c r="H6" i="19"/>
  <c r="I6" i="19"/>
  <c r="J6" i="19"/>
  <c r="K6" i="19"/>
  <c r="L6" i="19"/>
  <c r="M6" i="19"/>
  <c r="V107" i="1"/>
  <c r="N3" i="19"/>
  <c r="Y107" i="1"/>
  <c r="Q3" i="19"/>
  <c r="T107" i="1"/>
  <c r="W107" i="1"/>
  <c r="O107" i="1"/>
  <c r="M107" i="1"/>
  <c r="R107" i="1"/>
  <c r="S107" i="1"/>
  <c r="P107" i="1"/>
  <c r="J10" i="3"/>
  <c r="J11" i="3"/>
  <c r="J12" i="3"/>
  <c r="J13" i="3"/>
  <c r="J14" i="3"/>
  <c r="J15" i="3"/>
  <c r="J16" i="3"/>
  <c r="J17" i="3"/>
  <c r="J18" i="3"/>
  <c r="J19" i="3"/>
  <c r="S6" i="15"/>
  <c r="N6" i="19" l="1"/>
  <c r="J20" i="3" s="1"/>
  <c r="O6" i="19"/>
  <c r="J21" i="3" s="1"/>
  <c r="P6" i="19"/>
  <c r="J22" i="3" s="1"/>
  <c r="Q6" i="19"/>
  <c r="J23" i="3" s="1"/>
  <c r="S16" i="15"/>
  <c r="Z24" i="1" s="1"/>
  <c r="S9" i="15"/>
  <c r="S18" i="15" s="1"/>
  <c r="Z25" i="1" s="1"/>
  <c r="S8" i="15"/>
  <c r="Z103" i="1" l="1"/>
  <c r="T22" i="15"/>
  <c r="AA27" i="1" s="1"/>
  <c r="S12" i="15"/>
  <c r="S22" i="15" s="1"/>
  <c r="Z27" i="1" s="1"/>
  <c r="S11" i="15"/>
  <c r="S21" i="15" s="1"/>
  <c r="Z26" i="1" s="1"/>
  <c r="S14" i="15" l="1"/>
  <c r="S13" i="15"/>
  <c r="T11" i="15" s="1"/>
  <c r="AA19" i="1" s="1"/>
  <c r="AA128" i="1" s="1" a="1"/>
  <c r="AA128" i="1" s="1"/>
  <c r="I128" i="1" s="1"/>
  <c r="T31" i="15"/>
  <c r="T33" i="15"/>
  <c r="S32" i="15"/>
  <c r="U31" i="15" l="1"/>
  <c r="Z105" i="1"/>
  <c r="Z106" i="1" l="1"/>
  <c r="R3" i="19" s="1"/>
  <c r="AA105" i="1"/>
  <c r="AB105" i="1"/>
  <c r="I27" i="1"/>
  <c r="T30" i="15"/>
  <c r="S29" i="15"/>
  <c r="T6" i="15"/>
  <c r="AA104" i="1"/>
  <c r="R6" i="19" l="1"/>
  <c r="Z107" i="1"/>
  <c r="J24" i="3"/>
  <c r="I105" i="1"/>
  <c r="H105" i="1"/>
  <c r="Z119" i="1"/>
  <c r="T8" i="15"/>
  <c r="T9" i="15"/>
  <c r="T18" i="15" s="1"/>
  <c r="AA25" i="1" s="1"/>
  <c r="T16" i="15"/>
  <c r="H128" i="1"/>
  <c r="E81" i="6" s="1"/>
  <c r="AA103" i="1" l="1"/>
  <c r="AB103" i="1"/>
  <c r="Z129" i="1" a="1"/>
  <c r="Z129" i="1" s="1"/>
  <c r="Z126" i="1"/>
  <c r="T21" i="15"/>
  <c r="AA26" i="1" s="1"/>
  <c r="AA24" i="1"/>
  <c r="AA106" i="1"/>
  <c r="S3" i="19" s="1"/>
  <c r="S6" i="19" l="1"/>
  <c r="AA107" i="1"/>
  <c r="J25" i="3"/>
  <c r="AB104" i="1"/>
  <c r="I104" i="1" s="1"/>
  <c r="I26" i="1"/>
  <c r="AA119" i="1"/>
  <c r="I24" i="1"/>
  <c r="E47" i="6" s="1"/>
  <c r="T29" i="15"/>
  <c r="A29" i="15" s="1"/>
  <c r="I25" i="1"/>
  <c r="I28" i="1" s="1"/>
  <c r="E48" i="6" s="1"/>
  <c r="AA129" i="1" l="1" a="1"/>
  <c r="AA129" i="1" s="1"/>
  <c r="I129" i="1" s="1"/>
  <c r="AA126" i="1"/>
  <c r="H104" i="1"/>
  <c r="AB106" i="1"/>
  <c r="A33" i="15"/>
  <c r="I29" i="1"/>
  <c r="H129" i="1"/>
  <c r="E82" i="6" s="1"/>
  <c r="AB107" i="1" l="1"/>
  <c r="T3" i="19"/>
  <c r="I126" i="1"/>
  <c r="E30" i="3" s="1"/>
  <c r="F23" i="6" s="1"/>
  <c r="H126" i="1"/>
  <c r="E80" i="6" s="1"/>
  <c r="I106" i="1"/>
  <c r="E36" i="3" s="1"/>
  <c r="I107" i="1"/>
  <c r="H106" i="1"/>
  <c r="E54" i="3"/>
  <c r="F38" i="6" s="1"/>
  <c r="E32" i="3"/>
  <c r="E55" i="3"/>
  <c r="F39" i="6" s="1"/>
  <c r="T6" i="19" l="1"/>
  <c r="B4" i="19"/>
  <c r="I111" i="1"/>
  <c r="E58" i="3" s="1"/>
  <c r="J26" i="3"/>
  <c r="E34" i="3"/>
  <c r="F25" i="6" s="1"/>
  <c r="F24" i="6"/>
  <c r="H107" i="1"/>
  <c r="E38" i="3" l="1"/>
  <c r="F28" i="6" s="1"/>
  <c r="K9" i="3"/>
  <c r="E39" i="3"/>
  <c r="F29" i="6" s="1"/>
  <c r="F26" i="6"/>
  <c r="E41" i="3" l="1"/>
  <c r="F36" i="6" s="1"/>
  <c r="D58" i="15"/>
  <c r="L9" i="3"/>
  <c r="L10" i="3" s="1"/>
  <c r="L11" i="3" s="1"/>
  <c r="L12" i="3" s="1"/>
  <c r="L13" i="3" s="1"/>
  <c r="L14" i="3" s="1"/>
  <c r="L15" i="3" s="1"/>
  <c r="L16" i="3" s="1"/>
  <c r="L17" i="3" s="1"/>
  <c r="L18" i="3" s="1"/>
  <c r="L19" i="3" s="1"/>
  <c r="L20" i="3" s="1"/>
  <c r="L21" i="3" s="1"/>
  <c r="L22" i="3" s="1"/>
  <c r="L23" i="3" s="1"/>
  <c r="L24" i="3" s="1"/>
  <c r="L25" i="3" s="1"/>
  <c r="L26" i="3" s="1"/>
  <c r="K10" i="3"/>
  <c r="K11" i="3" s="1"/>
  <c r="E42" i="3"/>
  <c r="F32" i="6" s="1"/>
  <c r="F31" i="6" l="1"/>
  <c r="D57" i="15"/>
  <c r="E51" i="3" s="1"/>
  <c r="A39" i="15" s="1"/>
  <c r="K12" i="3"/>
  <c r="A47" i="15" l="1"/>
  <c r="E59" i="3"/>
  <c r="E60" i="3" s="1"/>
  <c r="K13" i="3"/>
  <c r="E51" i="15"/>
  <c r="D51" i="15"/>
  <c r="D52" i="15" s="1"/>
  <c r="F51" i="15"/>
  <c r="P51" i="15"/>
  <c r="O51" i="15"/>
  <c r="M51" i="15"/>
  <c r="I51" i="15"/>
  <c r="G51" i="15"/>
  <c r="Q51" i="15"/>
  <c r="R51" i="15"/>
  <c r="N51" i="15"/>
  <c r="H51" i="15"/>
  <c r="L51" i="15"/>
  <c r="K51" i="15"/>
  <c r="J51" i="15"/>
  <c r="U51" i="15"/>
  <c r="U52" i="15" s="1"/>
  <c r="S51" i="15"/>
  <c r="T51" i="15"/>
  <c r="T52" i="15" l="1"/>
  <c r="K52" i="15"/>
  <c r="H52" i="15"/>
  <c r="R52" i="15"/>
  <c r="G52" i="15"/>
  <c r="M52" i="15"/>
  <c r="P52" i="15"/>
  <c r="S52" i="15"/>
  <c r="J52" i="15"/>
  <c r="L52" i="15"/>
  <c r="N52" i="15"/>
  <c r="Q52" i="15"/>
  <c r="I52" i="15"/>
  <c r="O52" i="15"/>
  <c r="F52" i="15"/>
  <c r="E52" i="15"/>
  <c r="A51" i="15"/>
  <c r="K14" i="3"/>
  <c r="K15" i="3" l="1"/>
  <c r="A52" i="15"/>
  <c r="K16" i="3" l="1"/>
  <c r="K17" i="3" l="1"/>
  <c r="K18" i="3" l="1"/>
  <c r="K19" i="3" l="1"/>
  <c r="K20" i="3" l="1"/>
  <c r="K21" i="3" l="1"/>
  <c r="K22" i="3" l="1"/>
  <c r="K23" i="3" l="1"/>
  <c r="K24" i="3" l="1"/>
  <c r="K25" i="3" l="1"/>
  <c r="K26" i="3" s="1"/>
  <c r="M95" i="1"/>
  <c r="M96" i="1"/>
  <c r="M108" i="1"/>
  <c r="M109" i="1"/>
  <c r="M133" i="1"/>
  <c r="A41" i="15"/>
  <c r="A42" i="15"/>
  <c r="N95" i="1"/>
  <c r="O95" i="1"/>
  <c r="P95" i="1"/>
  <c r="Q95" i="1"/>
  <c r="R95" i="1"/>
  <c r="S95" i="1"/>
  <c r="T95" i="1"/>
  <c r="U95" i="1"/>
  <c r="V95" i="1"/>
  <c r="W95" i="1"/>
  <c r="X95" i="1"/>
  <c r="Y95" i="1"/>
  <c r="Z95" i="1"/>
  <c r="AA95" i="1"/>
  <c r="AB95" i="1"/>
  <c r="N96" i="1"/>
  <c r="O96" i="1"/>
  <c r="P96" i="1"/>
  <c r="Q96" i="1"/>
  <c r="R96" i="1"/>
  <c r="S96" i="1"/>
  <c r="T96" i="1"/>
  <c r="U96" i="1"/>
  <c r="V96" i="1"/>
  <c r="W96" i="1"/>
  <c r="X96" i="1"/>
  <c r="Y96" i="1"/>
  <c r="Z96" i="1"/>
  <c r="AA96" i="1"/>
  <c r="AB96" i="1"/>
  <c r="H108" i="1"/>
  <c r="I108" i="1"/>
  <c r="N108" i="1"/>
  <c r="O108" i="1"/>
  <c r="P108" i="1"/>
  <c r="Q108" i="1"/>
  <c r="R108" i="1"/>
  <c r="S108" i="1"/>
  <c r="T108" i="1"/>
  <c r="U108" i="1"/>
  <c r="V108" i="1"/>
  <c r="W108" i="1"/>
  <c r="X108" i="1"/>
  <c r="Y108" i="1"/>
  <c r="Z108" i="1"/>
  <c r="AA108" i="1"/>
  <c r="AB108" i="1"/>
  <c r="H109" i="1"/>
  <c r="I109" i="1"/>
  <c r="N109" i="1"/>
  <c r="O109" i="1"/>
  <c r="P109" i="1"/>
  <c r="Q109" i="1"/>
  <c r="R109" i="1"/>
  <c r="S109" i="1"/>
  <c r="T109" i="1"/>
  <c r="U109" i="1"/>
  <c r="V109" i="1"/>
  <c r="W109" i="1"/>
  <c r="X109" i="1"/>
  <c r="Y109" i="1"/>
  <c r="Z109" i="1"/>
  <c r="AA109" i="1"/>
  <c r="AB109" i="1"/>
  <c r="I112" i="1"/>
  <c r="I113" i="1"/>
  <c r="I114" i="1"/>
  <c r="B133" i="1"/>
  <c r="I133" i="1"/>
  <c r="N133" i="1"/>
  <c r="O133" i="1"/>
  <c r="P133" i="1"/>
  <c r="Q133" i="1"/>
  <c r="R133" i="1"/>
  <c r="S133" i="1"/>
  <c r="T133" i="1"/>
  <c r="U133" i="1"/>
  <c r="V133" i="1"/>
  <c r="W133" i="1"/>
  <c r="X133" i="1"/>
  <c r="Y133" i="1"/>
  <c r="Z133" i="1"/>
  <c r="AA133" i="1"/>
  <c r="B134" i="1"/>
  <c r="I134" i="1"/>
  <c r="B135" i="1"/>
  <c r="I135" i="1"/>
  <c r="B136" i="1"/>
  <c r="B137" i="1"/>
  <c r="B138" i="1"/>
  <c r="I138" i="1"/>
  <c r="B139" i="1"/>
  <c r="I139" i="1"/>
  <c r="K139" i="1"/>
  <c r="B140" i="1"/>
  <c r="I140" i="1"/>
  <c r="E56" i="3"/>
  <c r="E61" i="3"/>
  <c r="E62" i="3"/>
  <c r="E63" i="3"/>
  <c r="F4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B34" authorId="0" shapeId="0" xr:uid="{27EDE1CC-1A9B-4711-9466-9C43ECF24E22}">
      <text>
        <r>
          <rPr>
            <b/>
            <sz val="9"/>
            <color indexed="81"/>
            <rFont val="Times New Roman"/>
            <family val="1"/>
          </rPr>
          <t xml:space="preserve">Toelichting: </t>
        </r>
        <r>
          <rPr>
            <sz val="9"/>
            <color indexed="81"/>
            <rFont val="Times New Roman"/>
            <family val="1"/>
          </rPr>
          <t xml:space="preserve">
Dit is de datum midden in de bouwperiode voor de berekening van de NCW-waarde als bedoeld in artikel 12, lid 2 van Beleidsregel toets passende stimulering en cumulatietoets onder het Besluit duurzame energieproductie en klimaattransitie. 
De datum voor de NCW-bedragen wordt naar beneden afgerond tot de 1e dag van de maand (indien de datum van ingebruikname niet op de 1e dag van de maand is, of de bouwtijd een oneven aantal maanden bedraagt langer dan 12 maanden.    </t>
        </r>
      </text>
    </comment>
    <comment ref="B35" authorId="0" shapeId="0" xr:uid="{A23DEE4E-EC06-4647-B322-71829379C934}">
      <text>
        <r>
          <rPr>
            <b/>
            <sz val="9"/>
            <color indexed="81"/>
            <rFont val="Tahoma"/>
            <family val="2"/>
          </rPr>
          <t>Toelichting:</t>
        </r>
        <r>
          <rPr>
            <sz val="9"/>
            <color indexed="81"/>
            <rFont val="Tahoma"/>
            <family val="2"/>
          </rPr>
          <t xml:space="preserve">
Vul hier het eerstvolgende kalenderjaar in. De berekende MSK-correctie gaat  in beginsel in  met ingang van het eerst volgend kalenderjaar.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B62" authorId="0" shapeId="0" xr:uid="{BB17E2CC-1E38-4462-B2F5-A77A31A1DE2A}">
      <text>
        <r>
          <rPr>
            <sz val="9"/>
            <color indexed="81"/>
            <rFont val="Tahoma"/>
            <family val="2"/>
          </rPr>
          <t xml:space="preserve">Er kan een kleine afwijking ontstaan ten gevolge van afrondingen).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A21" authorId="0" shapeId="0" xr:uid="{A4E33F96-CD94-426C-B554-C7F441425010}">
      <text>
        <r>
          <rPr>
            <b/>
            <sz val="9"/>
            <color indexed="81"/>
            <rFont val="Tahoma"/>
            <family val="2"/>
          </rPr>
          <t>Toelichting:</t>
        </r>
        <r>
          <rPr>
            <sz val="9"/>
            <color indexed="81"/>
            <rFont val="Tahoma"/>
            <family val="2"/>
          </rPr>
          <t xml:space="preserve">
Verdeling benutte forwardbanking naar netlevering en niet-netlevering vindt plaats volgens de verhouding van  de productie netlevering en niet-netlevering in het jaar zelf.
</t>
        </r>
      </text>
    </comment>
    <comment ref="A22" authorId="0" shapeId="0" xr:uid="{E88E182F-488B-4CBF-A972-509C8E7D1C18}">
      <text>
        <r>
          <rPr>
            <b/>
            <sz val="9"/>
            <color indexed="81"/>
            <rFont val="Tahoma"/>
            <family val="2"/>
          </rPr>
          <t>Toelichting:</t>
        </r>
        <r>
          <rPr>
            <sz val="9"/>
            <color indexed="81"/>
            <rFont val="Tahoma"/>
            <family val="2"/>
          </rPr>
          <t xml:space="preserve">
Verdeling benutte backwardbanking naar netlevering en niet-netlevering vindt plaats volgens de verhouding van  de productie netlevering en niet-netlevering in het voorgaande jaar.
</t>
        </r>
      </text>
    </comment>
    <comment ref="A39" authorId="0" shapeId="0" xr:uid="{D7F98AB7-395E-4562-9EC5-84958FF45BB2}">
      <text>
        <r>
          <rPr>
            <sz val="9"/>
            <color indexed="81"/>
            <rFont val="Tahoma"/>
            <family val="2"/>
          </rPr>
          <t xml:space="preserve">Deze waarde is slechts indicatief. Als het SDE++ tarief in een bepaald jaar niet hoog genoeg is om deze correctie te kunnen verrekenen is deze te laag. Daarnaast houdt deze waarde geen rekening met reeds toegepaste MSK-correcties in het verleden.
</t>
        </r>
      </text>
    </comment>
    <comment ref="A41" authorId="0" shapeId="0" xr:uid="{C4C6AB84-1E20-47C5-AD2C-CD9549CE9D1D}">
      <text>
        <r>
          <rPr>
            <sz val="9"/>
            <color indexed="81"/>
            <rFont val="Tahoma"/>
            <family val="2"/>
          </rPr>
          <t>Deze cel reset de berekening indien invoerparameters die invloed hebben op de MSK-correctieberekening wijzigen. Daarnaast moet bij het aanpassen van formules de kringverwijzing onderbroken worden om vastlopen van het model te voorkomen. Dat kan middels het vervangen van de laatste 0 in de formule door een 1).</t>
        </r>
      </text>
    </comment>
    <comment ref="A42" authorId="0" shapeId="0" xr:uid="{3240B00C-E37F-4097-BFB4-1E4D2AD438CC}">
      <text>
        <r>
          <rPr>
            <sz val="9"/>
            <color indexed="81"/>
            <rFont val="Tahoma"/>
            <family val="2"/>
          </rPr>
          <t xml:space="preserve">Deze berekende MSK-correctie houdt rekening met een beperkte kortingsmogelijkheid in jaren met een lage SDE++ bijdrage en reeds toegepaste MSK-correctie in het verleden.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Nijenhuis, F. (Frank)</author>
  </authors>
  <commentList>
    <comment ref="I4" authorId="0" shapeId="0" xr:uid="{C54F1EFF-A584-4382-A740-555D4AE4F946}">
      <text>
        <r>
          <rPr>
            <b/>
            <sz val="9"/>
            <color indexed="81"/>
            <rFont val="Tahoma"/>
            <family val="2"/>
          </rPr>
          <t>Nijenhuis, F. (Frank):</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<sst xmlns="http://schemas.openxmlformats.org/spreadsheetml/2006/main" count="709" uniqueCount="478">
  <si>
    <t>B: Invoerblad MSK cumulatietoets exploitatiesteun</t>
  </si>
  <si>
    <t>FEM</t>
  </si>
  <si>
    <t>BPA</t>
  </si>
  <si>
    <t xml:space="preserve">Vul de geel gemarkeerde velden van deel A in en eventueel deel B afhankelijk van uw project. </t>
  </si>
  <si>
    <t>TI</t>
  </si>
  <si>
    <t>Lees ook de toelichting.</t>
  </si>
  <si>
    <t>DEEL A: Algemeen</t>
  </si>
  <si>
    <t>Hulpberekeningen</t>
  </si>
  <si>
    <t>NCW</t>
  </si>
  <si>
    <t xml:space="preserve">Projectgegevens SDE </t>
  </si>
  <si>
    <t>SDE projectnummer</t>
  </si>
  <si>
    <t>Info</t>
  </si>
  <si>
    <t>SDE aanvraag categorie</t>
  </si>
  <si>
    <t xml:space="preserve">Gerealiseerd opgesteld vermogen </t>
  </si>
  <si>
    <t>in MWe</t>
  </si>
  <si>
    <t>5a</t>
  </si>
  <si>
    <t xml:space="preserve">Beschikt opgesteld vermogen </t>
  </si>
  <si>
    <t>Maximale SDE subsidieperiode (jaren)</t>
  </si>
  <si>
    <t>7A</t>
  </si>
  <si>
    <t>Totaal Productie in MWh in "SDE periode"</t>
  </si>
  <si>
    <t>8A</t>
  </si>
  <si>
    <t>Datum indiening aanvraag SDE</t>
  </si>
  <si>
    <t xml:space="preserve">Datum ingebruikname </t>
  </si>
  <si>
    <t>Eerste datum SDE</t>
  </si>
  <si>
    <t xml:space="preserve">Overige exploitatiesubsidies </t>
  </si>
  <si>
    <t>Overige exploitatiesubsidies (euro's)</t>
  </si>
  <si>
    <t>Investerings gegevens</t>
  </si>
  <si>
    <t xml:space="preserve">Investering  (euro's)            </t>
  </si>
  <si>
    <t>Bouwtijd (in maanden)</t>
  </si>
  <si>
    <t>Beoogde subsidie instrumenten</t>
  </si>
  <si>
    <t>…. subsidie (euro's)</t>
  </si>
  <si>
    <t>…. subsidies (euro's)</t>
  </si>
  <si>
    <t>Overige investeringssubsidies (euro's)</t>
  </si>
  <si>
    <t>Provinciale/ Gemeentelijke subsidies</t>
  </si>
  <si>
    <t>Totaal subsidies</t>
  </si>
  <si>
    <t xml:space="preserve"> </t>
  </si>
  <si>
    <t>Beoogde fiscale instrumenten</t>
  </si>
  <si>
    <t xml:space="preserve">NCW </t>
  </si>
  <si>
    <t>Belastingpercentage IB of VPB</t>
  </si>
  <si>
    <t>Aftrekpercentage voor EIA</t>
  </si>
  <si>
    <t>EIA meldingsbedrag (euro's)</t>
  </si>
  <si>
    <t>EIA aftrek (het meldingsbedrag na aftrek subsidies)</t>
  </si>
  <si>
    <t>Voordeel EIA</t>
  </si>
  <si>
    <t>MIA meldingsbedrag (euro's)</t>
  </si>
  <si>
    <t>Aftrekpercentage MIA</t>
  </si>
  <si>
    <t>MIA aftrek bedrag</t>
  </si>
  <si>
    <t>Voordeel MIA</t>
  </si>
  <si>
    <t>Totaal voordelen fiscale faciliteiten</t>
  </si>
  <si>
    <t>Financieel economisch</t>
  </si>
  <si>
    <t>Afschrijvingsbasis</t>
  </si>
  <si>
    <t>Te financieren</t>
  </si>
  <si>
    <t>Eigen vermogen</t>
  </si>
  <si>
    <t xml:space="preserve">Vreemd vermogen </t>
  </si>
  <si>
    <t>Vreemd vermogen</t>
  </si>
  <si>
    <t>Bedrag lening via Regeling groenprojecten (euro's)</t>
  </si>
  <si>
    <t>Rente vreemd vermogen (forfaitair)</t>
  </si>
  <si>
    <t>Afschrijving in jaren</t>
  </si>
  <si>
    <t>Verdisconteringsvoet</t>
  </si>
  <si>
    <t>Ter info: Tarieven SDE voor de door u gekozen productiecategorie</t>
  </si>
  <si>
    <t>SDE Basisbedrag</t>
  </si>
  <si>
    <t>SDE basis elektriciteitsprijs/gasprijs</t>
  </si>
  <si>
    <t>SDE Tarief te verwachten (bij correctiebedrag)</t>
  </si>
  <si>
    <t>SDE correctiebedrag waartegen de MSK toets wordt doorgerekend (euro's)</t>
  </si>
  <si>
    <t>SDE tarief waartegen de MSK toets wordt doorgerekend</t>
  </si>
  <si>
    <t>Deel B</t>
  </si>
  <si>
    <t>Vul de jaren in waarin SDE voordelen worden verkregen (kan maximaal 16 kalenderjaren betreffen), jaar 1 is het eerste jaar dat SDE wordt verkregen</t>
  </si>
  <si>
    <t xml:space="preserve">Overige opbrengsten per kalenderjaar </t>
  </si>
  <si>
    <t>Totale productie van elektriciteit (ook niet subsidiabele productie)</t>
  </si>
  <si>
    <t>Tarieven vergoedingen</t>
  </si>
  <si>
    <t>55a</t>
  </si>
  <si>
    <t xml:space="preserve">Opbrengsten per kalenderjaar </t>
  </si>
  <si>
    <t>Overige kosten per kalenderjaar</t>
  </si>
  <si>
    <t>Vaste operationele kosten (euro / jaar)</t>
  </si>
  <si>
    <t>Variabele operationele kosten (euro / jaar)</t>
  </si>
  <si>
    <t>http://ec.europa.eu/comm/competition/state_aid/legislation/reference_rates.html</t>
  </si>
  <si>
    <t>A: MSK cumulatietoets exploitatiesteun</t>
  </si>
  <si>
    <t>Basis MSK-toets</t>
  </si>
  <si>
    <t>Grafische weergave Cumulatiegegevens (NCW)</t>
  </si>
  <si>
    <t>A</t>
  </si>
  <si>
    <t>Bruto investering</t>
  </si>
  <si>
    <t>F</t>
  </si>
  <si>
    <t>B</t>
  </si>
  <si>
    <t>Investeringssteun (verleend en beoogd)</t>
  </si>
  <si>
    <t>Voordeel regeling groenprojecten</t>
  </si>
  <si>
    <t>EIA voordeel</t>
  </si>
  <si>
    <t>B1</t>
  </si>
  <si>
    <t>subtotaal</t>
  </si>
  <si>
    <t>Overige investeringssubsidies</t>
  </si>
  <si>
    <t>MIA voordeel</t>
  </si>
  <si>
    <t>VAMIL voordeel</t>
  </si>
  <si>
    <t>B2</t>
  </si>
  <si>
    <t>Totaal  B1 + B2</t>
  </si>
  <si>
    <t>C= A - B</t>
  </si>
  <si>
    <t>Netto investering</t>
  </si>
  <si>
    <t>D</t>
  </si>
  <si>
    <t>Rendement geinvesteerd vermogen</t>
  </si>
  <si>
    <t>E</t>
  </si>
  <si>
    <t>NCW Opbrengsten marktwaarde elektriciteit (naast SDE)</t>
  </si>
  <si>
    <t>NCW van overige kosten</t>
  </si>
  <si>
    <t>G = C + D - E + F</t>
  </si>
  <si>
    <t>Toegestane exploitatiesubsidie (=exploitatiesteunruimte)</t>
  </si>
  <si>
    <t>H</t>
  </si>
  <si>
    <t>NCW van exploitatie subsidies (verleende en beoogde exploitatiesteun)</t>
  </si>
  <si>
    <t>S1 = G - H</t>
  </si>
  <si>
    <t>Saldo exploitatie toets</t>
  </si>
  <si>
    <t>S2 = C + D - H</t>
  </si>
  <si>
    <t>Saldo investeringstoets</t>
  </si>
  <si>
    <t>Z1</t>
  </si>
  <si>
    <t>Conclusie overcompensatie exploitatie toets</t>
  </si>
  <si>
    <t xml:space="preserve">Z2 </t>
  </si>
  <si>
    <t>Conclusie overcompensatie investerings toets</t>
  </si>
  <si>
    <t>Berekening op SDE in te houden bedrag wegens overcompensatie</t>
  </si>
  <si>
    <t>De grondslag voor correctie is Z1 of Z2 maar zal niet meer bedragen dan subtotaal B2</t>
  </si>
  <si>
    <t>M</t>
  </si>
  <si>
    <t>Correctiegrondslag (NCW) (maximaal B2 of nul als Z1 en Z2 &lt;=10.000 )</t>
  </si>
  <si>
    <t>Toelichting</t>
  </si>
  <si>
    <t>SDE-aanvragers inzicht te geven in de berekening van eventuele overcompensatie als gevolg cumulatie van steun.</t>
  </si>
  <si>
    <t>Bij complexe projecten is dit rekenmodel mogelijk niet toepasbaar.</t>
  </si>
  <si>
    <t>voeren die voor uw project relevant zijn. De gegevens die u dient in te voeren zijn aangegeven met behulp van de de geel gearceerde cellen in onderdeel A.</t>
  </si>
  <si>
    <t xml:space="preserve">Onderstaand worden voor het werkblad "Invoerblad" en het werkblad "Overzicht MSK toets" een aantal punten toegelicht. </t>
  </si>
  <si>
    <t>Werkblad "Invoerblad "</t>
  </si>
  <si>
    <t>Terug naar invoerblad</t>
  </si>
  <si>
    <t>DEEL A</t>
  </si>
  <si>
    <t>Vermeld hier het SDE projectnummer.</t>
  </si>
  <si>
    <t>5A</t>
  </si>
  <si>
    <t>Vermeld hier de datum indiening aanvraag SDE.</t>
  </si>
  <si>
    <t>Dit betreft de ingebruikname datum van uw installatie waarop uw SDE aanvraag betrekking heeft.</t>
  </si>
  <si>
    <t>Vul hier de startdatum SDE-subsidie in.</t>
  </si>
  <si>
    <t>Onder overige exploitatiesubsidies vallen alle vormen van exploitatiesteun van de Rijksoverheid, Provincie, Gemeente, EU of een ander Bestuursorgaan.</t>
  </si>
  <si>
    <t>Vul hier de werkelijke investeringskosten  voor uw productie-installatie voor duurzame energie in. Het betreft dus alleen het deel dat voor de opwekking van duurzame energie bestemd is. Het gaat om de investering die betrekking heeft op de SDE aanvraag. In artikel 36 van de Communautaire Kaderregeling inzake Staatssteun en ten behoeve van het Milieu staat geformuleerd welke kosten als investeringskosten worden aangemerkt. Indien de subsidie-ontvanger een subsidieverlening van meer dan € 125.000 heeft ontvangen, dient bovengenoemd overzicht tevens vergezeld te gaan van een goedkeurende accountantsverklaring. De accountantsverklaring wordt opgesteld conform de modelaccountantsverklaring en het bijbehorende controleprotocol. De modelaccountantsverklaring en het controleprotocol kunt u vinden op de website www.rvo.nl/sde.</t>
  </si>
  <si>
    <t xml:space="preserve">Er wordt van uitgegaan dat de subsidies in het jaar na de investeringsperiode worden ontvangen. </t>
  </si>
  <si>
    <t>Ontvangen subsidies voor de productie-installatie (bijv. TKI, DEI, MEI of andere subsidies van RVO)</t>
  </si>
  <si>
    <t xml:space="preserve">Ontvangen subsidies voor de productie-installatie </t>
  </si>
  <si>
    <t>Onder overige investeringsubsidies vallen alle vormen van investeringssteun van de Rijksoverheid, EU of een ander Bestuursorgaan.</t>
  </si>
  <si>
    <t>Onder provinciale en gemeentelijke subsidies vallen alle vormen van investeringssteun van de Provincie en/of Gemeente</t>
  </si>
  <si>
    <t>Totaal subsidies is een automatisch berekend veld. Dit is de som van alle ontvangen investeringssteun.</t>
  </si>
  <si>
    <t>Totaal fiscale voordelen is een automatisch berekend veld. Dit is de som van alle ontvangen fiscale voordelen.</t>
  </si>
  <si>
    <t xml:space="preserve">De afschrijvingstermijn is 15 jaar (dit is gelijk aan de looptijd van de SDE-subsidie). </t>
  </si>
  <si>
    <t>Dit is het disconteringspercentage dat geldt op de datum van SDE aanvraag. Dit is het percentage dat door de EU wordt vastgesteld.</t>
  </si>
  <si>
    <t>Zie hieronder ook deze tabel weergegeven voor Nederland:</t>
  </si>
  <si>
    <t>Van</t>
  </si>
  <si>
    <t>%</t>
  </si>
  <si>
    <t>http://ec.europa.eu/competition/state_aid/legislation/reference_rates.html</t>
  </si>
  <si>
    <t>Totale elektriciteitsproductie. Dit is dezelfde productie als bij punt 8 berekend.</t>
  </si>
  <si>
    <t>Werkblad "Overzicht MSK toets"</t>
  </si>
  <si>
    <t>Algemeen</t>
  </si>
  <si>
    <t>Op dit blad worden de uitkomsten van de MSK-toets gepresenteerd. Alle waarden uit dit blad zijn automatisch berekende velden gebaseerd op de waarden zoals ingevuld op de invoerbladen.</t>
  </si>
  <si>
    <t>In de berekeningen wordt gebruikgemaakt van de Netto Contante Waarde (NCW)</t>
  </si>
  <si>
    <t>Er is sprake van overcompensatie als de waarde bij Z1 of Z2 groter is dan nul</t>
  </si>
  <si>
    <t>Overige investeringssteun</t>
  </si>
  <si>
    <t>Totale investeringssteun. Dit is de som van B1 en B2</t>
  </si>
  <si>
    <t>C</t>
  </si>
  <si>
    <t>Netto-investering = Bruto investering (A) - totale investeringssteun (B)</t>
  </si>
  <si>
    <t>Hier wordt de NCW van de marktwaarde elektriciteitsopbrengsten naast SDE getoond.</t>
  </si>
  <si>
    <t>Hier wordt de NCW van de exploitatiekosten getoond.</t>
  </si>
  <si>
    <t>G</t>
  </si>
  <si>
    <t>Hier wordt de toegestane exploitatiesteunruimte getoond. De toegestane exploitatiesteunruimte is: Netto-investering ( C) + rendement geïnvesteerd vermogen (D) - NCW marktwaarde elektriciteit ( E) + NCW exploitatiekosten (F)</t>
  </si>
  <si>
    <t>Hier wordt de netto contante waarde van de SDE-subsidie getoond.</t>
  </si>
  <si>
    <t>S1</t>
  </si>
  <si>
    <t>Saldo toets A = Toegestane exploitatiesteunruimte (G) - Netto contante waarde exploitatiesubsidie (H)</t>
  </si>
  <si>
    <t>S2</t>
  </si>
  <si>
    <t>Bedrag aan overstimulering toets A. Er is sprake van overstimulering als het saldo bij S1 kleiner is dan nul.</t>
  </si>
  <si>
    <t>Z2</t>
  </si>
  <si>
    <t>Bedrag aan overstimulering toets B. Er is sprake van overstimulering als het saldo bij S2 kleiner is dan nul.</t>
  </si>
  <si>
    <t>De (NCW van de) overcompensatie (maximum van Z1 en Z2) zal maximaal de gegeven steun bedragen onder B2. De onder B1 genoemde regelingen zijn categoraal en in de EU-goedkeuring van de SDE opgenomen. Daar wordt niet op gecorrigeerd.</t>
  </si>
  <si>
    <t>Jaar</t>
  </si>
  <si>
    <t>Totaal</t>
  </si>
  <si>
    <t>Uitgangspunten</t>
  </si>
  <si>
    <t>Waarde</t>
  </si>
  <si>
    <t>Eenheid</t>
  </si>
  <si>
    <t>MWe</t>
  </si>
  <si>
    <t>Beschikt opgesteld vermogen</t>
  </si>
  <si>
    <t>MWh</t>
  </si>
  <si>
    <t>Euro</t>
  </si>
  <si>
    <t>Opbrengsten marktwaarde elektriciteit (naast SDE) (Gemiddeld looptijd)</t>
  </si>
  <si>
    <t>Vaste operationele kosten (euro / jaar) (Gemiddeld looptijd)</t>
  </si>
  <si>
    <t>Variabele operationele kosten (euro / jaar) (Gemiddeld looptijd)</t>
  </si>
  <si>
    <t>Jaren</t>
  </si>
  <si>
    <t>maximale sde periode (jaren)</t>
  </si>
  <si>
    <t>ingebruikname datum</t>
  </si>
  <si>
    <t>sde ingangsdatum</t>
  </si>
  <si>
    <t>Vanaf dat moment kan sde genoten worden. Als de indieningsdatum later is dan deze datum benut je de sde periode niet optimaal.</t>
  </si>
  <si>
    <t xml:space="preserve">sde periode start in kalenderjaar </t>
  </si>
  <si>
    <t>In dat jaar start de 15 of 12 jaar. Dat is het 1e kalenderjaar dat je laat zien</t>
  </si>
  <si>
    <t>1e datum kalenderjaar waarin sde periode start</t>
  </si>
  <si>
    <t>per maand</t>
  </si>
  <si>
    <t>Datum dat sde opbrengsten starten</t>
  </si>
  <si>
    <t>Kalenderjaar dat sde opbrengsten starten</t>
  </si>
  <si>
    <t>1e datum kalenderjaar waarin sde opbrengst start</t>
  </si>
  <si>
    <t>Deel 1e kalenderjaar dat sde genoten wordt</t>
  </si>
  <si>
    <t>Deel 1e kalenderjaar dat sde periode omvat</t>
  </si>
  <si>
    <t>Deel laatste kalenderjaar dat sde genoten wordt</t>
  </si>
  <si>
    <t>In het geval dat de sde over bijv . 16 kalenderjaren verdeeld is.</t>
  </si>
  <si>
    <t>Deel laatste kalenderjaar (sde periode +1) dat sde periode omvat</t>
  </si>
  <si>
    <t>Verlies sde periode</t>
  </si>
  <si>
    <t>Effectieve sde periode</t>
  </si>
  <si>
    <t>Effectieve aantal kalenderjaren</t>
  </si>
  <si>
    <t xml:space="preserve">SDE ontvangstjaar: </t>
  </si>
  <si>
    <t>Deel jaar sde ontvangst</t>
  </si>
  <si>
    <t>in maanden</t>
  </si>
  <si>
    <t>NCW rendement geïnvesteerd vermogen</t>
  </si>
  <si>
    <t>Netto investering (NCW)</t>
  </si>
  <si>
    <t>Eigen vermogen (EV)</t>
  </si>
  <si>
    <t>Vreemd vermogen (VV)</t>
  </si>
  <si>
    <t>Terugbetalingsperiode  EV en VV in jaren</t>
  </si>
  <si>
    <t>rente VV per jaar</t>
  </si>
  <si>
    <t>Year</t>
  </si>
  <si>
    <t>VV schuld</t>
  </si>
  <si>
    <t>EV in project</t>
  </si>
  <si>
    <t>Rente VV</t>
  </si>
  <si>
    <t>Kosten EV</t>
  </si>
  <si>
    <t>NCW over jaar 1 tm 10</t>
  </si>
  <si>
    <t>rente VV</t>
  </si>
  <si>
    <t xml:space="preserve">Voordeel Regeling Groenprojecten </t>
  </si>
  <si>
    <t>Benuttingsjaren</t>
  </si>
  <si>
    <t>rente voordeel (forfaitair) per jaar</t>
  </si>
  <si>
    <t>Schuld VV (gefinancierd met Regeling Groenprojecten)</t>
  </si>
  <si>
    <t>voordeel per jaar</t>
  </si>
  <si>
    <t>Het rentevoordeel uit de Regeling Groenprojecten is berekend obv 10 jaar aflossing (in tegenstelling tot afschrijvings / aflossingstermijn ter berekening van het rendement op vermogen, zie hierboven</t>
  </si>
  <si>
    <t>D: Berekening VAMIL voordeel</t>
  </si>
  <si>
    <t>Belastingpercentage</t>
  </si>
  <si>
    <t>Begrote afschrijving</t>
  </si>
  <si>
    <t>Vervroegde afschrijving</t>
  </si>
  <si>
    <t xml:space="preserve">Belastingvoordeel </t>
  </si>
  <si>
    <t>F: MSK toets, Rekenhulp investeringsbedrag bij lease</t>
  </si>
  <si>
    <t>Rekenhulp voor het berekenen van het investeringsbedrag bij financial lease of sale en lease back</t>
  </si>
  <si>
    <t>Vul punt 1 tot en met 6 in.</t>
  </si>
  <si>
    <t>Punt</t>
  </si>
  <si>
    <t>Omschrijving</t>
  </si>
  <si>
    <t xml:space="preserve">Invulvelden </t>
  </si>
  <si>
    <t>Verdisconteringspercentage op jaarbasis:</t>
  </si>
  <si>
    <t>Verdisconteringspercentage op maandbasis</t>
  </si>
  <si>
    <t xml:space="preserve">leasetermijn per maand: </t>
  </si>
  <si>
    <t>leaseperiode (in maanden):</t>
  </si>
  <si>
    <t>koopoptie bedrag:</t>
  </si>
  <si>
    <t>koopoptie betalingsmaand:</t>
  </si>
  <si>
    <t>betaling begin (vul in: 1) of einde maand (vul in: 0):</t>
  </si>
  <si>
    <t>Uitkomsten</t>
  </si>
  <si>
    <t>NCW leasetermijnen:</t>
  </si>
  <si>
    <t>NCW koopoptie:</t>
  </si>
  <si>
    <t>Totale NCW (investeringsbedrag):</t>
  </si>
  <si>
    <t>Toelichting:</t>
  </si>
  <si>
    <t>Het disconteringspercentage dat u hier moet invullen is afhankelijk van de datum van de SDE aanvraag.</t>
  </si>
  <si>
    <t xml:space="preserve">Het bij de aanvraagdatum behorende disconteringspercentage kunt u vinden in de tabel op de website </t>
  </si>
  <si>
    <t>Hier vult u de maandelijkse leasetermijn in.</t>
  </si>
  <si>
    <t>Als er een koopoptie in uw leasecontract staat opgenomen, neemt u dat bedrag over. Als er geen koopoptie is, vult u niets in.</t>
  </si>
  <si>
    <t>Hier vult u de maand in waarin u van de eventuele koopoptie gebruik kan maken . Als u bijvoorbeeld na 12 jaar tot de optie koop</t>
  </si>
  <si>
    <t>kunt overgaan, vult u maand 145 in.</t>
  </si>
  <si>
    <t>Als u de leasetermijnen na afloop van de maand betaalt, vult u 0 in, betaalt u de leasetermijn vooraf, vult u 1 in.</t>
  </si>
  <si>
    <t>Dit is het investeringsbedrag. Dit bedrag kunt u invullen in het invoerblad.</t>
  </si>
  <si>
    <t>X</t>
  </si>
  <si>
    <t>forw banking</t>
  </si>
  <si>
    <t>Eerste jaar toepassing MSK korting</t>
  </si>
  <si>
    <t>In te voeren korting</t>
  </si>
  <si>
    <t>Overzicht MSK-toets Saldo</t>
  </si>
  <si>
    <t>Begrote SDE inkomsten NCW (voor correctie)</t>
  </si>
  <si>
    <t xml:space="preserve">SDE opbrengstkorting (door tariefcorrectie) </t>
  </si>
  <si>
    <t xml:space="preserve">Netto contant in totaal </t>
  </si>
  <si>
    <t>Netto productie vanaf kortingjaar a14</t>
  </si>
  <si>
    <t xml:space="preserve">hulpberekeningen </t>
  </si>
  <si>
    <t>blad: Overzicht msk toets</t>
  </si>
  <si>
    <t>correctiegrondslag</t>
  </si>
  <si>
    <t>ter bepaling</t>
  </si>
  <si>
    <t>NCW tariefkorting</t>
  </si>
  <si>
    <t>Nominale tariefkorting</t>
  </si>
  <si>
    <t>Te berekenen korting overall /MWh</t>
  </si>
  <si>
    <t>Forfaitair eigen vermogen</t>
  </si>
  <si>
    <t>Forfaitair vreemd vermogen</t>
  </si>
  <si>
    <t>Renteafslag groenfinanciering</t>
  </si>
  <si>
    <t>SDE21</t>
  </si>
  <si>
    <t>SDE22</t>
  </si>
  <si>
    <t>Financiële parameters</t>
  </si>
  <si>
    <t>Variabele kosten per MWh/jaar</t>
  </si>
  <si>
    <t>Rendement (rente) eigen vermogen</t>
  </si>
  <si>
    <t>Rendement (rente) vreemd vermogen</t>
  </si>
  <si>
    <t>SDE20</t>
  </si>
  <si>
    <t>Rentevoordeel regeling groenprojecten (forfaitair)</t>
  </si>
  <si>
    <t xml:space="preserve">Voordeel regeling groenprojecten </t>
  </si>
  <si>
    <t>Eigen vermogen (forfaitair)</t>
  </si>
  <si>
    <t>Rendement eigen vermogen (forfaitair)</t>
  </si>
  <si>
    <t>Rendement EV per jaar</t>
  </si>
  <si>
    <t>54a</t>
  </si>
  <si>
    <t>54b</t>
  </si>
  <si>
    <t>55b</t>
  </si>
  <si>
    <t>Correctiegrondslag (NCW)</t>
  </si>
  <si>
    <t>T</t>
  </si>
  <si>
    <t>V</t>
  </si>
  <si>
    <t>Berekening Korting SDE tarief</t>
  </si>
  <si>
    <t>Totaal NCW begrote productie vanaf kortingjaar</t>
  </si>
  <si>
    <t>Totale begrote productie in MWh vanaf kortingjaar</t>
  </si>
  <si>
    <t>Q1</t>
  </si>
  <si>
    <t>Q2</t>
  </si>
  <si>
    <t>Q3</t>
  </si>
  <si>
    <t>SDE opbrengsten (ná MSK-correctie)</t>
  </si>
  <si>
    <t>55c</t>
  </si>
  <si>
    <t>55d</t>
  </si>
  <si>
    <t>Begrote toegestane SDE inkomsten NCW (na correctie)</t>
  </si>
  <si>
    <t>55e</t>
  </si>
  <si>
    <t>Totale SDE opbrengsten NCW (na correctie)</t>
  </si>
  <si>
    <t xml:space="preserve">Let op: 
Dit Excelmodel bevat een kringverwijzing voor het berekenen van de hoogte van het MSK-correctietarief. Indien u dit model opent nadat u andere Excel-bestanden hebt geopend, kan het voorkomen dat u een foutmelding krijgt dat het bestand een kringverwijzing bevat. U kunt dit verhelpen door de overige Excelbestanden af te sluiten en dit Excel model opnieuw te openen.  </t>
  </si>
  <si>
    <t>SDE Tarief  maximaal (uitgaande van basis elektriciteitsprijs)</t>
  </si>
  <si>
    <t>Nog toe te passen MSK-correctie</t>
  </si>
  <si>
    <t xml:space="preserve">SDE Tarief reeds toegepaste MSK-correctie </t>
  </si>
  <si>
    <t>SDE Tarief nog toe te passen MSK-correctie</t>
  </si>
  <si>
    <t>SDE Tarief te verwachten ná MSK-correctie</t>
  </si>
  <si>
    <t>Reeds toegepaste MSK-correctie</t>
  </si>
  <si>
    <t>Hulpcellen iteratieve berekening gecorrigeerde MSK-korting tarief</t>
  </si>
  <si>
    <t>Totale SDE opbrengsten NCW voor MSK correctie</t>
  </si>
  <si>
    <t>Totale MSK-correctie NCW</t>
  </si>
  <si>
    <t>Totale SDE opbrengsten NCW ná MSK correctie</t>
  </si>
  <si>
    <t>Totale SDE opbrengsten nominale waarde ná MSK correctie</t>
  </si>
  <si>
    <t>Maximum subsidiabele vollasturen bij beschikt vermogen</t>
  </si>
  <si>
    <t>Verwachte of gerealiseerde subsidiabele vollasturen bij beschikt vermogen</t>
  </si>
  <si>
    <t>Verwachte of gerealiseerde vollasturen bij gerealiseerd vermogen</t>
  </si>
  <si>
    <t>Vollasturen bij gerealiseerd vermogen omgerekend bij beschikt vermogen</t>
  </si>
  <si>
    <t>Benutte vollasturen backward banking (overproductie uit verleden)</t>
  </si>
  <si>
    <t>Benutte vollasturen forward banking (subsidierechten opgebouwd in verleden)</t>
  </si>
  <si>
    <t>Gebankte vollasturen forward banking</t>
  </si>
  <si>
    <t>Gebankte vollasturen backwardbanking (max. 25% van jaarmaximum)</t>
  </si>
  <si>
    <t>Subsidiabele productie in MWh in SDE periode (benutte banking)</t>
  </si>
  <si>
    <t>Subsidiabele productie in MWh in SDE periode (excl. banking)</t>
  </si>
  <si>
    <t>Totale SDE opbrengsten (vóór MSK-correctie)</t>
  </si>
  <si>
    <t>SDE opbrengsten excl. banking</t>
  </si>
  <si>
    <t>SDE opbrengsten forward banking</t>
  </si>
  <si>
    <t>SDE opbrengsten backward banking</t>
  </si>
  <si>
    <t>backw banking 80%</t>
  </si>
  <si>
    <t>backw banking 20%</t>
  </si>
  <si>
    <t>Totale productie</t>
  </si>
  <si>
    <t xml:space="preserve">Totale subs. productie excl. banking </t>
  </si>
  <si>
    <t>Totale sub. prod. incl. banking</t>
  </si>
  <si>
    <t xml:space="preserve">Uitbetaling subsidiabele productie en backwardbanking in MWh in SDE periode (uitgangspunt 80% in het jaar en 20% het jaar daarna), forward banking het jaar erna. </t>
  </si>
  <si>
    <t>Berekening kortingsbedrag en banking</t>
  </si>
  <si>
    <t>Totaal gemeten productie in MWh in "SDE periode"</t>
  </si>
  <si>
    <t>Totaal gemeten of verwachte productie in MWh in "SDE periode"</t>
  </si>
  <si>
    <t xml:space="preserve">Totaal ontvangen meetwaarden productie </t>
  </si>
  <si>
    <t>Berekening terugvorderingsbedrag bij teveel uitbetaalde subsidie</t>
  </si>
  <si>
    <t>Afwijking met toegestane SDE-inkomsten steunruimte NCW (teveel ontvangen SDE-subsidie)</t>
  </si>
  <si>
    <t>Gerealiseerd opgesteld vermogen in MWe</t>
  </si>
  <si>
    <t>Beschikt opgesteld vermogen in MWe</t>
  </si>
  <si>
    <t>Totaal subs. vollasturen beschikt</t>
  </si>
  <si>
    <t>Indexatie operationele kosten</t>
  </si>
  <si>
    <t>Jaarlijkse subsidiabele productie in MWh in SDE periode</t>
  </si>
  <si>
    <t>Jaarlijkse productie in MWh in "SDE periode"</t>
  </si>
  <si>
    <t>VAMIL meldingsbedrag (euro's)</t>
  </si>
  <si>
    <t>Voordeel VAMIL</t>
  </si>
  <si>
    <t>Terug te vorderen subsidiebedrag geïndexeerd naar maand van terugvordering</t>
  </si>
  <si>
    <t xml:space="preserve">Algemeen </t>
  </si>
  <si>
    <t>Hier dient het maximale belastingpercentage inkomstenbelasting of vennootschapsbelasting ingevuld te worden dat van toepassing is in het jaar na het jaar van ingebruikname van de productie-installatie, waarbij in 2021 voor de inkomstenbelasting wordt uitgegaan van 49,5% en voor de vennootschapsbelasting van 25%</t>
  </si>
  <si>
    <t>Hier dient het aftrekpercentage ingevuld te worden dat van toepassing is op het moment van melding van de investering</t>
  </si>
  <si>
    <t>Hier vult u de toegekende EIA meldingsbedragen in. Als de bedragen nog niet zijn toegekend vult u de aangevraagde EIA meldingsbedragen in. Let wel er zijn bij sommige categorien (wind op land) en zonnepanelen EIA-maxima ingesteld.</t>
  </si>
  <si>
    <t>Het rentevoordeel uit de Regeling groenprojecten wordt forfaitair gesteld op het % dat is opgenomen in de Eindadviesbedragen van PBL in het jaar van de aanvraag van de SDE++-subsidie</t>
  </si>
  <si>
    <t>Rendement op eigen vermogen is forfaitair gesteld op basis van de Eindadviesbedragen PBL in het jaar van de aanvraag; dit is ook de grenswaarde</t>
  </si>
  <si>
    <t xml:space="preserve">Discontopercentage </t>
  </si>
  <si>
    <t xml:space="preserve">Zie  onderstaande link (link kopiëren en in uw browser plakken) </t>
  </si>
  <si>
    <t xml:space="preserve">Dit betreft de bedragen die zijn opgenomen of voortvloeien uit de SDE++- regeling. </t>
  </si>
  <si>
    <t>57/57A</t>
  </si>
  <si>
    <t>Het tarief marktwaarde stroom waartegen de MSK-toets wordt doorgerekend. Zie 54A</t>
  </si>
  <si>
    <t>De correctiegrondslag (NCW) kan niet meer zijn dan de subsidies onder punt B2.</t>
  </si>
  <si>
    <t>Investeringssteun uit EIA en Groen Lening(Regeling  Groienprojecten 2005, 2010, 2016 en 2022). Deze investeringssteun wordt meegenomen in de berekening, maar niet in de correctiegrondslag.</t>
  </si>
  <si>
    <r>
      <t>Saldo toets</t>
    </r>
    <r>
      <rPr>
        <sz val="10"/>
        <color rgb="FFFF0000"/>
        <rFont val="Arial"/>
        <family val="2"/>
      </rPr>
      <t xml:space="preserve"> </t>
    </r>
    <r>
      <rPr>
        <sz val="10"/>
        <rFont val="Arial"/>
        <family val="2"/>
      </rPr>
      <t>B</t>
    </r>
    <r>
      <rPr>
        <sz val="10"/>
        <rFont val="Arial"/>
        <family val="2"/>
        <charset val="1"/>
      </rPr>
      <t xml:space="preserve"> = Netto investering ( C) + Rendement geïnvesteerd vermogen (D) - NCW exploitatiesubsidie (H)</t>
    </r>
  </si>
  <si>
    <t>Dit is het 1e jaar waar de MSK korting wordt toegepast.</t>
  </si>
  <si>
    <t>Dit is de begrote productie vanaf het 1e kortingsjaar tot aan einde looptijd SDE++ in MWH</t>
  </si>
  <si>
    <t xml:space="preserve">Dit is de totale NCW van de productie vanaf het 1e kortingsjaar in MWH </t>
  </si>
  <si>
    <t>Q4</t>
  </si>
  <si>
    <t>Dit is de korting die in mindering gebracht wordt op het basisbedrag over de resterende looptijd van de SDE++-subsidie</t>
  </si>
  <si>
    <t>U</t>
  </si>
  <si>
    <t>Dit is de NCW van de begrote inkomsten na correctie van een eventuele korting door overstimulering</t>
  </si>
  <si>
    <t>Dit is de NCW van de totale SDE-opbrengsten na correctie die uitbetaald zijn</t>
  </si>
  <si>
    <t>Y</t>
  </si>
  <si>
    <t>Dit is de NCW van de teveel uitbetaalde SDE die niet verrekend kan worden in de resterende looptijd</t>
  </si>
  <si>
    <t>Z</t>
  </si>
  <si>
    <t>Dit is het bedrag wat separaat teruggevorderd moet worden van de producent</t>
  </si>
  <si>
    <t>Datum midden van de bouwperiode voor de berekening van de NCW</t>
  </si>
  <si>
    <t xml:space="preserve">Datum midden bouwtijd bij standaard NHW berekening in Excel is 1 juli van jaar 0 (uitgangspunt is ingebruikname op 1 januari jaar 1, met forfaittaire bouwtijd van 12 maanden):  </t>
  </si>
  <si>
    <t xml:space="preserve">Berekende midden bouwtijd, rekening houdend met de opgegeven ingebruikname datum en een eventuele bouwtijd van langer dan 12 maanden: </t>
  </si>
  <si>
    <t>Verschil in jaardeel:</t>
  </si>
  <si>
    <t>Correctiefactor op NHW berekening:</t>
  </si>
  <si>
    <t>VAMIL meldingsbedrag (het meldingsbedrag na aftrek subsidies)</t>
  </si>
  <si>
    <t>Begrote EIA  aftrek in eerste jaar SDE of latere jaar van ingebruikname</t>
  </si>
  <si>
    <t xml:space="preserve">Begrote MIA  aftrek in eerste jaar SDE of latere jaar van ingebruikname </t>
  </si>
  <si>
    <t>Begrote VAMIL afschrijvingen per jaar (75% in eerste jaar SDE of latere jaar van ingebruikname, 25% verdeeld over de 14 navolgende jaren)</t>
  </si>
  <si>
    <t>NCW over jaar 1 tm 15</t>
  </si>
  <si>
    <t xml:space="preserve">Dit rekenmodel dient als hulpmiddel om inzicht te krijgen in eventuele overcompensatie als gevolg van cumulatie van steun.  </t>
  </si>
  <si>
    <t>Let op: er kunnen geen rechten worden ontleend aan dit rekenmodel en de toelichtingen! Het dient als hulpmiddel om</t>
  </si>
  <si>
    <t>Dit rekenmodel bestaat uit meerdere werkbladen. In het werkblad  "Overzicht MSK toets" is te zien of er sprake is van overstimulering</t>
  </si>
  <si>
    <t>door subsidies of fiscale voordelen. Om voor uw project te komen tot uitkomsten dient u eerst in het werkblad "Invoerblad" de benodigde gegevens in te</t>
  </si>
  <si>
    <t>Selecteer hier de categorie waarvoor u subsidie heeft aangevraagd d.m.v. de filter (het driehoekje) achter de cel.</t>
  </si>
  <si>
    <t>Vermeld hier het gerealiseerd opgesteld vermogen (MWp)</t>
  </si>
  <si>
    <t>Vermeld hier het beschikt opgesteld vermogen (MWp)</t>
  </si>
  <si>
    <t xml:space="preserve">Hier vult u het verwachte aantal vollasturen per jaar van uw installatie in </t>
  </si>
  <si>
    <t>Hier vult u het aantal vollasturen per jaar van uw installatie in dat subsidiabel is</t>
  </si>
  <si>
    <t xml:space="preserve">De bouwtijd is relevant voor de discontering van de opbrengsten en kosten na de investering voor zover ze onderwerp zijn van de cumulatietoets. De bouwtijd is de periode tussen de eerste betalingen t.a.v. investering in de productie-installatie en datum van ingebruikname. In de discontering van dit rekenmodel wordt rekening gehouden met forfaitair 1 jaar bouwtijd. Is de bouwtijd langer dan wordt daar in de discontering van de opbrengsten en kosten rekening mee gehouden. Als de bouwtijd langer is bij grootschaligere projecten, bijvoorbeeld 2 jaar wordt ervan uitgegaan dat de kosten van de investering lineair gemaakt worden over die periode. De discontering van de exploitatiegegevens zoals SDE inkomsten etc. wordt dan aangepast, omdat er meer tijd zit tussen de investering en exploitatie. Gemiddeld zit er bij een bouwtijd van 2 jaar dan 1,5 jaar tussen de investering en de gemiddelde exploitatiekosten en opbrengsten van jaar 1, omdat de investeringskosten gemiddeld in het midden van de bouwperiode worden betaald (in dit geval is het midden van de bouwperiode 1 jaar voor de ingebruikname en 1,5 jaar voor de gemiddelde exploitatiekosten en opbrengsten van jaar 1. </t>
  </si>
  <si>
    <t>Hier dient het aftrekpercentage ingevuld te worden dat van toepassing is op het moment van melding van de investering. Dit is afhankelijk van uw beschikking.</t>
  </si>
  <si>
    <t>Dit is het percentage aan eigen vermogen, respectievelijk vreemd vermogen, waarmee het onder punt 34 berekende bedrag gefinancierd wordt. De ontvangen steun is in dit verband dus geen EV. Indien niet anders aangetoond wordt, wordt forfaitair uitgegaan van het gewogen gemiddelde zoals door het PBL is opgenomen in de Eindadviesbedragen in het jaar van indiening van de aanvraag. Deze waarden kunnen overschreven worden. Afwijkende % EV/VV dienen te worden onderbouwd met een financieringscontract voor het project of indien uit het eigen vermogen van de onderneming wordt gefinancierd tegen de verhouding EV die binnen die onderneming bestaat blijkend uit de laatste jaarrekening van de onderneming waar het project ondergebracht is. (vennootschappelijk of geconsolideerd indien de onderneming in een geconsolideerd jaarverslag wordt gerapporteerd.)</t>
  </si>
  <si>
    <t xml:space="preserve">Hier vult u het bedrag in dat is gefinancierd is met een Groen Lening (Financiering) (Regeling groenprojecten 2005, 2010, 2016 of 2022) </t>
  </si>
  <si>
    <t>Het rentepercentage voor het vreemd vermogen is forfaitair gesteld op basis van de Eindadviesbedragen PBL in het jaar van indiening van de aanvraag. U kunt daarvan afwijken als u met een financieringscontract kunt aantonen dat u een hoger percentage moet betalen</t>
  </si>
  <si>
    <t>link</t>
  </si>
  <si>
    <t>https://competition-policy.ec.europa.eu/state-aid/legislation/reference-discount-rates-and-recovery-interest-rates/reference-and-discount-rates_en</t>
  </si>
  <si>
    <t>De SDE opbrengsten per kalenderjaar worden als volgt berekend: Productie in de SDE-periode (punt 8A) * SDE tarief waartegen de MSK-toets wordt doorgerekend (punt 54b). Dit veld wordt automatisch berekend.</t>
  </si>
  <si>
    <t>Hier worden de exploitatiekosten doorgerekend. Dit is vastgesteld op basis van de eindadviesbedragen PBL in het jaar van de aanvraag. Deze kosten worden automatisch berekend.</t>
  </si>
  <si>
    <r>
      <t>Dit is het bruto-investeringsbedrag. Deze wordt overgenomen uit punt 1</t>
    </r>
    <r>
      <rPr>
        <sz val="10"/>
        <rFont val="Arial"/>
        <family val="2"/>
      </rPr>
      <t>4</t>
    </r>
    <r>
      <rPr>
        <sz val="10"/>
        <rFont val="Arial"/>
        <family val="2"/>
        <charset val="1"/>
      </rPr>
      <t xml:space="preserve"> van het invoerblad</t>
    </r>
  </si>
  <si>
    <t>Zie voor de berekening hiervan het blad "Rendement geinv. vermogen". Er wordt een rendement berekend over het bedrag dat geïnvesteerd is over de jaren uitgaande van lineaire afschrijving over 15 jaar. Het geïnvesteerde vermogen is het bedrag na afschrijvingen. Het geïnvesteerde vermogen in het project neemt dus gelijkmatig af over 15 jaar waarbij de verhouding eigen en vreemd vermogen gelijk blijft. De vergoeding voor eigen vermogen en voor vreemd vermogen is conform de Eindadviesbedragen PBL in het jaar van indiening van de aanvraag.</t>
  </si>
  <si>
    <t>Dit is de NCW van de begrote inkomsten voor correctie van een eventuele korting door overstimulering</t>
  </si>
  <si>
    <r>
      <t>Totaal NCW productie (</t>
    </r>
    <r>
      <rPr>
        <sz val="11"/>
        <rFont val="Times New Roman"/>
        <family val="1"/>
      </rPr>
      <t>uitbetaling) vanaf kortingjaar a14</t>
    </r>
  </si>
  <si>
    <t>VAMIL voordeel (uitgaande van forfaitaire afschrijving over 15 jaar)</t>
  </si>
  <si>
    <t>Normale lineaire afschrijving (15 jaar, bij gebroken eerste jaar 16 kalenderjaren)</t>
  </si>
  <si>
    <t>correctiefactor discontering</t>
  </si>
  <si>
    <t>G+B2</t>
  </si>
  <si>
    <t>Bovengrens totale steun</t>
  </si>
  <si>
    <t>Toegestane SDE++</t>
  </si>
  <si>
    <t xml:space="preserve">Vul hier het eerstvolgende kalenderjaar in. De berekende MSK-correctie is in beginsel met ingang van het eerst volgend kalenderjaar. </t>
  </si>
  <si>
    <t>Vul  opmerkingen / afwijkingen in als er is afgeweken van de gegevens van de aanvrager of als er is afgeweken  van bepaalde richtlijnen of als er bijzonderheden zijn.</t>
  </si>
  <si>
    <t>Hier kan je ook motiveren waarom er gekozen is voor bepaalde invoergegevens</t>
  </si>
  <si>
    <t>Is accountantsverklaring aanwezig?</t>
  </si>
  <si>
    <t>NVT</t>
  </si>
  <si>
    <t>Investeringsgegevens</t>
  </si>
  <si>
    <t>Zijn de opgegeven investeringskosten reeël?</t>
  </si>
  <si>
    <t>ECN Norm</t>
  </si>
  <si>
    <t>Gerealiseerd vermogen</t>
  </si>
  <si>
    <t>Investering ECN Norm</t>
  </si>
  <si>
    <t>Opgegeven investering</t>
  </si>
  <si>
    <t>Conclusie:</t>
  </si>
  <si>
    <t>Subsidie instrumenten</t>
  </si>
  <si>
    <t>Fiscale instrumenten</t>
  </si>
  <si>
    <t>Beschikkingsnummer invullen en controleren of de gegevens overeen komen met BAS</t>
  </si>
  <si>
    <t>Is onderbouwing eigen vermogen bijgevoegd?</t>
  </si>
  <si>
    <t>verdisconteringsvoet opzoeken via de link en invullen</t>
  </si>
  <si>
    <t>Exploitatie</t>
  </si>
  <si>
    <t>16 t/m 21</t>
  </si>
  <si>
    <t>Uitgegaan wordt van benutting van de EIA in het eerste jaar na voltooiing van de investering, bij het relevante aftekpercentage (punt 23) het relevante belastingpercentage (punt 22) en de disconteringsvoet (punt 43). Het onder punt 25 berekende aftrekbedrag in jaar 1 kan door het invullen van getallen over de verschillende jaren worden overschreven. Echter afwijkende claim dient dan in het eerste jaar (forfaitair) na afloop met een accountantsverklaring te worden aangetoond. Aanbevolen wordt om dit alleen te doen als het echt noodzakelijk is. Afwijkende claim van de EIA dan in het eerste jaar is alleen in zeer bijzondere gevallen mogelijk.</t>
  </si>
  <si>
    <t xml:space="preserve">Hier vult u de toegekende VAMIL meldingsbedragen in. Als de bedragen nog niet zijn toegekend vult u de aangevraagde VAMIL meldingsbedragen in. VAMIL staat voor De Regeling Willekeurige Afschrijving Milieu-investeringen. </t>
  </si>
  <si>
    <t>Uitgegaan wordt van benutting van de VAMIL in het eerste jaar na ingebruikname (voltooiing) van de investering, bij het relevante belastingpercentage (punt 22) en de disconteringsvoet (punt 46). De berekende vervroegde afschrijving onder punt 28 (onder jaar 1) kan door invulling van een andere verdeling van de afschrijvingen over de verschillende jaren worden overschreven. Echter afwijkende vervroegde afschrijving dan in het eerste jaar (forfaitair) dient na afloop met een accountantsverklaring te worden aangetoond. Aanbevolen wordt om dit pas later in het traject te doen als (een deel van) de werkelijke fiscale afschrijvingen bekend zijn.</t>
  </si>
  <si>
    <t xml:space="preserve">Hier vult u de toegekende MIA meldingsbedragen in. Als de bedragen nog niet zijn toegekend vult u de aangevraagde MIA meldingsbedragen in. MIA staat voor De Regeling Milieu-investering Aftrek. </t>
  </si>
  <si>
    <t>Uitgegaan wordt van benutting van de MIA in het eerste jaar na ingebruikname (voltooiing) van de investering, bij het relevante aftrekpercentage (punt 30) het relevante belastingpercentage (punt 22) en de disconteringsvoet (punt 46). Het onder punt 32 berekende voordeel in jaar 1 kan door het invullen van getallen over de verschillende jaren worden overschreven. Echter afwijkende benutting dan in het eerste jaar (forfaitair) dient na afloop met een accountantsverklaring te worden aangetoond. Aanbevolen wordt om dit alleen te doen als het echt noodzakelijk is door het grote verschil.</t>
  </si>
  <si>
    <t>47 t/m 51</t>
  </si>
  <si>
    <t>Het correctiebedrag waartegen de MSK-toets wordt doorgerekend is gelijk aan 49.</t>
  </si>
  <si>
    <t>Het tarief waartegen de MSK-toets wordt doorgerekend is het verschil tussen het basistarief (punt 47) en het correctiebedrag waartegen de MSK-toets wordt doorgerekend (punt 54a). Dit veld wordt automatisch berekend.</t>
  </si>
  <si>
    <t>Hulpberekening voor grafiek tabblad "Overzicht MSK toets"</t>
  </si>
  <si>
    <t>Totale SDE opbrengsten (vóór MSK-correctie) nominaal</t>
  </si>
  <si>
    <t xml:space="preserve">Totale SDE opbrengsten (vóór MSK-correctie) netto contant </t>
  </si>
  <si>
    <t>SDE opbrengsten cumulatief (vóór MSK-correctie) netto contant</t>
  </si>
  <si>
    <t>SDE++ opbrengsten NCW vóór MSK-correctie</t>
  </si>
  <si>
    <t>SDE23</t>
  </si>
  <si>
    <t>SDE24</t>
  </si>
  <si>
    <t>SDE25</t>
  </si>
  <si>
    <t>SDE26</t>
  </si>
  <si>
    <t>SDE27</t>
  </si>
  <si>
    <t>Benutte productie forwardbanking</t>
  </si>
  <si>
    <t>Benutte productie backwardbanking</t>
  </si>
  <si>
    <t>MSK rekenmodel voor windenergie vanaf SDE++ 2020</t>
  </si>
  <si>
    <t xml:space="preserve">Benutte productie backwardbanking </t>
  </si>
  <si>
    <t>Totale productie forwardbanking</t>
  </si>
  <si>
    <t>Totale productie backwardbanking</t>
  </si>
  <si>
    <t xml:space="preserve">Tarief marktwaarde stroom  (Euro/MWh) (naast SDE) </t>
  </si>
  <si>
    <t xml:space="preserve">Opbrengsten marktwaarde elektriciteit (naast SDE) </t>
  </si>
  <si>
    <t>SDE basis elektriciteitsprijs</t>
  </si>
  <si>
    <t xml:space="preserve">Tarief marktwaarde stroom gem.  (Euro/MWh) (naast SDE) </t>
  </si>
  <si>
    <t>Totale subsidiabele productie inc. Banking</t>
  </si>
  <si>
    <t>Wind op land</t>
  </si>
  <si>
    <t>Wind op waterkering</t>
  </si>
  <si>
    <t>Wind hoogtebeperkt</t>
  </si>
  <si>
    <t>Wind in meer</t>
  </si>
  <si>
    <t>Maximum subsidiabele vollasturen bij beschikt vermogen (P50-waarde)</t>
  </si>
  <si>
    <t>Verwachte of gerealiseerde vollasturen bij gerealiseerd vermogen (P50-waarde)</t>
  </si>
  <si>
    <t>Categorieën wind SDE20 najaar</t>
  </si>
  <si>
    <t>Categorieën wind SDE21</t>
  </si>
  <si>
    <t>Categorieën wind SDE22</t>
  </si>
  <si>
    <t>Categorieën wind SDE23</t>
  </si>
  <si>
    <t>Vaste kosten per MW/jaar</t>
  </si>
  <si>
    <t>Vul hier het basisbedrag voor uw project in.</t>
  </si>
  <si>
    <t>Vul hier de basiselektriciteiteitsprijs voor uw project in.</t>
  </si>
  <si>
    <t xml:space="preserve">Dit veld is gelijk aan: gerealiseerd opgesteld vermogen (punt 5) * vollasturen (punt 7) </t>
  </si>
  <si>
    <t xml:space="preserve">Dit veld is met de volgende formule berekend: beschikt opgesteld vermogen (punt 5A) * subsidiabele draaiuren  (punt 7A) </t>
  </si>
  <si>
    <t>Als te financieren wordt beschouwd de investering (punt 14) -/- de subsidies (punt 21) -/- de voordelen die uit de fiscale instrumenten worden verkregen (punt 33).</t>
  </si>
  <si>
    <t>De afschrijvingsbasis betreft de investering (punt 14)  -/- de subsidies (punt 21).</t>
  </si>
  <si>
    <t>Hier worden de energie-opbrengsten naast de SDE berekend. Dit gebeurt door de totale productie MWh in de SDE-periode (punt 8) te vermenigvuldigen met het tarief marktwaarde stroom (punt 54A)</t>
  </si>
  <si>
    <t>Dit is de NCW van de begrote toegestane inkomsten na correctie overstimulering (=T - U)</t>
  </si>
  <si>
    <t>Vul hier de correctiebedragen in voor de jaren waarover het correctiebedrag definitief is vastgesteld. De overige velden worden berekend a.d.h.v. het laatste definitief vastgestelde correctiebedrag met een inflatiepercentage van 2% per 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</si>
</sst>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7" formatCode="&quot;€&quot;\ #,##0.00;&quot;€&quot;\ \-#,##0.00"/>
    <numFmt numFmtId="8" formatCode="&quot;€&quot;\ #,##0.00;[Red]&quot;€&quot;\ \-#,##0.00"/>
    <numFmt numFmtId="44" formatCode="_ &quot;€&quot;\ * #,##0.00_ ;_ &quot;€&quot;\ * \-#,##0.00_ ;_ &quot;€&quot;\ * &quot;-&quot;??_ ;_ @_ "/>
    <numFmt numFmtId="164" formatCode="_-&quot;€ &quot;* #,##0.00_-;_-&quot;€ &quot;* #,##0.00\-;_-&quot;€ &quot;* \-??_-;_-@_-"/>
    <numFmt numFmtId="165" formatCode="_-* #,##0.00_-;_-* #,##0.00\-;_-* \-??_-;_-@_-"/>
    <numFmt numFmtId="166" formatCode="_-* #,##0_-;_-* #,##0\-;_-* \-??_-;_-@_-"/>
    <numFmt numFmtId="167" formatCode="d/mm/yy;@"/>
    <numFmt numFmtId="168" formatCode="0.0%"/>
    <numFmt numFmtId="169" formatCode="_-* #,##0.000_-;_-* #,##0.000\-;_-* \-??_-;_-@_-"/>
    <numFmt numFmtId="170" formatCode="0.000"/>
    <numFmt numFmtId="171" formatCode="&quot;€ &quot;#,##0.00_-"/>
    <numFmt numFmtId="172" formatCode="&quot;€ &quot;#,##0_-"/>
    <numFmt numFmtId="173" formatCode="&quot;€ &quot;#,##0.00_-;[Red]&quot;€ &quot;#,##0.00\-"/>
    <numFmt numFmtId="174" formatCode="_-* #,##0.000000_-;_-* #,##0.000000\-;_-* \-??_-;_-@_-"/>
    <numFmt numFmtId="175" formatCode="#,##0_ ;\-#,##0\ "/>
    <numFmt numFmtId="176" formatCode="&quot;€ &quot;#,##0.00"/>
    <numFmt numFmtId="177" formatCode="_-* #,##0.0_-;_-* #,##0.0\-;_-* \-??_-;_-@_-"/>
    <numFmt numFmtId="178" formatCode="0.0000"/>
    <numFmt numFmtId="179" formatCode="_-* #,##0.00000000_-;_-* #,##0.00000000\-;_-* \-??_-;_-@_-"/>
    <numFmt numFmtId="180" formatCode="_-* #,##0.00000_-;_-* #,##0.00000\-;_-* \-??_-;_-@_-"/>
    <numFmt numFmtId="181" formatCode="&quot;€ &quot;#,##0.00000_-;[Red]&quot;€ &quot;#,##0.00000\-"/>
    <numFmt numFmtId="182" formatCode="&quot;€ &quot;#,##0.000000_-;[Red]&quot;€ &quot;#,##0.000000\-"/>
    <numFmt numFmtId="183" formatCode="_-* #,##0.000000000_-;_-* #,##0.000000000\-;_-* \-??_-;_-@_-"/>
    <numFmt numFmtId="184" formatCode="_-* #,##0.0000000_-;_-* #,##0.0000000\-;_-* \-??_-;_-@_-"/>
    <numFmt numFmtId="185" formatCode="_ * #,##0.000_ ;_ * \-#,##0.000_ ;_ * &quot;-&quot;???_ ;_ @_ "/>
    <numFmt numFmtId="186" formatCode="_-* #,##0.00_-;_-* #,##0.00\-;_-* &quot;-&quot;??_-;_-@_-"/>
    <numFmt numFmtId="187" formatCode="_-* #,##0_-;_-* #,##0\-;_-* &quot;-&quot;??_-;_-@_-"/>
    <numFmt numFmtId="188" formatCode="_-* #,##0.0000_-;_-* #,##0.0000\-;_-* &quot;-&quot;??_-;_-@_-"/>
    <numFmt numFmtId="189" formatCode="0_ ;\-0\ "/>
    <numFmt numFmtId="190" formatCode="#,##0.0_ ;\-#,##0.0\ "/>
    <numFmt numFmtId="191" formatCode="&quot;€&quot;\ #,##0.00"/>
    <numFmt numFmtId="192" formatCode="0.00000"/>
    <numFmt numFmtId="193" formatCode="&quot;€&quot;\ #,##0.00000"/>
    <numFmt numFmtId="194" formatCode="#,##0.00000_ ;\-#,##0.00000\ "/>
    <numFmt numFmtId="195" formatCode="&quot;€&quot;\ #,##0"/>
    <numFmt numFmtId="196" formatCode="0.0"/>
    <numFmt numFmtId="197" formatCode="#,##0.000"/>
    <numFmt numFmtId="198" formatCode="[$-413]d\ mmmm\ yyyy;@"/>
    <numFmt numFmtId="199" formatCode="#,##0.0"/>
    <numFmt numFmtId="200" formatCode="#,##0.0000"/>
    <numFmt numFmtId="201" formatCode="#,##0.0000_ ;\-#,##0.0000\ "/>
    <numFmt numFmtId="202" formatCode="_ [$€-413]\ * #,##0.00_ ;_ [$€-413]\ * \-#,##0.00_ ;_ [$€-413]\ * &quot;-&quot;??_ ;_ @_ "/>
  </numFmts>
  <fonts count="81" x14ac:knownFonts="1">
    <font>
      <sz val="10"/>
      <name val="Times New Roman"/>
      <charset val="1"/>
    </font>
    <font>
      <sz val="10"/>
      <name val="Times New Roman"/>
      <family val="1"/>
      <charset val="1"/>
    </font>
    <font>
      <b/>
      <u/>
      <sz val="16"/>
      <name val="Times New Roman"/>
      <family val="1"/>
      <charset val="1"/>
    </font>
    <font>
      <b/>
      <sz val="20"/>
      <name val="Times New Roman"/>
      <family val="1"/>
      <charset val="1"/>
    </font>
    <font>
      <b/>
      <sz val="11"/>
      <name val="Times New Roman"/>
      <family val="1"/>
      <charset val="1"/>
    </font>
    <font>
      <b/>
      <sz val="11"/>
      <color rgb="FFFF0000"/>
      <name val="Times New Roman"/>
      <family val="1"/>
      <charset val="1"/>
    </font>
    <font>
      <sz val="10"/>
      <color rgb="FF3366FF"/>
      <name val="Times New Roman"/>
      <family val="1"/>
      <charset val="1"/>
    </font>
    <font>
      <b/>
      <sz val="10"/>
      <name val="Times New Roman"/>
      <family val="1"/>
      <charset val="1"/>
    </font>
    <font>
      <b/>
      <u/>
      <sz val="12"/>
      <color rgb="FFFF0000"/>
      <name val="Times New Roman"/>
      <family val="1"/>
      <charset val="1"/>
    </font>
    <font>
      <u/>
      <sz val="6"/>
      <color rgb="FF0000FF"/>
      <name val="Times New Roman"/>
      <family val="1"/>
      <charset val="1"/>
    </font>
    <font>
      <sz val="11"/>
      <color rgb="FFFF0000"/>
      <name val="Times New Roman"/>
      <family val="1"/>
      <charset val="1"/>
    </font>
    <font>
      <sz val="11"/>
      <name val="Times New Roman"/>
      <family val="1"/>
      <charset val="1"/>
    </font>
    <font>
      <u/>
      <sz val="11"/>
      <color rgb="FF0000FF"/>
      <name val="Times New Roman"/>
      <family val="1"/>
      <charset val="1"/>
    </font>
    <font>
      <sz val="10"/>
      <color rgb="FFFF0000"/>
      <name val="Times New Roman"/>
      <family val="1"/>
      <charset val="1"/>
    </font>
    <font>
      <b/>
      <sz val="10"/>
      <name val="Arial"/>
      <family val="2"/>
      <charset val="1"/>
    </font>
    <font>
      <b/>
      <sz val="12"/>
      <name val="Times New Roman"/>
      <family val="1"/>
      <charset val="1"/>
    </font>
    <font>
      <sz val="10"/>
      <color rgb="FFFF0000"/>
      <name val="Arial"/>
      <family val="2"/>
      <charset val="1"/>
    </font>
    <font>
      <b/>
      <sz val="10"/>
      <color rgb="FFFF0000"/>
      <name val="Times New Roman"/>
      <family val="1"/>
      <charset val="1"/>
    </font>
    <font>
      <b/>
      <sz val="10"/>
      <color rgb="FFFF0000"/>
      <name val="Arial"/>
      <family val="2"/>
      <charset val="1"/>
    </font>
    <font>
      <sz val="11"/>
      <color rgb="FF339966"/>
      <name val="Times New Roman"/>
      <family val="1"/>
      <charset val="1"/>
    </font>
    <font>
      <b/>
      <sz val="12"/>
      <name val="Arial"/>
      <family val="2"/>
      <charset val="1"/>
    </font>
    <font>
      <b/>
      <sz val="12"/>
      <color rgb="FFFF0000"/>
      <name val="Arial"/>
      <family val="2"/>
      <charset val="1"/>
    </font>
    <font>
      <sz val="14"/>
      <name val="Times New Roman"/>
      <family val="1"/>
      <charset val="1"/>
    </font>
    <font>
      <u/>
      <sz val="10"/>
      <color rgb="FF0000FF"/>
      <name val="Times New Roman"/>
      <family val="1"/>
      <charset val="1"/>
    </font>
    <font>
      <sz val="10"/>
      <color rgb="FF0000FF"/>
      <name val="Times New Roman"/>
      <family val="1"/>
      <charset val="1"/>
    </font>
    <font>
      <b/>
      <sz val="12"/>
      <color rgb="FFFF0000"/>
      <name val="Times New Roman"/>
      <family val="1"/>
      <charset val="1"/>
    </font>
    <font>
      <b/>
      <sz val="9"/>
      <name val="Times New Roman"/>
      <family val="1"/>
      <charset val="1"/>
    </font>
    <font>
      <sz val="12"/>
      <name val="Times New Roman"/>
      <family val="1"/>
      <charset val="1"/>
    </font>
    <font>
      <sz val="10"/>
      <color rgb="FFFFFFFF"/>
      <name val="Times New Roman"/>
      <family val="1"/>
      <charset val="1"/>
    </font>
    <font>
      <sz val="12"/>
      <color rgb="FFFF0000"/>
      <name val="Times New Roman"/>
      <family val="1"/>
      <charset val="1"/>
    </font>
    <font>
      <b/>
      <u/>
      <sz val="10"/>
      <color rgb="FFFF0000"/>
      <name val="Times New Roman"/>
      <family val="1"/>
      <charset val="1"/>
    </font>
    <font>
      <sz val="10"/>
      <name val="Arial"/>
      <family val="2"/>
      <charset val="1"/>
    </font>
    <font>
      <b/>
      <u/>
      <sz val="14"/>
      <name val="Times New Roman"/>
      <family val="1"/>
      <charset val="1"/>
    </font>
    <font>
      <u/>
      <sz val="10"/>
      <color rgb="FF0000FF"/>
      <name val="Arial"/>
      <family val="2"/>
      <charset val="1"/>
    </font>
    <font>
      <sz val="10"/>
      <color rgb="FF3366FF"/>
      <name val="Arial"/>
      <family val="2"/>
      <charset val="1"/>
    </font>
    <font>
      <u/>
      <sz val="6"/>
      <color rgb="FF0000FF"/>
      <name val="Arial"/>
      <family val="2"/>
      <charset val="1"/>
    </font>
    <font>
      <b/>
      <sz val="14"/>
      <name val="Times New Roman"/>
      <family val="1"/>
      <charset val="1"/>
    </font>
    <font>
      <b/>
      <u/>
      <sz val="9"/>
      <name val="Times New Roman"/>
      <family val="1"/>
      <charset val="1"/>
    </font>
    <font>
      <sz val="9"/>
      <name val="Times New Roman"/>
      <family val="1"/>
      <charset val="1"/>
    </font>
    <font>
      <sz val="9"/>
      <name val="Arial"/>
      <family val="2"/>
      <charset val="1"/>
    </font>
    <font>
      <b/>
      <sz val="9"/>
      <name val="Arial"/>
      <family val="2"/>
      <charset val="1"/>
    </font>
    <font>
      <u/>
      <sz val="10"/>
      <color rgb="FF3366FF"/>
      <name val="Times New Roman"/>
      <family val="1"/>
      <charset val="1"/>
    </font>
    <font>
      <sz val="10"/>
      <name val="Times New Roman"/>
      <family val="1"/>
    </font>
    <font>
      <b/>
      <sz val="11"/>
      <name val="Times New Roman"/>
      <family val="1"/>
    </font>
    <font>
      <b/>
      <sz val="10"/>
      <name val="Times New Roman"/>
      <family val="1"/>
    </font>
    <font>
      <sz val="10"/>
      <name val="Arial"/>
      <family val="2"/>
    </font>
    <font>
      <b/>
      <sz val="10"/>
      <color rgb="FFFF0000"/>
      <name val="Times New Roman"/>
      <family val="1"/>
    </font>
    <font>
      <sz val="11"/>
      <color theme="1"/>
      <name val="Times New Roman"/>
      <family val="1"/>
    </font>
    <font>
      <sz val="11"/>
      <color rgb="FFFF0000"/>
      <name val="Times New Roman"/>
      <family val="1"/>
    </font>
    <font>
      <sz val="11"/>
      <name val="Times New Roman"/>
      <family val="1"/>
    </font>
    <font>
      <b/>
      <sz val="11"/>
      <color theme="1"/>
      <name val="Times New Roman"/>
      <family val="1"/>
    </font>
    <font>
      <sz val="8"/>
      <name val="Times New Roman"/>
      <family val="1"/>
    </font>
    <font>
      <b/>
      <sz val="14"/>
      <name val="Times New Roman"/>
      <family val="1"/>
    </font>
    <font>
      <sz val="10"/>
      <color rgb="FFFF0000"/>
      <name val="Arial"/>
      <family val="2"/>
    </font>
    <font>
      <sz val="10"/>
      <name val="Calibri"/>
      <family val="2"/>
    </font>
    <font>
      <sz val="10"/>
      <color theme="9" tint="-0.249977111117893"/>
      <name val="Times New Roman"/>
      <family val="1"/>
    </font>
    <font>
      <sz val="8"/>
      <name val="Times New Roman"/>
      <family val="1"/>
    </font>
    <font>
      <b/>
      <sz val="10"/>
      <color theme="9" tint="-0.249977111117893"/>
      <name val="Times New Roman"/>
      <family val="1"/>
    </font>
    <font>
      <b/>
      <sz val="9"/>
      <name val="Times New Roman"/>
      <family val="1"/>
    </font>
    <font>
      <sz val="9"/>
      <name val="Times New Roman"/>
      <family val="1"/>
    </font>
    <font>
      <sz val="10"/>
      <color rgb="FFFF0000"/>
      <name val="Times New Roman"/>
      <family val="1"/>
    </font>
    <font>
      <sz val="18"/>
      <color rgb="FFFF0000"/>
      <name val="Times New Roman"/>
      <family val="1"/>
      <charset val="1"/>
    </font>
    <font>
      <sz val="9"/>
      <color indexed="81"/>
      <name val="Tahoma"/>
      <family val="2"/>
    </font>
    <font>
      <b/>
      <sz val="9"/>
      <color indexed="81"/>
      <name val="Tahoma"/>
      <family val="2"/>
    </font>
    <font>
      <i/>
      <sz val="10"/>
      <color rgb="FF7030A0"/>
      <name val="Arial"/>
      <family val="2"/>
    </font>
    <font>
      <i/>
      <sz val="10"/>
      <color rgb="FF9966FF"/>
      <name val="Arial"/>
      <family val="2"/>
    </font>
    <font>
      <sz val="10"/>
      <color rgb="FF9966FF"/>
      <name val="Arial"/>
      <family val="2"/>
    </font>
    <font>
      <sz val="9"/>
      <color indexed="81"/>
      <name val="Times New Roman"/>
      <family val="1"/>
    </font>
    <font>
      <b/>
      <sz val="9"/>
      <color indexed="81"/>
      <name val="Times New Roman"/>
      <family val="1"/>
    </font>
    <font>
      <b/>
      <sz val="12"/>
      <name val="Arial"/>
      <family val="2"/>
    </font>
    <font>
      <sz val="10"/>
      <color rgb="FF00B050"/>
      <name val="Arial"/>
      <family val="2"/>
      <charset val="1"/>
    </font>
    <font>
      <b/>
      <u/>
      <sz val="12"/>
      <color theme="4"/>
      <name val="Times New Roman"/>
      <family val="1"/>
      <charset val="1"/>
    </font>
    <font>
      <u/>
      <sz val="9"/>
      <color rgb="FF0000FF"/>
      <name val="Times New Roman"/>
      <family val="1"/>
      <charset val="1"/>
    </font>
    <font>
      <sz val="9"/>
      <name val="Arial"/>
      <family val="2"/>
    </font>
    <font>
      <b/>
      <u/>
      <sz val="14"/>
      <name val="Times New Roman"/>
      <family val="1"/>
    </font>
    <font>
      <sz val="10"/>
      <name val="Times New Roman"/>
      <family val="1"/>
    </font>
    <font>
      <b/>
      <sz val="12"/>
      <name val="Times New Roman"/>
      <family val="1"/>
    </font>
    <font>
      <sz val="10"/>
      <color theme="1"/>
      <name val="Times New Roman"/>
      <family val="1"/>
    </font>
    <font>
      <sz val="10"/>
      <color theme="1"/>
      <name val="Times New Roman"/>
      <family val="1"/>
      <charset val="1"/>
    </font>
    <font>
      <sz val="10"/>
      <color theme="1"/>
      <name val="Arial"/>
      <family val="2"/>
    </font>
    <font>
      <sz val="28"/>
      <color rgb="FFFF0000"/>
      <name val="Times New Roman"/>
      <family val="1"/>
    </font>
  </fonts>
  <fills count="18">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C6D9F1"/>
        <bgColor rgb="FFC0C0C0"/>
      </patternFill>
    </fill>
    <fill>
      <patternFill patternType="solid">
        <fgColor rgb="FFC0C0C0"/>
        <bgColor rgb="FFBFBFBF"/>
      </patternFill>
    </fill>
    <fill>
      <patternFill patternType="solid">
        <fgColor rgb="FF969696"/>
        <bgColor rgb="FF878787"/>
      </patternFill>
    </fill>
    <fill>
      <patternFill patternType="solid">
        <fgColor rgb="FFFFFF99"/>
        <bgColor rgb="FFFFFFCC"/>
      </patternFill>
    </fill>
    <fill>
      <patternFill patternType="solid">
        <fgColor rgb="FFFFFF00"/>
        <bgColor indexed="64"/>
      </patternFill>
    </fill>
    <fill>
      <patternFill patternType="solid">
        <fgColor theme="7" tint="0.39997558519241921"/>
        <bgColor indexed="64"/>
      </patternFill>
    </fill>
    <fill>
      <patternFill patternType="solid">
        <fgColor rgb="FF9999FF"/>
        <bgColor indexed="64"/>
      </patternFill>
    </fill>
    <fill>
      <patternFill patternType="solid">
        <fgColor theme="8" tint="0.59999389629810485"/>
        <bgColor indexed="64"/>
      </patternFill>
    </fill>
    <fill>
      <patternFill patternType="solid">
        <fgColor rgb="FFFFFF00"/>
        <bgColor rgb="FFFFFFCC"/>
      </patternFill>
    </fill>
    <fill>
      <patternFill patternType="solid">
        <fgColor rgb="FF92D050"/>
        <bgColor indexed="64"/>
      </patternFill>
    </fill>
    <fill>
      <patternFill patternType="solid">
        <fgColor rgb="FFC6D9F1"/>
        <bgColor indexed="64"/>
      </patternFill>
    </fill>
    <fill>
      <patternFill patternType="solid">
        <fgColor rgb="FFE6B9B8"/>
        <bgColor indexed="64"/>
      </patternFill>
    </fill>
    <fill>
      <patternFill patternType="solid">
        <fgColor rgb="FFE6B9B8"/>
        <bgColor rgb="FFC0C0C0"/>
      </patternFill>
    </fill>
    <fill>
      <patternFill patternType="solid">
        <fgColor theme="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medium">
        <color auto="1"/>
      </left>
      <right style="thin">
        <color rgb="FFFFFFFF"/>
      </right>
      <top style="medium">
        <color auto="1"/>
      </top>
      <bottom style="thin">
        <color rgb="FFFFFFFF"/>
      </bottom>
      <diagonal/>
    </border>
    <border>
      <left style="thin">
        <color rgb="FFFFFFFF"/>
      </left>
      <right style="thin">
        <color rgb="FFFFFFFF"/>
      </right>
      <top style="medium">
        <color auto="1"/>
      </top>
      <bottom style="thin">
        <color rgb="FFFFFFFF"/>
      </bottom>
      <diagonal/>
    </border>
    <border>
      <left style="thin">
        <color rgb="FFFFFFFF"/>
      </left>
      <right style="medium">
        <color auto="1"/>
      </right>
      <top style="medium">
        <color auto="1"/>
      </top>
      <bottom style="thin">
        <color rgb="FFFFFFFF"/>
      </bottom>
      <diagonal/>
    </border>
    <border>
      <left/>
      <right style="thin">
        <color rgb="FFFFFFFF"/>
      </right>
      <top style="thin">
        <color rgb="FFFFFFFF"/>
      </top>
      <bottom style="thin">
        <color rgb="FFFFFFFF"/>
      </bottom>
      <diagonal/>
    </border>
    <border>
      <left style="medium">
        <color auto="1"/>
      </left>
      <right style="thin">
        <color rgb="FFFFFFFF"/>
      </right>
      <top style="thin">
        <color rgb="FFFFFFFF"/>
      </top>
      <bottom style="thin">
        <color rgb="FFFFFFFF"/>
      </bottom>
      <diagonal/>
    </border>
    <border>
      <left style="thin">
        <color rgb="FFFFFFFF"/>
      </left>
      <right style="medium">
        <color auto="1"/>
      </right>
      <top style="thin">
        <color rgb="FFFFFFFF"/>
      </top>
      <bottom style="thin">
        <color rgb="FFFFFFFF"/>
      </bottom>
      <diagonal/>
    </border>
    <border>
      <left style="medium">
        <color auto="1"/>
      </left>
      <right style="thin">
        <color rgb="FFFFFFFF"/>
      </right>
      <top style="thin">
        <color rgb="FFFFFFFF"/>
      </top>
      <bottom style="medium">
        <color auto="1"/>
      </bottom>
      <diagonal/>
    </border>
    <border>
      <left style="thin">
        <color rgb="FFFFFFFF"/>
      </left>
      <right style="thin">
        <color rgb="FFFFFFFF"/>
      </right>
      <top style="thin">
        <color rgb="FFFFFFFF"/>
      </top>
      <bottom style="medium">
        <color auto="1"/>
      </bottom>
      <diagonal/>
    </border>
    <border>
      <left style="thin">
        <color rgb="FFFFFFFF"/>
      </left>
      <right style="medium">
        <color auto="1"/>
      </right>
      <top style="thin">
        <color rgb="FFFFFFFF"/>
      </top>
      <bottom style="medium">
        <color auto="1"/>
      </bottom>
      <diagonal/>
    </border>
    <border>
      <left style="thin">
        <color rgb="FFFFFFFF"/>
      </left>
      <right style="thin">
        <color rgb="FFFFFFFF"/>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FFFFFF"/>
      </left>
      <right style="thin">
        <color rgb="FFFFFFFF"/>
      </right>
      <top/>
      <bottom style="thin">
        <color rgb="FFFFFFFF"/>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top style="medium">
        <color auto="1"/>
      </top>
      <bottom style="double">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indexed="64"/>
      </left>
      <right style="thin">
        <color indexed="64"/>
      </right>
      <top/>
      <bottom/>
      <diagonal/>
    </border>
  </borders>
  <cellStyleXfs count="7">
    <xf numFmtId="0" fontId="0" fillId="0" borderId="0"/>
    <xf numFmtId="165" fontId="42" fillId="0" borderId="0" applyBorder="0" applyProtection="0"/>
    <xf numFmtId="9" fontId="42" fillId="0" borderId="0" applyBorder="0" applyProtection="0"/>
    <xf numFmtId="0" fontId="9" fillId="0" borderId="0" applyBorder="0" applyProtection="0"/>
    <xf numFmtId="0" fontId="1" fillId="0" borderId="0"/>
    <xf numFmtId="164" fontId="42" fillId="0" borderId="0" applyBorder="0" applyProtection="0"/>
    <xf numFmtId="44" fontId="75" fillId="0" borderId="0" applyFont="0" applyFill="0" applyBorder="0" applyAlignment="0" applyProtection="0"/>
  </cellStyleXfs>
  <cellXfs count="718">
    <xf numFmtId="0" fontId="0" fillId="0" borderId="0" xfId="0"/>
    <xf numFmtId="0" fontId="1" fillId="0" borderId="0" xfId="0" applyFont="1" applyAlignment="1"/>
    <xf numFmtId="0" fontId="0" fillId="0" borderId="0" xfId="0" applyProtection="1">
      <protection locked="0"/>
    </xf>
    <xf numFmtId="0" fontId="0" fillId="0" borderId="0" xfId="0"/>
    <xf numFmtId="0" fontId="2" fillId="0" borderId="0" xfId="0" applyFont="1"/>
    <xf numFmtId="0" fontId="1" fillId="0" borderId="1" xfId="0" applyFont="1" applyBorder="1"/>
    <xf numFmtId="14" fontId="0" fillId="0" borderId="0" xfId="0" applyNumberFormat="1"/>
    <xf numFmtId="165" fontId="0" fillId="0" borderId="0" xfId="1" applyFont="1" applyBorder="1" applyAlignment="1" applyProtection="1"/>
    <xf numFmtId="165" fontId="0" fillId="0" borderId="0" xfId="0" applyNumberFormat="1" applyBorder="1"/>
    <xf numFmtId="0" fontId="0" fillId="0" borderId="0" xfId="0" applyBorder="1"/>
    <xf numFmtId="0" fontId="4" fillId="0" borderId="2" xfId="0" applyFont="1" applyBorder="1"/>
    <xf numFmtId="0" fontId="4" fillId="0" borderId="3" xfId="0" applyFont="1" applyBorder="1"/>
    <xf numFmtId="0" fontId="5" fillId="0" borderId="4" xfId="0" applyFont="1" applyBorder="1"/>
    <xf numFmtId="0" fontId="5" fillId="0" borderId="1" xfId="0" applyFont="1" applyBorder="1"/>
    <xf numFmtId="0" fontId="4" fillId="0" borderId="0" xfId="0" applyFont="1" applyBorder="1" applyProtection="1">
      <protection locked="0"/>
    </xf>
    <xf numFmtId="0" fontId="4" fillId="0" borderId="1" xfId="0" applyFont="1" applyBorder="1"/>
    <xf numFmtId="0" fontId="4" fillId="0" borderId="0" xfId="0" applyFont="1" applyBorder="1"/>
    <xf numFmtId="0" fontId="6" fillId="0" borderId="0" xfId="0" applyFont="1" applyBorder="1"/>
    <xf numFmtId="165" fontId="7" fillId="0" borderId="0" xfId="1" applyFont="1" applyBorder="1" applyAlignment="1" applyProtection="1"/>
    <xf numFmtId="166" fontId="4" fillId="0" borderId="0" xfId="1" applyNumberFormat="1" applyFont="1" applyBorder="1" applyAlignment="1" applyProtection="1">
      <protection locked="0"/>
    </xf>
    <xf numFmtId="0" fontId="8" fillId="0" borderId="0" xfId="3" applyFont="1" applyBorder="1" applyAlignment="1" applyProtection="1"/>
    <xf numFmtId="0" fontId="4" fillId="0" borderId="0" xfId="0" applyFont="1"/>
    <xf numFmtId="0" fontId="5" fillId="0" borderId="0" xfId="0" applyFont="1"/>
    <xf numFmtId="0" fontId="5" fillId="0" borderId="0" xfId="0" applyFont="1" applyProtection="1">
      <protection locked="0"/>
    </xf>
    <xf numFmtId="9" fontId="10" fillId="0" borderId="0" xfId="2" applyFont="1" applyBorder="1" applyAlignment="1" applyProtection="1"/>
    <xf numFmtId="0" fontId="4" fillId="0" borderId="0" xfId="0" applyFont="1"/>
    <xf numFmtId="0" fontId="7" fillId="0" borderId="0" xfId="0" applyFont="1" applyBorder="1"/>
    <xf numFmtId="0" fontId="0" fillId="0" borderId="0" xfId="0" applyBorder="1"/>
    <xf numFmtId="0" fontId="7" fillId="0" borderId="0" xfId="0" applyFont="1" applyAlignment="1"/>
    <xf numFmtId="9" fontId="4" fillId="0" borderId="0" xfId="2" applyFont="1" applyBorder="1" applyAlignment="1" applyProtection="1"/>
    <xf numFmtId="0" fontId="7" fillId="0" borderId="0" xfId="0" applyFont="1"/>
    <xf numFmtId="0" fontId="7" fillId="0" borderId="0" xfId="0" applyFont="1"/>
    <xf numFmtId="0" fontId="11" fillId="0" borderId="2" xfId="0" applyFont="1" applyBorder="1"/>
    <xf numFmtId="0" fontId="11" fillId="0" borderId="4" xfId="0" applyFont="1" applyBorder="1"/>
    <xf numFmtId="0" fontId="4" fillId="2" borderId="5" xfId="0" applyFont="1" applyFill="1" applyBorder="1" applyProtection="1">
      <protection locked="0"/>
    </xf>
    <xf numFmtId="0" fontId="12" fillId="0" borderId="0" xfId="3" applyFont="1" applyBorder="1" applyAlignment="1" applyProtection="1">
      <alignment horizontal="left"/>
      <protection locked="0"/>
    </xf>
    <xf numFmtId="166" fontId="11" fillId="0" borderId="0" xfId="1" applyNumberFormat="1" applyFont="1" applyBorder="1" applyAlignment="1" applyProtection="1"/>
    <xf numFmtId="0" fontId="4" fillId="0" borderId="0" xfId="0" applyFont="1" applyBorder="1" applyProtection="1">
      <protection locked="0"/>
    </xf>
    <xf numFmtId="167" fontId="11" fillId="0" borderId="0" xfId="1" applyNumberFormat="1" applyFont="1" applyBorder="1" applyAlignment="1" applyProtection="1"/>
    <xf numFmtId="0" fontId="11" fillId="0" borderId="6" xfId="0" applyFont="1" applyBorder="1"/>
    <xf numFmtId="0" fontId="4" fillId="0" borderId="7" xfId="0" applyFont="1" applyBorder="1" applyAlignment="1">
      <alignment horizontal="right"/>
    </xf>
    <xf numFmtId="0" fontId="1" fillId="0" borderId="8" xfId="0" applyFont="1" applyBorder="1" applyProtection="1">
      <protection locked="0"/>
    </xf>
    <xf numFmtId="165" fontId="10" fillId="0" borderId="0" xfId="1" applyFont="1" applyBorder="1" applyAlignment="1" applyProtection="1"/>
    <xf numFmtId="0" fontId="1" fillId="0" borderId="0" xfId="0" applyFont="1" applyAlignment="1">
      <alignment horizontal="right"/>
    </xf>
    <xf numFmtId="166" fontId="7" fillId="0" borderId="5" xfId="1" applyNumberFormat="1" applyFont="1" applyBorder="1" applyAlignment="1" applyProtection="1"/>
    <xf numFmtId="0" fontId="4" fillId="0" borderId="5" xfId="0" applyFont="1" applyBorder="1" applyProtection="1">
      <protection locked="0" hidden="1"/>
    </xf>
    <xf numFmtId="165" fontId="10" fillId="0" borderId="0" xfId="1" applyFont="1" applyBorder="1" applyAlignment="1" applyProtection="1">
      <protection locked="0"/>
    </xf>
    <xf numFmtId="0" fontId="7" fillId="0" borderId="0" xfId="0" applyFont="1" applyBorder="1"/>
    <xf numFmtId="0" fontId="1" fillId="0" borderId="9" xfId="0" applyFont="1" applyBorder="1" applyProtection="1">
      <protection locked="0"/>
    </xf>
    <xf numFmtId="166" fontId="0" fillId="0" borderId="0" xfId="1" applyNumberFormat="1" applyFont="1" applyBorder="1" applyAlignment="1" applyProtection="1"/>
    <xf numFmtId="0" fontId="1" fillId="0" borderId="5" xfId="0" applyFont="1" applyBorder="1" applyProtection="1">
      <protection locked="0"/>
    </xf>
    <xf numFmtId="9" fontId="11" fillId="0" borderId="0" xfId="2" applyFont="1" applyBorder="1" applyAlignment="1" applyProtection="1"/>
    <xf numFmtId="9" fontId="10" fillId="0" borderId="0" xfId="2" applyFont="1" applyBorder="1" applyAlignment="1" applyProtection="1">
      <protection locked="0"/>
    </xf>
    <xf numFmtId="169" fontId="0" fillId="0" borderId="0" xfId="1" applyNumberFormat="1" applyFont="1" applyBorder="1" applyAlignment="1" applyProtection="1"/>
    <xf numFmtId="0" fontId="11" fillId="0" borderId="4" xfId="0" applyFont="1" applyBorder="1"/>
    <xf numFmtId="0" fontId="4" fillId="0" borderId="0" xfId="0" applyFont="1" applyBorder="1"/>
    <xf numFmtId="166" fontId="0" fillId="0" borderId="0" xfId="1" applyNumberFormat="1" applyFont="1" applyBorder="1" applyAlignment="1" applyProtection="1">
      <protection locked="0"/>
    </xf>
    <xf numFmtId="0" fontId="1" fillId="0" borderId="0" xfId="0" applyFont="1" applyBorder="1" applyProtection="1">
      <protection locked="0"/>
    </xf>
    <xf numFmtId="0" fontId="11" fillId="0" borderId="0" xfId="0" applyFont="1" applyBorder="1"/>
    <xf numFmtId="165" fontId="11" fillId="0" borderId="0" xfId="1" applyFont="1" applyBorder="1" applyAlignment="1" applyProtection="1"/>
    <xf numFmtId="14" fontId="4" fillId="2" borderId="5" xfId="0" applyNumberFormat="1" applyFont="1" applyFill="1" applyBorder="1"/>
    <xf numFmtId="9" fontId="10" fillId="0" borderId="5" xfId="2" applyFont="1" applyBorder="1" applyAlignment="1" applyProtection="1"/>
    <xf numFmtId="0" fontId="1" fillId="0" borderId="10" xfId="0" applyFont="1" applyBorder="1" applyProtection="1">
      <protection locked="0"/>
    </xf>
    <xf numFmtId="0" fontId="11" fillId="0" borderId="0" xfId="0" applyFont="1" applyBorder="1" applyAlignment="1">
      <alignment horizontal="right"/>
    </xf>
    <xf numFmtId="0" fontId="11" fillId="0" borderId="0" xfId="0" applyFont="1" applyBorder="1"/>
    <xf numFmtId="0" fontId="11" fillId="0" borderId="0" xfId="0" applyFont="1" applyBorder="1" applyAlignment="1" applyProtection="1">
      <alignment horizontal="right"/>
      <protection locked="0"/>
    </xf>
    <xf numFmtId="0" fontId="13" fillId="0" borderId="0" xfId="0" applyFont="1"/>
    <xf numFmtId="0" fontId="1" fillId="0" borderId="0" xfId="0" applyFont="1" applyBorder="1" applyAlignment="1"/>
    <xf numFmtId="166" fontId="0" fillId="0" borderId="0" xfId="0" applyNumberFormat="1" applyBorder="1"/>
    <xf numFmtId="166" fontId="0" fillId="5" borderId="5" xfId="1" applyNumberFormat="1" applyFont="1" applyFill="1" applyBorder="1" applyAlignment="1" applyProtection="1"/>
    <xf numFmtId="171" fontId="0" fillId="2" borderId="5" xfId="1" applyNumberFormat="1" applyFont="1" applyFill="1" applyBorder="1" applyAlignment="1" applyProtection="1"/>
    <xf numFmtId="171" fontId="0" fillId="0" borderId="0" xfId="1" applyNumberFormat="1" applyFont="1" applyBorder="1" applyAlignment="1" applyProtection="1"/>
    <xf numFmtId="0" fontId="14" fillId="0" borderId="0" xfId="0" applyFont="1" applyAlignment="1"/>
    <xf numFmtId="0" fontId="15" fillId="0" borderId="0" xfId="0" applyFont="1"/>
    <xf numFmtId="0" fontId="13" fillId="0" borderId="0" xfId="0" applyFont="1" applyBorder="1"/>
    <xf numFmtId="0" fontId="11" fillId="0" borderId="0" xfId="0" applyFont="1"/>
    <xf numFmtId="0" fontId="11" fillId="0" borderId="0" xfId="0" applyFont="1" applyProtection="1">
      <protection locked="0"/>
    </xf>
    <xf numFmtId="0" fontId="16" fillId="0" borderId="0" xfId="0" applyFont="1" applyBorder="1"/>
    <xf numFmtId="0" fontId="11" fillId="0" borderId="0" xfId="0" applyFont="1" applyBorder="1" applyProtection="1">
      <protection locked="0"/>
    </xf>
    <xf numFmtId="0" fontId="17" fillId="0" borderId="0" xfId="0" applyFont="1" applyBorder="1"/>
    <xf numFmtId="0" fontId="18" fillId="0" borderId="0" xfId="0" applyFont="1" applyBorder="1"/>
    <xf numFmtId="165" fontId="1" fillId="0" borderId="0" xfId="1" applyFont="1" applyBorder="1" applyAlignment="1" applyProtection="1"/>
    <xf numFmtId="173" fontId="4" fillId="0" borderId="0" xfId="0" applyNumberFormat="1" applyFont="1"/>
    <xf numFmtId="166" fontId="17" fillId="0" borderId="0" xfId="1" applyNumberFormat="1" applyFont="1" applyBorder="1" applyAlignment="1" applyProtection="1">
      <protection locked="0"/>
    </xf>
    <xf numFmtId="166" fontId="4" fillId="2" borderId="5" xfId="1" applyNumberFormat="1" applyFont="1" applyFill="1" applyBorder="1" applyAlignment="1" applyProtection="1">
      <protection locked="0"/>
    </xf>
    <xf numFmtId="0" fontId="1" fillId="0" borderId="0" xfId="0" applyFont="1" applyBorder="1"/>
    <xf numFmtId="174" fontId="1" fillId="0" borderId="0" xfId="1" applyNumberFormat="1" applyFont="1" applyBorder="1" applyAlignment="1" applyProtection="1"/>
    <xf numFmtId="165" fontId="11" fillId="0" borderId="0" xfId="1" applyFont="1" applyBorder="1" applyAlignment="1" applyProtection="1">
      <protection locked="0"/>
    </xf>
    <xf numFmtId="0" fontId="4" fillId="0" borderId="0" xfId="0" applyFont="1" applyProtection="1">
      <protection locked="0"/>
    </xf>
    <xf numFmtId="172" fontId="4" fillId="2" borderId="5" xfId="0" applyNumberFormat="1" applyFont="1" applyFill="1" applyBorder="1" applyProtection="1">
      <protection locked="0"/>
    </xf>
    <xf numFmtId="168" fontId="11" fillId="0" borderId="0" xfId="2" applyNumberFormat="1" applyFont="1" applyBorder="1" applyAlignment="1" applyProtection="1">
      <alignment horizontal="left"/>
    </xf>
    <xf numFmtId="10" fontId="11" fillId="0" borderId="0" xfId="2" applyNumberFormat="1" applyFont="1" applyBorder="1" applyAlignment="1" applyProtection="1">
      <alignment horizontal="left"/>
    </xf>
    <xf numFmtId="10" fontId="10" fillId="0" borderId="0" xfId="2" applyNumberFormat="1" applyFont="1" applyBorder="1" applyAlignment="1" applyProtection="1">
      <alignment horizontal="left"/>
    </xf>
    <xf numFmtId="172" fontId="4" fillId="2" borderId="8" xfId="0" applyNumberFormat="1" applyFont="1" applyFill="1" applyBorder="1" applyProtection="1">
      <protection locked="0"/>
    </xf>
    <xf numFmtId="0" fontId="7" fillId="0" borderId="5" xfId="0" applyFont="1" applyBorder="1" applyAlignment="1" applyProtection="1">
      <alignment horizontal="center"/>
      <protection locked="0"/>
    </xf>
    <xf numFmtId="172" fontId="11" fillId="0" borderId="5" xfId="2" applyNumberFormat="1" applyFont="1" applyBorder="1" applyAlignment="1" applyProtection="1"/>
    <xf numFmtId="166" fontId="4" fillId="0" borderId="0" xfId="2" applyNumberFormat="1" applyFont="1" applyBorder="1" applyAlignment="1" applyProtection="1"/>
    <xf numFmtId="0" fontId="14" fillId="0" borderId="0" xfId="0" applyFont="1"/>
    <xf numFmtId="9" fontId="19" fillId="0" borderId="0" xfId="2" applyFont="1" applyBorder="1" applyAlignment="1" applyProtection="1"/>
    <xf numFmtId="9" fontId="19" fillId="0" borderId="0" xfId="2" applyFont="1" applyBorder="1" applyAlignment="1" applyProtection="1">
      <protection locked="0"/>
    </xf>
    <xf numFmtId="0" fontId="4" fillId="0" borderId="0" xfId="0" applyFont="1" applyBorder="1" applyAlignment="1">
      <alignment horizontal="right"/>
    </xf>
    <xf numFmtId="0" fontId="14" fillId="0" borderId="0" xfId="0" applyFont="1"/>
    <xf numFmtId="168" fontId="4" fillId="2" borderId="5" xfId="2" applyNumberFormat="1" applyFont="1" applyFill="1" applyBorder="1" applyAlignment="1" applyProtection="1">
      <protection locked="0"/>
    </xf>
    <xf numFmtId="0" fontId="11" fillId="0" borderId="0" xfId="0" applyFont="1" applyBorder="1" applyAlignment="1">
      <alignment horizontal="right"/>
    </xf>
    <xf numFmtId="0" fontId="17" fillId="0" borderId="0" xfId="0" applyFont="1"/>
    <xf numFmtId="0" fontId="7" fillId="0" borderId="10" xfId="0" applyFont="1" applyBorder="1" applyAlignment="1" applyProtection="1">
      <alignment horizontal="center"/>
      <protection locked="0"/>
    </xf>
    <xf numFmtId="172" fontId="11" fillId="0" borderId="5" xfId="0" applyNumberFormat="1" applyFont="1" applyBorder="1"/>
    <xf numFmtId="172" fontId="11" fillId="0" borderId="5" xfId="1" applyNumberFormat="1" applyFont="1" applyBorder="1" applyAlignment="1" applyProtection="1"/>
    <xf numFmtId="10" fontId="10" fillId="0" borderId="0" xfId="2" applyNumberFormat="1" applyFont="1" applyBorder="1" applyAlignment="1" applyProtection="1"/>
    <xf numFmtId="166" fontId="4" fillId="0" borderId="5" xfId="0" applyNumberFormat="1" applyFont="1" applyBorder="1"/>
    <xf numFmtId="0" fontId="1" fillId="0" borderId="0" xfId="0" applyFont="1"/>
    <xf numFmtId="9" fontId="19" fillId="0" borderId="5" xfId="2" applyFont="1" applyBorder="1" applyAlignment="1" applyProtection="1"/>
    <xf numFmtId="10" fontId="19" fillId="0" borderId="0" xfId="2" applyNumberFormat="1" applyFont="1" applyBorder="1" applyAlignment="1" applyProtection="1"/>
    <xf numFmtId="9" fontId="4" fillId="2" borderId="8" xfId="2" applyFont="1" applyFill="1" applyBorder="1" applyAlignment="1" applyProtection="1">
      <protection locked="0"/>
    </xf>
    <xf numFmtId="172" fontId="11" fillId="0" borderId="9" xfId="2" applyNumberFormat="1" applyFont="1" applyBorder="1" applyAlignment="1" applyProtection="1"/>
    <xf numFmtId="0" fontId="1" fillId="0" borderId="11" xfId="0" applyFont="1" applyBorder="1" applyAlignment="1"/>
    <xf numFmtId="172" fontId="11" fillId="0" borderId="5" xfId="0" applyNumberFormat="1" applyFont="1" applyBorder="1"/>
    <xf numFmtId="0" fontId="1" fillId="0" borderId="11" xfId="0" applyFont="1" applyBorder="1" applyAlignment="1"/>
    <xf numFmtId="172" fontId="11" fillId="0" borderId="12" xfId="0" applyNumberFormat="1" applyFont="1" applyBorder="1"/>
    <xf numFmtId="10" fontId="4" fillId="2" borderId="5" xfId="2" applyNumberFormat="1" applyFont="1" applyFill="1" applyBorder="1" applyAlignment="1" applyProtection="1">
      <protection locked="0"/>
    </xf>
    <xf numFmtId="10" fontId="11" fillId="3" borderId="5" xfId="2" applyNumberFormat="1" applyFont="1" applyFill="1" applyBorder="1" applyAlignment="1" applyProtection="1"/>
    <xf numFmtId="172" fontId="11" fillId="0" borderId="8" xfId="0" applyNumberFormat="1" applyFont="1" applyBorder="1"/>
    <xf numFmtId="166" fontId="10" fillId="0" borderId="0" xfId="1" applyNumberFormat="1" applyFont="1" applyBorder="1" applyAlignment="1" applyProtection="1"/>
    <xf numFmtId="166" fontId="10" fillId="0" borderId="0" xfId="1" applyNumberFormat="1" applyFont="1" applyBorder="1" applyAlignment="1" applyProtection="1">
      <protection locked="0"/>
    </xf>
    <xf numFmtId="166" fontId="11" fillId="0" borderId="5" xfId="1" applyNumberFormat="1" applyFont="1" applyBorder="1" applyAlignment="1" applyProtection="1"/>
    <xf numFmtId="10" fontId="1" fillId="0" borderId="0" xfId="2" applyNumberFormat="1" applyFont="1" applyBorder="1" applyAlignment="1" applyProtection="1"/>
    <xf numFmtId="0" fontId="5" fillId="0" borderId="0" xfId="0" applyFont="1" applyBorder="1"/>
    <xf numFmtId="0" fontId="1" fillId="0" borderId="0" xfId="0" applyFont="1" applyBorder="1" applyAlignment="1"/>
    <xf numFmtId="4" fontId="11" fillId="6" borderId="5" xfId="2" applyNumberFormat="1" applyFont="1" applyFill="1" applyBorder="1" applyAlignment="1" applyProtection="1"/>
    <xf numFmtId="166" fontId="4" fillId="0" borderId="0" xfId="0" applyNumberFormat="1" applyFont="1" applyBorder="1"/>
    <xf numFmtId="166" fontId="4" fillId="0" borderId="0" xfId="0" applyNumberFormat="1" applyFont="1" applyBorder="1"/>
    <xf numFmtId="0" fontId="1" fillId="0" borderId="5" xfId="0" applyFont="1" applyBorder="1" applyProtection="1">
      <protection locked="0"/>
    </xf>
    <xf numFmtId="0" fontId="1" fillId="0" borderId="0" xfId="0" applyFont="1" applyAlignment="1"/>
    <xf numFmtId="0" fontId="1" fillId="0" borderId="0" xfId="0" applyFont="1" applyBorder="1" applyAlignment="1">
      <alignment horizontal="right"/>
    </xf>
    <xf numFmtId="175" fontId="0" fillId="0" borderId="0" xfId="1" applyNumberFormat="1" applyFont="1" applyBorder="1" applyAlignment="1" applyProtection="1">
      <protection locked="0"/>
    </xf>
    <xf numFmtId="166" fontId="0" fillId="0" borderId="0" xfId="0" applyNumberFormat="1"/>
    <xf numFmtId="9" fontId="11" fillId="0" borderId="5" xfId="2" applyFont="1" applyBorder="1" applyAlignment="1" applyProtection="1"/>
    <xf numFmtId="166" fontId="0" fillId="3" borderId="0" xfId="1" applyNumberFormat="1" applyFont="1" applyFill="1" applyBorder="1" applyAlignment="1" applyProtection="1"/>
    <xf numFmtId="0" fontId="20" fillId="0" borderId="0" xfId="0" applyFont="1" applyBorder="1"/>
    <xf numFmtId="0" fontId="21" fillId="0" borderId="0" xfId="0" applyFont="1" applyBorder="1"/>
    <xf numFmtId="0" fontId="21" fillId="0" borderId="0" xfId="0" applyFont="1" applyBorder="1"/>
    <xf numFmtId="9" fontId="7" fillId="0" borderId="0" xfId="0" applyNumberFormat="1" applyFont="1"/>
    <xf numFmtId="0" fontId="14" fillId="0" borderId="0" xfId="0" applyFont="1" applyBorder="1"/>
    <xf numFmtId="10" fontId="11" fillId="0" borderId="0" xfId="1" applyNumberFormat="1" applyFont="1" applyBorder="1" applyAlignment="1" applyProtection="1"/>
    <xf numFmtId="0" fontId="13" fillId="0" borderId="0" xfId="0" applyFont="1" applyAlignment="1"/>
    <xf numFmtId="165" fontId="0" fillId="0" borderId="0" xfId="0" applyNumberFormat="1"/>
    <xf numFmtId="165" fontId="0" fillId="0" borderId="5" xfId="1" applyFont="1" applyBorder="1" applyAlignment="1" applyProtection="1"/>
    <xf numFmtId="0" fontId="1" fillId="0" borderId="0" xfId="0" applyFont="1" applyAlignment="1">
      <alignment horizontal="right"/>
    </xf>
    <xf numFmtId="0" fontId="11" fillId="0" borderId="2" xfId="0" applyFont="1" applyBorder="1"/>
    <xf numFmtId="0" fontId="11" fillId="0" borderId="0" xfId="0" applyFont="1" applyBorder="1" applyProtection="1">
      <protection locked="0"/>
    </xf>
    <xf numFmtId="172" fontId="0" fillId="0" borderId="5" xfId="1" applyNumberFormat="1" applyFont="1" applyBorder="1" applyAlignment="1" applyProtection="1"/>
    <xf numFmtId="166" fontId="5" fillId="0" borderId="0" xfId="0" applyNumberFormat="1" applyFont="1" applyBorder="1"/>
    <xf numFmtId="166" fontId="1" fillId="0" borderId="0" xfId="1" applyNumberFormat="1" applyFont="1" applyBorder="1" applyAlignment="1" applyProtection="1"/>
    <xf numFmtId="166" fontId="7" fillId="0" borderId="0" xfId="1" applyNumberFormat="1" applyFont="1" applyBorder="1" applyAlignment="1" applyProtection="1"/>
    <xf numFmtId="172" fontId="7" fillId="3" borderId="5" xfId="1" applyNumberFormat="1" applyFont="1" applyFill="1" applyBorder="1" applyAlignment="1" applyProtection="1"/>
    <xf numFmtId="176" fontId="0" fillId="0" borderId="0" xfId="0" applyNumberFormat="1"/>
    <xf numFmtId="14" fontId="0" fillId="0" borderId="0" xfId="0" applyNumberFormat="1"/>
    <xf numFmtId="9" fontId="0" fillId="0" borderId="0" xfId="2" applyFont="1" applyBorder="1" applyAlignment="1" applyProtection="1"/>
    <xf numFmtId="0" fontId="0" fillId="0" borderId="0" xfId="0" applyBorder="1" applyAlignment="1">
      <alignment horizontal="right"/>
    </xf>
    <xf numFmtId="0" fontId="0" fillId="0" borderId="0" xfId="0" applyBorder="1" applyAlignment="1">
      <alignment horizontal="right"/>
    </xf>
    <xf numFmtId="0" fontId="12" fillId="0" borderId="0" xfId="3" applyFont="1" applyBorder="1" applyAlignment="1" applyProtection="1"/>
    <xf numFmtId="0" fontId="22" fillId="0" borderId="0" xfId="0" applyFont="1" applyBorder="1"/>
    <xf numFmtId="0" fontId="7" fillId="0" borderId="13" xfId="0" applyFont="1" applyBorder="1"/>
    <xf numFmtId="0" fontId="0" fillId="0" borderId="16" xfId="0" applyBorder="1"/>
    <xf numFmtId="166" fontId="0" fillId="0" borderId="17" xfId="1" applyNumberFormat="1" applyFont="1" applyBorder="1" applyAlignment="1" applyProtection="1"/>
    <xf numFmtId="0" fontId="23" fillId="0" borderId="0" xfId="3" applyFont="1" applyBorder="1" applyAlignment="1" applyProtection="1"/>
    <xf numFmtId="0" fontId="0" fillId="0" borderId="15" xfId="0" applyBorder="1"/>
    <xf numFmtId="166" fontId="0" fillId="0" borderId="18" xfId="1" applyNumberFormat="1" applyFont="1" applyBorder="1" applyAlignment="1" applyProtection="1"/>
    <xf numFmtId="166" fontId="0" fillId="0" borderId="19" xfId="1" applyNumberFormat="1" applyFont="1" applyBorder="1" applyAlignment="1" applyProtection="1"/>
    <xf numFmtId="9" fontId="1" fillId="0" borderId="0" xfId="0" applyNumberFormat="1" applyFont="1"/>
    <xf numFmtId="0" fontId="1" fillId="0" borderId="0" xfId="0" applyFont="1" applyBorder="1" applyAlignment="1">
      <alignment horizontal="right"/>
    </xf>
    <xf numFmtId="9" fontId="0" fillId="0" borderId="0" xfId="0" applyNumberFormat="1"/>
    <xf numFmtId="166" fontId="1" fillId="0" borderId="18" xfId="1" applyNumberFormat="1" applyFont="1" applyBorder="1" applyAlignment="1" applyProtection="1"/>
    <xf numFmtId="166" fontId="7" fillId="0" borderId="18" xfId="1" applyNumberFormat="1" applyFont="1" applyBorder="1" applyAlignment="1" applyProtection="1"/>
    <xf numFmtId="0" fontId="0" fillId="0" borderId="20" xfId="0" applyBorder="1"/>
    <xf numFmtId="0" fontId="0" fillId="0" borderId="19" xfId="0" applyBorder="1"/>
    <xf numFmtId="166" fontId="0" fillId="0" borderId="21" xfId="1" applyNumberFormat="1" applyFont="1" applyBorder="1" applyAlignment="1" applyProtection="1"/>
    <xf numFmtId="0" fontId="6" fillId="0" borderId="0" xfId="0" applyFont="1"/>
    <xf numFmtId="0" fontId="15" fillId="0" borderId="13" xfId="0" applyFont="1" applyBorder="1"/>
    <xf numFmtId="166" fontId="0" fillId="0" borderId="16" xfId="1" applyNumberFormat="1" applyFont="1" applyBorder="1" applyAlignment="1" applyProtection="1"/>
    <xf numFmtId="0" fontId="1" fillId="0" borderId="15" xfId="0" applyFont="1" applyBorder="1"/>
    <xf numFmtId="0" fontId="7" fillId="0" borderId="15" xfId="0" applyFont="1" applyBorder="1"/>
    <xf numFmtId="0" fontId="24" fillId="0" borderId="0" xfId="0" applyFont="1"/>
    <xf numFmtId="0" fontId="26" fillId="0" borderId="22" xfId="0" applyFont="1" applyBorder="1"/>
    <xf numFmtId="0" fontId="27" fillId="0" borderId="0" xfId="0" applyFont="1" applyBorder="1"/>
    <xf numFmtId="0" fontId="1" fillId="0" borderId="0" xfId="0" applyFont="1" applyBorder="1"/>
    <xf numFmtId="166" fontId="27" fillId="0" borderId="0" xfId="1" applyNumberFormat="1" applyFont="1" applyBorder="1" applyAlignment="1" applyProtection="1">
      <alignment horizontal="left"/>
    </xf>
    <xf numFmtId="166" fontId="28" fillId="0" borderId="0" xfId="0" applyNumberFormat="1" applyFont="1"/>
    <xf numFmtId="166" fontId="1" fillId="0" borderId="0" xfId="0" applyNumberFormat="1" applyFont="1"/>
    <xf numFmtId="177" fontId="0" fillId="0" borderId="0" xfId="0" applyNumberFormat="1"/>
    <xf numFmtId="177" fontId="13" fillId="0" borderId="0" xfId="0" applyNumberFormat="1" applyFont="1"/>
    <xf numFmtId="0" fontId="15" fillId="0" borderId="0" xfId="0" applyFont="1" applyBorder="1"/>
    <xf numFmtId="0" fontId="29" fillId="0" borderId="0" xfId="0" applyFont="1" applyBorder="1"/>
    <xf numFmtId="0" fontId="25" fillId="0" borderId="0" xfId="0" applyFont="1" applyBorder="1"/>
    <xf numFmtId="0" fontId="13" fillId="0" borderId="0" xfId="0" applyFont="1" applyBorder="1"/>
    <xf numFmtId="166" fontId="13" fillId="0" borderId="0" xfId="1" applyNumberFormat="1" applyFont="1" applyBorder="1" applyAlignment="1" applyProtection="1"/>
    <xf numFmtId="0" fontId="30" fillId="0" borderId="0" xfId="0" applyFont="1" applyBorder="1"/>
    <xf numFmtId="0" fontId="17" fillId="0" borderId="0" xfId="0" applyFont="1" applyBorder="1"/>
    <xf numFmtId="166" fontId="25" fillId="0" borderId="0" xfId="1" applyNumberFormat="1" applyFont="1" applyBorder="1" applyAlignment="1" applyProtection="1">
      <alignment horizontal="left"/>
    </xf>
    <xf numFmtId="177" fontId="13" fillId="0" borderId="0" xfId="1" applyNumberFormat="1" applyFont="1" applyBorder="1" applyAlignment="1" applyProtection="1"/>
    <xf numFmtId="0" fontId="29" fillId="0" borderId="0" xfId="0" applyFont="1" applyBorder="1"/>
    <xf numFmtId="0" fontId="32" fillId="0" borderId="0" xfId="0" applyFont="1"/>
    <xf numFmtId="0" fontId="20" fillId="0" borderId="0" xfId="0" applyFont="1"/>
    <xf numFmtId="0" fontId="31" fillId="0" borderId="0" xfId="0" applyFont="1"/>
    <xf numFmtId="0" fontId="8" fillId="0" borderId="0" xfId="3" applyFont="1" applyBorder="1" applyAlignment="1" applyProtection="1">
      <alignment vertical="top" wrapText="1"/>
    </xf>
    <xf numFmtId="0" fontId="14" fillId="0" borderId="0" xfId="0" applyFont="1" applyAlignment="1">
      <alignment vertical="top" wrapText="1"/>
    </xf>
    <xf numFmtId="0" fontId="31" fillId="0" borderId="0" xfId="0" applyFont="1" applyAlignment="1">
      <alignment horizontal="left" vertical="top" wrapText="1"/>
    </xf>
    <xf numFmtId="0" fontId="31" fillId="0" borderId="0" xfId="0" applyFont="1" applyAlignment="1">
      <alignment horizontal="left"/>
    </xf>
    <xf numFmtId="0" fontId="14" fillId="0" borderId="0" xfId="0" applyFont="1" applyAlignment="1">
      <alignment horizontal="left"/>
    </xf>
    <xf numFmtId="0" fontId="31" fillId="0" borderId="0" xfId="0" applyFont="1" applyBorder="1"/>
    <xf numFmtId="0" fontId="31" fillId="0" borderId="0" xfId="0" applyFont="1" applyAlignment="1">
      <alignment vertical="top" wrapText="1"/>
    </xf>
    <xf numFmtId="0" fontId="16" fillId="0" borderId="0" xfId="0" applyFont="1"/>
    <xf numFmtId="0" fontId="31" fillId="0" borderId="13" xfId="0" applyFont="1" applyBorder="1"/>
    <xf numFmtId="0" fontId="31" fillId="0" borderId="16" xfId="0" applyFont="1" applyBorder="1"/>
    <xf numFmtId="0" fontId="31" fillId="0" borderId="17" xfId="0" applyFont="1" applyBorder="1"/>
    <xf numFmtId="0" fontId="14" fillId="0" borderId="15" xfId="0" applyFont="1" applyBorder="1"/>
    <xf numFmtId="0" fontId="14" fillId="0" borderId="0" xfId="0" applyFont="1" applyBorder="1"/>
    <xf numFmtId="0" fontId="14" fillId="0" borderId="18" xfId="0" applyFont="1" applyBorder="1" applyAlignment="1">
      <alignment horizontal="right"/>
    </xf>
    <xf numFmtId="0" fontId="31" fillId="0" borderId="15" xfId="0" applyFont="1" applyBorder="1"/>
    <xf numFmtId="0" fontId="31" fillId="0" borderId="0" xfId="0" applyFont="1" applyBorder="1"/>
    <xf numFmtId="0" fontId="31" fillId="0" borderId="18" xfId="0" applyFont="1" applyBorder="1" applyAlignment="1">
      <alignment horizontal="right"/>
    </xf>
    <xf numFmtId="0" fontId="34" fillId="0" borderId="0" xfId="0" applyFont="1" applyAlignment="1">
      <alignment horizontal="left"/>
    </xf>
    <xf numFmtId="0" fontId="31" fillId="0" borderId="19" xfId="0" applyFont="1" applyBorder="1"/>
    <xf numFmtId="0" fontId="31" fillId="0" borderId="21" xfId="0" applyFont="1" applyBorder="1" applyAlignment="1">
      <alignment horizontal="right"/>
    </xf>
    <xf numFmtId="0" fontId="14" fillId="0" borderId="0" xfId="0" applyFont="1" applyAlignment="1">
      <alignment horizontal="left" vertical="top" wrapText="1"/>
    </xf>
    <xf numFmtId="0" fontId="31" fillId="0" borderId="0" xfId="0" applyFont="1" applyAlignment="1">
      <alignment vertical="center" wrapText="1"/>
    </xf>
    <xf numFmtId="0" fontId="4" fillId="0" borderId="1" xfId="0" applyFont="1" applyBorder="1"/>
    <xf numFmtId="0" fontId="0" fillId="0" borderId="22" xfId="0" applyBorder="1" applyAlignment="1">
      <alignment vertical="top" readingOrder="1"/>
    </xf>
    <xf numFmtId="0" fontId="37" fillId="0" borderId="22" xfId="0" applyFont="1" applyBorder="1"/>
    <xf numFmtId="0" fontId="38" fillId="0" borderId="22" xfId="0" applyFont="1" applyBorder="1"/>
    <xf numFmtId="0" fontId="38" fillId="0" borderId="24" xfId="0" applyFont="1" applyBorder="1"/>
    <xf numFmtId="0" fontId="0" fillId="0" borderId="25" xfId="0" applyBorder="1" applyAlignment="1">
      <alignment vertical="top" readingOrder="1"/>
    </xf>
    <xf numFmtId="0" fontId="26" fillId="0" borderId="26" xfId="0" applyFont="1" applyBorder="1"/>
    <xf numFmtId="0" fontId="38" fillId="0" borderId="27" xfId="0" applyFont="1" applyBorder="1"/>
    <xf numFmtId="166" fontId="38" fillId="0" borderId="28" xfId="1" applyNumberFormat="1" applyFont="1" applyBorder="1" applyAlignment="1" applyProtection="1"/>
    <xf numFmtId="0" fontId="0" fillId="0" borderId="29" xfId="0" applyBorder="1" applyAlignment="1">
      <alignment vertical="top" readingOrder="1"/>
    </xf>
    <xf numFmtId="0" fontId="38" fillId="0" borderId="30" xfId="0" applyFont="1" applyBorder="1"/>
    <xf numFmtId="166" fontId="38" fillId="0" borderId="22" xfId="1" applyNumberFormat="1" applyFont="1" applyBorder="1" applyAlignment="1" applyProtection="1"/>
    <xf numFmtId="166" fontId="38" fillId="0" borderId="31" xfId="1" applyNumberFormat="1" applyFont="1" applyBorder="1" applyAlignment="1" applyProtection="1"/>
    <xf numFmtId="0" fontId="38" fillId="0" borderId="22" xfId="0" applyFont="1" applyBorder="1"/>
    <xf numFmtId="0" fontId="38" fillId="0" borderId="35" xfId="0" applyFont="1" applyBorder="1"/>
    <xf numFmtId="166" fontId="38" fillId="0" borderId="35" xfId="1" applyNumberFormat="1" applyFont="1" applyBorder="1" applyAlignment="1" applyProtection="1"/>
    <xf numFmtId="166" fontId="38" fillId="0" borderId="27" xfId="1" applyNumberFormat="1" applyFont="1" applyBorder="1" applyAlignment="1" applyProtection="1"/>
    <xf numFmtId="0" fontId="26" fillId="0" borderId="30" xfId="0" applyFont="1" applyBorder="1"/>
    <xf numFmtId="0" fontId="0" fillId="0" borderId="35" xfId="0" applyBorder="1" applyAlignment="1">
      <alignment vertical="top" readingOrder="1"/>
    </xf>
    <xf numFmtId="0" fontId="38" fillId="0" borderId="30" xfId="0" applyFont="1" applyBorder="1" applyAlignment="1">
      <alignment horizontal="left"/>
    </xf>
    <xf numFmtId="165" fontId="38" fillId="0" borderId="22" xfId="1" applyFont="1" applyBorder="1" applyAlignment="1" applyProtection="1">
      <alignment horizontal="center"/>
    </xf>
    <xf numFmtId="0" fontId="38" fillId="0" borderId="22" xfId="0" applyFont="1" applyBorder="1" applyAlignment="1">
      <alignment horizontal="center"/>
    </xf>
    <xf numFmtId="0" fontId="26" fillId="0" borderId="37" xfId="0" applyFont="1" applyBorder="1" applyAlignment="1">
      <alignment horizontal="right" vertical="top" readingOrder="1"/>
    </xf>
    <xf numFmtId="0" fontId="26" fillId="0" borderId="38" xfId="0" applyFont="1" applyBorder="1" applyAlignment="1">
      <alignment horizontal="right" vertical="top" readingOrder="1"/>
    </xf>
    <xf numFmtId="178" fontId="38" fillId="0" borderId="1" xfId="0" applyNumberFormat="1" applyFont="1" applyBorder="1" applyAlignment="1">
      <alignment vertical="top" readingOrder="1"/>
    </xf>
    <xf numFmtId="2" fontId="38" fillId="0" borderId="40" xfId="0" applyNumberFormat="1" applyFont="1" applyBorder="1" applyAlignment="1">
      <alignment horizontal="right" vertical="top" readingOrder="1"/>
    </xf>
    <xf numFmtId="166" fontId="38" fillId="0" borderId="1" xfId="0" applyNumberFormat="1" applyFont="1" applyBorder="1" applyAlignment="1">
      <alignment vertical="top" readingOrder="1"/>
    </xf>
    <xf numFmtId="166" fontId="38" fillId="0" borderId="40" xfId="0" applyNumberFormat="1" applyFont="1" applyBorder="1" applyAlignment="1">
      <alignment horizontal="right" vertical="top" readingOrder="1"/>
    </xf>
    <xf numFmtId="14" fontId="38" fillId="0" borderId="1" xfId="0" applyNumberFormat="1" applyFont="1" applyBorder="1" applyAlignment="1">
      <alignment vertical="top" readingOrder="1"/>
    </xf>
    <xf numFmtId="14" fontId="38" fillId="0" borderId="40" xfId="0" applyNumberFormat="1" applyFont="1" applyBorder="1" applyAlignment="1">
      <alignment horizontal="right" vertical="top" readingOrder="1"/>
    </xf>
    <xf numFmtId="2" fontId="38" fillId="0" borderId="1" xfId="0" applyNumberFormat="1" applyFont="1" applyBorder="1" applyAlignment="1">
      <alignment horizontal="right" vertical="top" readingOrder="1"/>
    </xf>
    <xf numFmtId="10" fontId="38" fillId="0" borderId="40" xfId="0" applyNumberFormat="1" applyFont="1" applyBorder="1" applyAlignment="1">
      <alignment horizontal="right" vertical="top" readingOrder="1"/>
    </xf>
    <xf numFmtId="4" fontId="38" fillId="0" borderId="1" xfId="0" applyNumberFormat="1" applyFont="1" applyBorder="1" applyAlignment="1">
      <alignment horizontal="right" vertical="top" readingOrder="1"/>
    </xf>
    <xf numFmtId="171" fontId="38" fillId="0" borderId="40" xfId="0" applyNumberFormat="1" applyFont="1" applyBorder="1" applyAlignment="1">
      <alignment horizontal="right" vertical="top" readingOrder="1"/>
    </xf>
    <xf numFmtId="4" fontId="38" fillId="0" borderId="1" xfId="0" applyNumberFormat="1" applyFont="1" applyBorder="1" applyAlignment="1">
      <alignment vertical="top" readingOrder="1"/>
    </xf>
    <xf numFmtId="2" fontId="38" fillId="0" borderId="1" xfId="0" applyNumberFormat="1" applyFont="1" applyBorder="1" applyAlignment="1">
      <alignment vertical="top" readingOrder="1"/>
    </xf>
    <xf numFmtId="0" fontId="0" fillId="0" borderId="44" xfId="0" applyBorder="1" applyAlignment="1">
      <alignment vertical="top" readingOrder="1"/>
    </xf>
    <xf numFmtId="0" fontId="1" fillId="0" borderId="0" xfId="4"/>
    <xf numFmtId="0" fontId="1" fillId="0" borderId="0" xfId="4" applyAlignment="1">
      <alignment horizontal="right"/>
    </xf>
    <xf numFmtId="2" fontId="0" fillId="0" borderId="0" xfId="0" applyNumberFormat="1"/>
    <xf numFmtId="2" fontId="11" fillId="0" borderId="0" xfId="1" applyNumberFormat="1" applyFont="1" applyBorder="1" applyAlignment="1" applyProtection="1"/>
    <xf numFmtId="169" fontId="0" fillId="0" borderId="0" xfId="0" applyNumberFormat="1"/>
    <xf numFmtId="180" fontId="0" fillId="0" borderId="0" xfId="0" applyNumberFormat="1"/>
    <xf numFmtId="165" fontId="11" fillId="0" borderId="0" xfId="1" applyFont="1" applyBorder="1" applyAlignment="1" applyProtection="1"/>
    <xf numFmtId="0" fontId="0" fillId="0" borderId="6" xfId="0" applyBorder="1"/>
    <xf numFmtId="0" fontId="0" fillId="0" borderId="7" xfId="0" applyBorder="1"/>
    <xf numFmtId="169" fontId="0" fillId="0" borderId="0" xfId="0" applyNumberFormat="1"/>
    <xf numFmtId="181" fontId="0" fillId="0" borderId="0" xfId="0" applyNumberFormat="1"/>
    <xf numFmtId="180" fontId="0" fillId="0" borderId="0" xfId="0" applyNumberFormat="1"/>
    <xf numFmtId="182" fontId="0" fillId="0" borderId="0" xfId="0" applyNumberFormat="1"/>
    <xf numFmtId="0" fontId="39" fillId="0" borderId="13" xfId="0" applyFont="1" applyBorder="1"/>
    <xf numFmtId="9" fontId="39" fillId="0" borderId="16" xfId="0" applyNumberFormat="1" applyFont="1" applyBorder="1" applyAlignment="1">
      <alignment horizontal="center"/>
    </xf>
    <xf numFmtId="166" fontId="39" fillId="0" borderId="51" xfId="1" applyNumberFormat="1" applyFont="1" applyBorder="1" applyAlignment="1" applyProtection="1"/>
    <xf numFmtId="0" fontId="39" fillId="0" borderId="16" xfId="0" applyFont="1" applyBorder="1"/>
    <xf numFmtId="0" fontId="39" fillId="0" borderId="15" xfId="0" applyFont="1" applyBorder="1"/>
    <xf numFmtId="9" fontId="39" fillId="0" borderId="0" xfId="0" applyNumberFormat="1" applyFont="1" applyBorder="1" applyAlignment="1">
      <alignment horizontal="center"/>
    </xf>
    <xf numFmtId="166" fontId="39" fillId="0" borderId="0" xfId="1" applyNumberFormat="1" applyFont="1" applyBorder="1" applyAlignment="1" applyProtection="1"/>
    <xf numFmtId="0" fontId="39" fillId="0" borderId="0" xfId="0" applyFont="1" applyBorder="1"/>
    <xf numFmtId="0" fontId="39" fillId="0" borderId="15" xfId="0" applyFont="1" applyBorder="1" applyAlignment="1">
      <alignment wrapText="1"/>
    </xf>
    <xf numFmtId="0" fontId="39" fillId="0" borderId="0" xfId="0" applyFont="1" applyBorder="1" applyAlignment="1">
      <alignment horizontal="left"/>
    </xf>
    <xf numFmtId="0" fontId="0" fillId="0" borderId="15" xfId="0" applyBorder="1"/>
    <xf numFmtId="0" fontId="39" fillId="0" borderId="0" xfId="0" applyFont="1" applyBorder="1" applyAlignment="1">
      <alignment horizontal="center"/>
    </xf>
    <xf numFmtId="166" fontId="39" fillId="0" borderId="0" xfId="0" applyNumberFormat="1" applyFont="1" applyBorder="1"/>
    <xf numFmtId="9" fontId="39" fillId="0" borderId="0" xfId="0" applyNumberFormat="1" applyFont="1" applyBorder="1"/>
    <xf numFmtId="0" fontId="40" fillId="0" borderId="0" xfId="0" applyFont="1" applyBorder="1" applyAlignment="1">
      <alignment horizontal="center"/>
    </xf>
    <xf numFmtId="17" fontId="40" fillId="0" borderId="0" xfId="0" applyNumberFormat="1" applyFont="1" applyBorder="1" applyAlignment="1">
      <alignment horizontal="center"/>
    </xf>
    <xf numFmtId="0" fontId="39" fillId="0" borderId="20" xfId="0" applyFont="1" applyBorder="1"/>
    <xf numFmtId="166" fontId="39" fillId="0" borderId="19" xfId="0" applyNumberFormat="1" applyFont="1" applyBorder="1"/>
    <xf numFmtId="0" fontId="39" fillId="0" borderId="19" xfId="0" applyFont="1" applyBorder="1"/>
    <xf numFmtId="166" fontId="31" fillId="0" borderId="0" xfId="1" applyNumberFormat="1" applyFont="1" applyBorder="1" applyAlignment="1" applyProtection="1"/>
    <xf numFmtId="9" fontId="39" fillId="0" borderId="0" xfId="2" applyFont="1" applyBorder="1" applyAlignment="1" applyProtection="1"/>
    <xf numFmtId="1" fontId="39" fillId="0" borderId="0" xfId="0" applyNumberFormat="1" applyFont="1" applyBorder="1"/>
    <xf numFmtId="10" fontId="39" fillId="0" borderId="0" xfId="0" applyNumberFormat="1" applyFont="1" applyBorder="1"/>
    <xf numFmtId="10" fontId="0" fillId="0" borderId="0" xfId="0" applyNumberFormat="1"/>
    <xf numFmtId="10" fontId="0" fillId="0" borderId="1" xfId="2" applyNumberFormat="1" applyFont="1" applyBorder="1" applyAlignment="1" applyProtection="1"/>
    <xf numFmtId="0" fontId="36" fillId="0" borderId="0" xfId="0" applyFont="1"/>
    <xf numFmtId="10" fontId="0" fillId="0" borderId="0" xfId="2"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10" fontId="0" fillId="7" borderId="1" xfId="2" applyNumberFormat="1" applyFont="1" applyFill="1" applyBorder="1" applyAlignment="1" applyProtection="1"/>
    <xf numFmtId="180" fontId="0" fillId="0" borderId="0" xfId="1" applyNumberFormat="1" applyFont="1" applyBorder="1" applyAlignment="1" applyProtection="1"/>
    <xf numFmtId="166" fontId="0" fillId="7" borderId="1" xfId="1" applyNumberFormat="1" applyFont="1" applyFill="1" applyBorder="1" applyAlignment="1" applyProtection="1"/>
    <xf numFmtId="0" fontId="0" fillId="7" borderId="1" xfId="1" applyNumberFormat="1" applyFont="1" applyFill="1" applyBorder="1" applyAlignment="1" applyProtection="1"/>
    <xf numFmtId="165" fontId="7" fillId="0" borderId="5" xfId="1" applyFont="1" applyBorder="1" applyAlignment="1" applyProtection="1"/>
    <xf numFmtId="183" fontId="0" fillId="0" borderId="0" xfId="1" applyNumberFormat="1" applyFont="1" applyBorder="1" applyAlignment="1" applyProtection="1"/>
    <xf numFmtId="184" fontId="0" fillId="0" borderId="0" xfId="1" applyNumberFormat="1" applyFont="1" applyBorder="1" applyAlignment="1" applyProtection="1"/>
    <xf numFmtId="0" fontId="41" fillId="0" borderId="15" xfId="3" applyFont="1" applyBorder="1" applyAlignment="1" applyProtection="1"/>
    <xf numFmtId="0" fontId="44" fillId="0" borderId="5" xfId="0" applyFont="1" applyBorder="1" applyAlignment="1" applyProtection="1">
      <alignment horizontal="center"/>
      <protection locked="0"/>
    </xf>
    <xf numFmtId="0" fontId="44" fillId="0" borderId="10" xfId="0" applyFont="1" applyBorder="1" applyAlignment="1" applyProtection="1">
      <alignment horizontal="center"/>
      <protection locked="0"/>
    </xf>
    <xf numFmtId="172" fontId="0" fillId="0" borderId="8" xfId="1" applyNumberFormat="1" applyFont="1" applyBorder="1" applyAlignment="1" applyProtection="1"/>
    <xf numFmtId="171" fontId="1" fillId="8" borderId="5" xfId="1" applyNumberFormat="1" applyFont="1" applyFill="1" applyBorder="1" applyAlignment="1" applyProtection="1"/>
    <xf numFmtId="0" fontId="43" fillId="8" borderId="5" xfId="0" applyFont="1" applyFill="1" applyBorder="1" applyProtection="1">
      <protection locked="0"/>
    </xf>
    <xf numFmtId="0" fontId="44" fillId="0" borderId="1" xfId="0" applyFont="1" applyBorder="1"/>
    <xf numFmtId="0" fontId="46" fillId="0" borderId="0" xfId="0" applyFont="1" applyBorder="1"/>
    <xf numFmtId="168" fontId="11" fillId="0" borderId="0" xfId="2" applyNumberFormat="1" applyFont="1" applyFill="1" applyBorder="1" applyAlignment="1" applyProtection="1"/>
    <xf numFmtId="0" fontId="43" fillId="0" borderId="0" xfId="0" applyFont="1"/>
    <xf numFmtId="187" fontId="0" fillId="0" borderId="0" xfId="1" applyNumberFormat="1" applyFont="1" applyBorder="1" applyProtection="1">
      <protection locked="0"/>
    </xf>
    <xf numFmtId="9" fontId="43" fillId="0" borderId="0" xfId="0" applyNumberFormat="1" applyFont="1"/>
    <xf numFmtId="187" fontId="0" fillId="0" borderId="0" xfId="0" applyNumberFormat="1"/>
    <xf numFmtId="187" fontId="0" fillId="0" borderId="0" xfId="1" applyNumberFormat="1" applyFont="1" applyFill="1"/>
    <xf numFmtId="0" fontId="0" fillId="0" borderId="0" xfId="0" applyFill="1"/>
    <xf numFmtId="187" fontId="42" fillId="0" borderId="0" xfId="1" quotePrefix="1" applyNumberFormat="1" applyFont="1" applyFill="1"/>
    <xf numFmtId="166" fontId="7" fillId="0" borderId="18" xfId="1" quotePrefix="1" applyNumberFormat="1" applyFont="1" applyBorder="1" applyAlignment="1" applyProtection="1"/>
    <xf numFmtId="0" fontId="0" fillId="0" borderId="22" xfId="0" applyFill="1" applyBorder="1" applyAlignment="1">
      <alignment vertical="top" readingOrder="1"/>
    </xf>
    <xf numFmtId="165" fontId="0" fillId="0" borderId="0" xfId="0" quotePrefix="1" applyNumberFormat="1"/>
    <xf numFmtId="0" fontId="49" fillId="0" borderId="2" xfId="0" applyFont="1" applyBorder="1"/>
    <xf numFmtId="187" fontId="0" fillId="0" borderId="0" xfId="1" applyNumberFormat="1" applyFont="1" applyFill="1" applyBorder="1" applyProtection="1">
      <protection locked="0"/>
    </xf>
    <xf numFmtId="0" fontId="52" fillId="0" borderId="0" xfId="0" applyFont="1"/>
    <xf numFmtId="0" fontId="42" fillId="0" borderId="0" xfId="0" applyFont="1"/>
    <xf numFmtId="9" fontId="47" fillId="0" borderId="0" xfId="2" applyFont="1" applyFill="1" applyBorder="1"/>
    <xf numFmtId="187" fontId="0" fillId="0" borderId="0" xfId="1" quotePrefix="1" applyNumberFormat="1" applyFont="1" applyFill="1" applyBorder="1"/>
    <xf numFmtId="9" fontId="50" fillId="0" borderId="0" xfId="2" applyFont="1" applyFill="1" applyBorder="1"/>
    <xf numFmtId="0" fontId="50" fillId="0" borderId="0" xfId="0" applyFont="1" applyFill="1" applyBorder="1"/>
    <xf numFmtId="188" fontId="50" fillId="0" borderId="0" xfId="1" quotePrefix="1" applyNumberFormat="1" applyFont="1" applyFill="1" applyBorder="1"/>
    <xf numFmtId="188" fontId="50" fillId="0" borderId="0" xfId="1" applyNumberFormat="1" applyFont="1" applyFill="1" applyBorder="1"/>
    <xf numFmtId="166" fontId="42" fillId="0" borderId="0" xfId="1" applyNumberFormat="1" applyFill="1" applyBorder="1"/>
    <xf numFmtId="0" fontId="48" fillId="0" borderId="0" xfId="0" applyFont="1" applyFill="1"/>
    <xf numFmtId="0" fontId="0" fillId="0" borderId="0" xfId="0" applyFill="1" applyBorder="1"/>
    <xf numFmtId="9" fontId="49" fillId="0" borderId="0" xfId="2" applyFont="1" applyFill="1" applyBorder="1"/>
    <xf numFmtId="186" fontId="42" fillId="0" borderId="0" xfId="1" applyNumberFormat="1" applyFill="1" applyBorder="1"/>
    <xf numFmtId="0" fontId="48" fillId="0" borderId="0" xfId="0" applyFont="1" applyFill="1" applyBorder="1"/>
    <xf numFmtId="187" fontId="42" fillId="0" borderId="0" xfId="1" quotePrefix="1" applyNumberFormat="1" applyFill="1" applyBorder="1"/>
    <xf numFmtId="165" fontId="0" fillId="0" borderId="0" xfId="0" quotePrefix="1" applyNumberFormat="1" applyFill="1" applyBorder="1"/>
    <xf numFmtId="0" fontId="50" fillId="10" borderId="12" xfId="0" applyFont="1" applyFill="1" applyBorder="1"/>
    <xf numFmtId="9" fontId="50" fillId="0" borderId="53" xfId="2" applyFont="1" applyFill="1" applyBorder="1"/>
    <xf numFmtId="9" fontId="50" fillId="0" borderId="54" xfId="2" applyFont="1" applyFill="1" applyBorder="1"/>
    <xf numFmtId="0" fontId="50" fillId="0" borderId="54" xfId="0" applyFont="1" applyFill="1" applyBorder="1"/>
    <xf numFmtId="188" fontId="50" fillId="0" borderId="54" xfId="1" applyNumberFormat="1" applyFont="1" applyFill="1" applyBorder="1"/>
    <xf numFmtId="9" fontId="50" fillId="0" borderId="52" xfId="2" applyFont="1" applyFill="1" applyBorder="1"/>
    <xf numFmtId="187" fontId="0" fillId="10" borderId="5" xfId="1" quotePrefix="1" applyNumberFormat="1" applyFont="1" applyFill="1" applyBorder="1"/>
    <xf numFmtId="186" fontId="42" fillId="10" borderId="9" xfId="1" applyNumberFormat="1" applyFill="1" applyBorder="1"/>
    <xf numFmtId="187" fontId="42" fillId="10" borderId="0" xfId="1" quotePrefix="1" applyNumberFormat="1" applyFill="1"/>
    <xf numFmtId="165" fontId="42" fillId="10" borderId="0" xfId="1" quotePrefix="1" applyFill="1"/>
    <xf numFmtId="166" fontId="42" fillId="10" borderId="0" xfId="1" applyNumberFormat="1" applyFill="1"/>
    <xf numFmtId="166" fontId="0" fillId="10" borderId="0" xfId="1" quotePrefix="1" applyNumberFormat="1" applyFont="1" applyFill="1" applyBorder="1" applyAlignment="1" applyProtection="1"/>
    <xf numFmtId="166" fontId="7" fillId="10" borderId="0" xfId="1" quotePrefix="1" applyNumberFormat="1" applyFont="1" applyFill="1" applyBorder="1" applyAlignment="1" applyProtection="1"/>
    <xf numFmtId="0" fontId="13" fillId="0" borderId="0" xfId="4" applyFont="1"/>
    <xf numFmtId="0" fontId="45" fillId="0" borderId="0" xfId="4" applyFont="1"/>
    <xf numFmtId="0" fontId="1" fillId="0" borderId="5" xfId="4" applyFont="1" applyBorder="1" applyAlignment="1">
      <alignment horizontal="left"/>
    </xf>
    <xf numFmtId="0" fontId="42" fillId="0" borderId="0" xfId="4" applyFont="1" applyBorder="1"/>
    <xf numFmtId="0" fontId="1" fillId="0" borderId="0" xfId="4" applyFill="1"/>
    <xf numFmtId="0" fontId="1" fillId="0" borderId="0" xfId="4" applyFont="1" applyFill="1"/>
    <xf numFmtId="0" fontId="43" fillId="0" borderId="0" xfId="4" applyFont="1"/>
    <xf numFmtId="0" fontId="43" fillId="0" borderId="0" xfId="4" applyFont="1" applyFill="1"/>
    <xf numFmtId="0" fontId="45" fillId="0" borderId="0" xfId="4" applyFont="1" applyFill="1" applyBorder="1"/>
    <xf numFmtId="0" fontId="11" fillId="0" borderId="46" xfId="0" applyFont="1" applyBorder="1" applyAlignment="1">
      <alignment vertical="center"/>
    </xf>
    <xf numFmtId="0" fontId="0" fillId="0" borderId="48" xfId="0" applyBorder="1" applyAlignment="1">
      <alignment vertical="center"/>
    </xf>
    <xf numFmtId="0" fontId="1" fillId="0" borderId="0" xfId="0" applyFont="1" applyAlignment="1">
      <alignment vertical="center"/>
    </xf>
    <xf numFmtId="0" fontId="4" fillId="2" borderId="5" xfId="0" applyFont="1" applyFill="1" applyBorder="1" applyAlignment="1" applyProtection="1">
      <alignment vertical="center" wrapText="1"/>
      <protection locked="0"/>
    </xf>
    <xf numFmtId="0" fontId="11" fillId="0" borderId="2" xfId="0" applyFont="1" applyFill="1" applyBorder="1"/>
    <xf numFmtId="0" fontId="44" fillId="0" borderId="0" xfId="0" applyFont="1" applyBorder="1" applyAlignment="1" applyProtection="1">
      <alignment horizontal="center"/>
      <protection locked="0"/>
    </xf>
    <xf numFmtId="172" fontId="11" fillId="0" borderId="5" xfId="1" applyNumberFormat="1" applyFont="1" applyFill="1" applyBorder="1" applyAlignment="1" applyProtection="1"/>
    <xf numFmtId="0" fontId="7" fillId="0" borderId="1" xfId="0" applyFont="1" applyFill="1" applyBorder="1"/>
    <xf numFmtId="0" fontId="45" fillId="0" borderId="1" xfId="4" applyFont="1" applyFill="1" applyBorder="1"/>
    <xf numFmtId="168" fontId="39" fillId="0" borderId="0" xfId="0" applyNumberFormat="1" applyFont="1" applyFill="1" applyBorder="1" applyAlignment="1">
      <alignment horizontal="center"/>
    </xf>
    <xf numFmtId="10" fontId="39" fillId="0" borderId="0" xfId="0" applyNumberFormat="1" applyFont="1" applyFill="1" applyBorder="1" applyAlignment="1">
      <alignment horizontal="center"/>
    </xf>
    <xf numFmtId="10" fontId="31" fillId="0" borderId="0" xfId="2" applyNumberFormat="1" applyFont="1" applyFill="1" applyBorder="1" applyAlignment="1" applyProtection="1">
      <alignment horizontal="right"/>
    </xf>
    <xf numFmtId="0" fontId="13" fillId="0" borderId="0" xfId="4" applyFont="1" applyFill="1"/>
    <xf numFmtId="0" fontId="1" fillId="0" borderId="0" xfId="4" applyFill="1" applyAlignment="1">
      <alignment horizontal="center"/>
    </xf>
    <xf numFmtId="0" fontId="1" fillId="0" borderId="0" xfId="4" applyFill="1" applyBorder="1"/>
    <xf numFmtId="0" fontId="1" fillId="0" borderId="0" xfId="4" applyFill="1" applyAlignment="1">
      <alignment horizontal="right"/>
    </xf>
    <xf numFmtId="0" fontId="42" fillId="0" borderId="5" xfId="4" applyFont="1" applyFill="1" applyBorder="1" applyAlignment="1">
      <alignment horizontal="left"/>
    </xf>
    <xf numFmtId="164" fontId="42" fillId="0" borderId="23" xfId="5" applyFont="1" applyFill="1" applyBorder="1" applyAlignment="1" applyProtection="1">
      <alignment horizontal="right"/>
    </xf>
    <xf numFmtId="0" fontId="42" fillId="0" borderId="0" xfId="4" applyFont="1" applyFill="1" applyAlignment="1">
      <alignment horizontal="right"/>
    </xf>
    <xf numFmtId="0" fontId="42" fillId="0" borderId="0" xfId="0" applyFont="1" applyFill="1"/>
    <xf numFmtId="9" fontId="45" fillId="0" borderId="23" xfId="4" applyNumberFormat="1" applyFont="1" applyFill="1" applyBorder="1" applyAlignment="1">
      <alignment horizontal="right"/>
    </xf>
    <xf numFmtId="9" fontId="45" fillId="0" borderId="1" xfId="4" applyNumberFormat="1" applyFont="1" applyFill="1" applyBorder="1" applyAlignment="1">
      <alignment horizontal="right"/>
    </xf>
    <xf numFmtId="168" fontId="45" fillId="0" borderId="1" xfId="4" applyNumberFormat="1" applyFont="1" applyFill="1" applyBorder="1" applyAlignment="1">
      <alignment horizontal="right"/>
    </xf>
    <xf numFmtId="10" fontId="45" fillId="0" borderId="1" xfId="4" applyNumberFormat="1" applyFont="1" applyFill="1" applyBorder="1" applyAlignment="1">
      <alignment horizontal="right"/>
    </xf>
    <xf numFmtId="0" fontId="45" fillId="0" borderId="1" xfId="4" applyFont="1" applyFill="1" applyBorder="1" applyAlignment="1">
      <alignment horizontal="right"/>
    </xf>
    <xf numFmtId="14" fontId="3" fillId="0" borderId="0" xfId="0" applyNumberFormat="1" applyFont="1" applyFill="1"/>
    <xf numFmtId="0" fontId="55" fillId="0" borderId="22" xfId="0" applyFont="1" applyBorder="1" applyAlignment="1">
      <alignment vertical="top" readingOrder="1"/>
    </xf>
    <xf numFmtId="166" fontId="55" fillId="0" borderId="22" xfId="0" applyNumberFormat="1" applyFont="1" applyFill="1" applyBorder="1" applyAlignment="1">
      <alignment vertical="top" readingOrder="1"/>
    </xf>
    <xf numFmtId="0" fontId="55" fillId="0" borderId="22" xfId="0" applyFont="1" applyFill="1" applyBorder="1" applyAlignment="1">
      <alignment vertical="top" readingOrder="1"/>
    </xf>
    <xf numFmtId="0" fontId="42" fillId="0" borderId="15" xfId="0" applyFont="1" applyFill="1" applyBorder="1"/>
    <xf numFmtId="0" fontId="42" fillId="0" borderId="20" xfId="0" applyFont="1" applyBorder="1"/>
    <xf numFmtId="0" fontId="42" fillId="0" borderId="19" xfId="0" applyFont="1" applyBorder="1"/>
    <xf numFmtId="166" fontId="42" fillId="0" borderId="21" xfId="1" applyNumberFormat="1" applyFont="1" applyBorder="1" applyAlignment="1" applyProtection="1"/>
    <xf numFmtId="0" fontId="0" fillId="0" borderId="0" xfId="0" applyAlignment="1">
      <alignment horizontal="right"/>
    </xf>
    <xf numFmtId="0" fontId="0" fillId="0" borderId="0" xfId="0" applyAlignment="1">
      <alignment horizontal="center"/>
    </xf>
    <xf numFmtId="0" fontId="57" fillId="0" borderId="22" xfId="0" applyFont="1" applyBorder="1" applyAlignment="1">
      <alignment vertical="top" readingOrder="1"/>
    </xf>
    <xf numFmtId="0" fontId="42" fillId="0" borderId="22" xfId="0" applyFont="1" applyFill="1" applyBorder="1" applyAlignment="1">
      <alignment vertical="top" readingOrder="1"/>
    </xf>
    <xf numFmtId="0" fontId="57" fillId="0" borderId="22" xfId="0" applyFont="1" applyFill="1" applyBorder="1" applyAlignment="1">
      <alignment vertical="top" readingOrder="1"/>
    </xf>
    <xf numFmtId="191" fontId="60" fillId="3" borderId="0" xfId="1" applyNumberFormat="1" applyFont="1" applyFill="1" applyBorder="1" applyAlignment="1" applyProtection="1"/>
    <xf numFmtId="0" fontId="13" fillId="0" borderId="0" xfId="0" applyFont="1" applyFill="1" applyBorder="1" applyAlignment="1">
      <alignment horizontal="right"/>
    </xf>
    <xf numFmtId="0" fontId="13" fillId="0" borderId="0" xfId="0" applyFont="1" applyBorder="1" applyAlignment="1">
      <alignment horizontal="right"/>
    </xf>
    <xf numFmtId="9" fontId="61" fillId="0" borderId="0" xfId="2" applyFont="1" applyBorder="1" applyAlignment="1" applyProtection="1"/>
    <xf numFmtId="193" fontId="60" fillId="0" borderId="0" xfId="1" applyNumberFormat="1" applyFont="1" applyFill="1" applyBorder="1" applyAlignment="1" applyProtection="1"/>
    <xf numFmtId="0" fontId="4" fillId="0" borderId="0" xfId="0" applyFont="1" applyFill="1" applyBorder="1"/>
    <xf numFmtId="165" fontId="11" fillId="0" borderId="0" xfId="1" applyFont="1" applyFill="1" applyBorder="1" applyAlignment="1" applyProtection="1"/>
    <xf numFmtId="0" fontId="4" fillId="0" borderId="0" xfId="0" applyFont="1" applyFill="1"/>
    <xf numFmtId="170" fontId="0" fillId="0" borderId="0" xfId="0" applyNumberFormat="1" applyFill="1"/>
    <xf numFmtId="14" fontId="4" fillId="0" borderId="0" xfId="0" applyNumberFormat="1" applyFont="1" applyFill="1"/>
    <xf numFmtId="169" fontId="0" fillId="0" borderId="0" xfId="0" applyNumberFormat="1" applyFill="1"/>
    <xf numFmtId="8" fontId="11" fillId="6" borderId="5" xfId="2" applyNumberFormat="1" applyFont="1" applyFill="1" applyBorder="1" applyAlignment="1" applyProtection="1"/>
    <xf numFmtId="8" fontId="11" fillId="6" borderId="8" xfId="2" applyNumberFormat="1" applyFont="1" applyFill="1" applyBorder="1" applyAlignment="1" applyProtection="1"/>
    <xf numFmtId="192" fontId="60" fillId="0" borderId="0" xfId="0" applyNumberFormat="1" applyFont="1" applyFill="1" applyBorder="1" applyAlignment="1">
      <alignment horizontal="right"/>
    </xf>
    <xf numFmtId="0" fontId="54" fillId="0" borderId="0" xfId="0" applyFont="1"/>
    <xf numFmtId="0" fontId="42" fillId="0" borderId="22" xfId="0" applyFont="1" applyBorder="1" applyAlignment="1">
      <alignment vertical="top" readingOrder="1"/>
    </xf>
    <xf numFmtId="0" fontId="42" fillId="0" borderId="0" xfId="0" applyFont="1" applyBorder="1"/>
    <xf numFmtId="0" fontId="42" fillId="0" borderId="31" xfId="0" applyFont="1" applyFill="1" applyBorder="1" applyAlignment="1">
      <alignment vertical="top" readingOrder="1"/>
    </xf>
    <xf numFmtId="166" fontId="42" fillId="0" borderId="31" xfId="0" applyNumberFormat="1" applyFont="1" applyFill="1" applyBorder="1" applyAlignment="1">
      <alignment vertical="top" readingOrder="1"/>
    </xf>
    <xf numFmtId="0" fontId="42" fillId="0" borderId="0" xfId="0" applyFont="1" applyBorder="1" applyAlignment="1">
      <alignment vertical="top" readingOrder="1"/>
    </xf>
    <xf numFmtId="0" fontId="42" fillId="0" borderId="0" xfId="0" applyFont="1" applyBorder="1" applyAlignment="1">
      <alignment horizontal="right"/>
    </xf>
    <xf numFmtId="3" fontId="44" fillId="0" borderId="18" xfId="1" applyNumberFormat="1" applyFont="1" applyBorder="1" applyAlignment="1" applyProtection="1"/>
    <xf numFmtId="3" fontId="42" fillId="0" borderId="18" xfId="1" applyNumberFormat="1" applyFont="1" applyBorder="1" applyAlignment="1" applyProtection="1">
      <alignment horizontal="right"/>
    </xf>
    <xf numFmtId="195" fontId="0" fillId="5" borderId="10" xfId="1" applyNumberFormat="1" applyFont="1" applyFill="1" applyBorder="1" applyAlignment="1" applyProtection="1"/>
    <xf numFmtId="0" fontId="55" fillId="0" borderId="0" xfId="0" applyFont="1" applyFill="1" applyBorder="1" applyAlignment="1">
      <alignment vertical="top" readingOrder="1"/>
    </xf>
    <xf numFmtId="0" fontId="60" fillId="0" borderId="23" xfId="0" applyFont="1" applyFill="1" applyBorder="1" applyAlignment="1">
      <alignment vertical="top" readingOrder="1"/>
    </xf>
    <xf numFmtId="194" fontId="42" fillId="10" borderId="12" xfId="1" applyNumberFormat="1" applyFill="1" applyBorder="1"/>
    <xf numFmtId="9" fontId="10" fillId="0" borderId="0" xfId="2" applyFont="1" applyFill="1" applyBorder="1" applyAlignment="1" applyProtection="1"/>
    <xf numFmtId="191" fontId="42" fillId="2" borderId="8" xfId="1" applyNumberFormat="1" applyFont="1" applyFill="1" applyBorder="1" applyAlignment="1" applyProtection="1"/>
    <xf numFmtId="191" fontId="42" fillId="2" borderId="5" xfId="1" applyNumberFormat="1" applyFont="1" applyFill="1" applyBorder="1" applyAlignment="1" applyProtection="1"/>
    <xf numFmtId="0" fontId="42" fillId="0" borderId="0" xfId="0" applyFont="1" applyFill="1" applyBorder="1" applyAlignment="1">
      <alignment horizontal="right"/>
    </xf>
    <xf numFmtId="0" fontId="43" fillId="0" borderId="2" xfId="0" applyFont="1" applyBorder="1"/>
    <xf numFmtId="8" fontId="49" fillId="6" borderId="8" xfId="2" applyNumberFormat="1" applyFont="1" applyFill="1" applyBorder="1" applyAlignment="1" applyProtection="1"/>
    <xf numFmtId="191" fontId="49" fillId="0" borderId="5" xfId="2" applyNumberFormat="1" applyFont="1" applyBorder="1" applyAlignment="1" applyProtection="1"/>
    <xf numFmtId="9" fontId="49" fillId="0" borderId="0" xfId="2" applyFont="1" applyBorder="1" applyAlignment="1" applyProtection="1"/>
    <xf numFmtId="195" fontId="42" fillId="0" borderId="0" xfId="1" applyNumberFormat="1" applyFont="1" applyBorder="1" applyAlignment="1" applyProtection="1"/>
    <xf numFmtId="8" fontId="49" fillId="6" borderId="5" xfId="2" applyNumberFormat="1" applyFont="1" applyFill="1" applyBorder="1" applyAlignment="1" applyProtection="1"/>
    <xf numFmtId="191" fontId="49" fillId="0" borderId="0" xfId="2" applyNumberFormat="1" applyFont="1" applyBorder="1" applyAlignment="1" applyProtection="1"/>
    <xf numFmtId="195" fontId="42" fillId="0" borderId="23" xfId="1" applyNumberFormat="1" applyFont="1" applyBorder="1" applyAlignment="1" applyProtection="1"/>
    <xf numFmtId="195" fontId="42" fillId="0" borderId="1" xfId="1" applyNumberFormat="1" applyFont="1" applyBorder="1" applyAlignment="1" applyProtection="1"/>
    <xf numFmtId="191" fontId="42" fillId="12" borderId="13" xfId="1" applyNumberFormat="1" applyFont="1" applyFill="1" applyBorder="1" applyAlignment="1" applyProtection="1"/>
    <xf numFmtId="191" fontId="42" fillId="12" borderId="5" xfId="1" applyNumberFormat="1" applyFont="1" applyFill="1" applyBorder="1" applyAlignment="1" applyProtection="1"/>
    <xf numFmtId="0" fontId="7" fillId="0" borderId="0" xfId="0" applyFont="1" applyFill="1" applyBorder="1"/>
    <xf numFmtId="172" fontId="0" fillId="0" borderId="0" xfId="1" applyNumberFormat="1" applyFont="1" applyFill="1" applyBorder="1" applyAlignment="1" applyProtection="1"/>
    <xf numFmtId="171" fontId="1" fillId="0" borderId="0" xfId="1" applyNumberFormat="1" applyFont="1" applyFill="1" applyBorder="1" applyAlignment="1" applyProtection="1"/>
    <xf numFmtId="172" fontId="7" fillId="0" borderId="0" xfId="1" applyNumberFormat="1" applyFont="1" applyFill="1" applyBorder="1" applyAlignment="1" applyProtection="1"/>
    <xf numFmtId="169" fontId="42" fillId="0" borderId="5" xfId="1" applyNumberFormat="1" applyFont="1" applyFill="1" applyBorder="1" applyAlignment="1" applyProtection="1">
      <protection locked="0"/>
    </xf>
    <xf numFmtId="169" fontId="42" fillId="0" borderId="5" xfId="1" applyNumberFormat="1" applyFont="1" applyBorder="1" applyAlignment="1" applyProtection="1">
      <protection locked="0"/>
    </xf>
    <xf numFmtId="0" fontId="11" fillId="0" borderId="0" xfId="0" applyFont="1" applyFill="1" applyBorder="1"/>
    <xf numFmtId="185" fontId="42" fillId="0" borderId="0" xfId="1" applyNumberFormat="1" applyFont="1" applyFill="1" applyBorder="1" applyAlignment="1" applyProtection="1">
      <protection locked="0"/>
    </xf>
    <xf numFmtId="0" fontId="49" fillId="0" borderId="0" xfId="0" applyFont="1" applyBorder="1"/>
    <xf numFmtId="0" fontId="43" fillId="0" borderId="0" xfId="0" applyFont="1" applyBorder="1"/>
    <xf numFmtId="8" fontId="49" fillId="0" borderId="0" xfId="2" applyNumberFormat="1" applyFont="1" applyFill="1" applyBorder="1" applyAlignment="1" applyProtection="1"/>
    <xf numFmtId="174" fontId="42" fillId="0" borderId="0" xfId="1" applyNumberFormat="1" applyFont="1" applyBorder="1" applyAlignment="1" applyProtection="1"/>
    <xf numFmtId="4" fontId="49" fillId="0" borderId="0" xfId="2" applyNumberFormat="1" applyFont="1" applyFill="1" applyBorder="1" applyAlignment="1" applyProtection="1"/>
    <xf numFmtId="9" fontId="49" fillId="0" borderId="0" xfId="2" applyFont="1" applyFill="1" applyBorder="1" applyAlignment="1" applyProtection="1"/>
    <xf numFmtId="187" fontId="0" fillId="10" borderId="1" xfId="1" quotePrefix="1" applyNumberFormat="1" applyFont="1" applyFill="1" applyBorder="1" applyProtection="1">
      <protection locked="0"/>
    </xf>
    <xf numFmtId="187" fontId="0" fillId="0" borderId="1" xfId="1" quotePrefix="1" applyNumberFormat="1" applyFont="1" applyFill="1" applyBorder="1" applyProtection="1">
      <protection locked="0"/>
    </xf>
    <xf numFmtId="187" fontId="42" fillId="0" borderId="4" xfId="1" quotePrefix="1" applyNumberFormat="1" applyFill="1" applyBorder="1" applyProtection="1">
      <protection locked="0"/>
    </xf>
    <xf numFmtId="0" fontId="43" fillId="0" borderId="5" xfId="0" applyFont="1" applyFill="1" applyBorder="1"/>
    <xf numFmtId="169" fontId="42" fillId="0" borderId="0" xfId="1" applyNumberFormat="1" applyFont="1" applyFill="1" applyBorder="1" applyAlignment="1" applyProtection="1">
      <protection locked="0"/>
    </xf>
    <xf numFmtId="3" fontId="4" fillId="0" borderId="0" xfId="2" applyNumberFormat="1" applyFont="1" applyBorder="1" applyAlignment="1" applyProtection="1"/>
    <xf numFmtId="3" fontId="11" fillId="0" borderId="0" xfId="2" applyNumberFormat="1" applyFont="1" applyFill="1" applyBorder="1" applyAlignment="1" applyProtection="1"/>
    <xf numFmtId="3" fontId="43" fillId="0" borderId="0" xfId="0" applyNumberFormat="1" applyFont="1"/>
    <xf numFmtId="0" fontId="10" fillId="0" borderId="4" xfId="0" applyFont="1" applyBorder="1"/>
    <xf numFmtId="9" fontId="50" fillId="0" borderId="12" xfId="2" applyFont="1" applyFill="1" applyBorder="1"/>
    <xf numFmtId="0" fontId="43" fillId="0" borderId="5" xfId="0" applyFont="1" applyBorder="1"/>
    <xf numFmtId="3" fontId="49" fillId="0" borderId="0" xfId="0" applyNumberFormat="1" applyFont="1"/>
    <xf numFmtId="0" fontId="60" fillId="0" borderId="0" xfId="0" applyFont="1" applyBorder="1"/>
    <xf numFmtId="0" fontId="11" fillId="4" borderId="1" xfId="0" applyFont="1" applyFill="1" applyBorder="1"/>
    <xf numFmtId="0" fontId="49" fillId="0" borderId="1" xfId="0" applyFont="1" applyBorder="1"/>
    <xf numFmtId="197" fontId="42" fillId="14" borderId="5" xfId="0" applyNumberFormat="1" applyFont="1" applyFill="1" applyBorder="1"/>
    <xf numFmtId="196" fontId="42" fillId="0" borderId="0" xfId="0" applyNumberFormat="1" applyFont="1"/>
    <xf numFmtId="190" fontId="60" fillId="0" borderId="0" xfId="1" applyNumberFormat="1" applyFont="1" applyFill="1" applyBorder="1" applyAlignment="1" applyProtection="1"/>
    <xf numFmtId="0" fontId="4" fillId="0" borderId="0" xfId="0" applyFont="1" applyFill="1" applyBorder="1" applyProtection="1">
      <protection locked="0"/>
    </xf>
    <xf numFmtId="197" fontId="42" fillId="0" borderId="0" xfId="0" applyNumberFormat="1" applyFont="1" applyFill="1" applyBorder="1"/>
    <xf numFmtId="0" fontId="0" fillId="0" borderId="0" xfId="0" applyAlignment="1">
      <alignment horizontal="left"/>
    </xf>
    <xf numFmtId="0" fontId="0" fillId="0" borderId="4" xfId="0" applyBorder="1"/>
    <xf numFmtId="0" fontId="60" fillId="0" borderId="48" xfId="0" applyFont="1" applyBorder="1"/>
    <xf numFmtId="0" fontId="60" fillId="0" borderId="4" xfId="0" applyFont="1" applyBorder="1"/>
    <xf numFmtId="196" fontId="42" fillId="0" borderId="5" xfId="0" applyNumberFormat="1" applyFont="1" applyBorder="1"/>
    <xf numFmtId="196" fontId="42" fillId="9" borderId="5" xfId="0" applyNumberFormat="1" applyFont="1" applyFill="1" applyBorder="1"/>
    <xf numFmtId="196" fontId="42" fillId="13" borderId="5" xfId="0" applyNumberFormat="1" applyFont="1" applyFill="1" applyBorder="1"/>
    <xf numFmtId="196" fontId="42" fillId="0" borderId="0" xfId="0" applyNumberFormat="1" applyFont="1" applyFill="1" applyBorder="1"/>
    <xf numFmtId="0" fontId="49" fillId="13" borderId="45" xfId="0" applyFont="1" applyFill="1" applyBorder="1" applyAlignment="1">
      <alignment vertical="top" readingOrder="1"/>
    </xf>
    <xf numFmtId="0" fontId="49" fillId="13" borderId="55" xfId="0" applyFont="1" applyFill="1" applyBorder="1" applyAlignment="1">
      <alignment vertical="top" readingOrder="1"/>
    </xf>
    <xf numFmtId="3" fontId="43" fillId="0" borderId="0" xfId="2" applyNumberFormat="1" applyFont="1" applyBorder="1" applyAlignment="1" applyProtection="1"/>
    <xf numFmtId="166" fontId="42" fillId="3" borderId="0" xfId="1" applyNumberFormat="1" applyFont="1" applyFill="1" applyBorder="1" applyAlignment="1" applyProtection="1"/>
    <xf numFmtId="175" fontId="10" fillId="0" borderId="0" xfId="1" applyNumberFormat="1" applyFont="1" applyBorder="1" applyAlignment="1" applyProtection="1"/>
    <xf numFmtId="3" fontId="43" fillId="0" borderId="0" xfId="2" applyNumberFormat="1" applyFont="1" applyFill="1" applyBorder="1" applyAlignment="1" applyProtection="1"/>
    <xf numFmtId="175" fontId="4" fillId="0" borderId="0" xfId="0" applyNumberFormat="1" applyFont="1"/>
    <xf numFmtId="166" fontId="42" fillId="10" borderId="5" xfId="1" applyNumberFormat="1" applyFill="1" applyBorder="1"/>
    <xf numFmtId="187" fontId="42" fillId="10" borderId="5" xfId="1" quotePrefix="1" applyNumberFormat="1" applyFill="1" applyBorder="1"/>
    <xf numFmtId="9" fontId="48" fillId="0" borderId="0" xfId="2" applyFont="1" applyBorder="1" applyAlignment="1" applyProtection="1"/>
    <xf numFmtId="0" fontId="49" fillId="0" borderId="0" xfId="0" applyFont="1"/>
    <xf numFmtId="3" fontId="48" fillId="0" borderId="0" xfId="0" applyNumberFormat="1" applyFont="1"/>
    <xf numFmtId="172" fontId="42" fillId="0" borderId="5" xfId="1" applyNumberFormat="1" applyFont="1" applyBorder="1" applyAlignment="1" applyProtection="1">
      <alignment horizontal="right"/>
    </xf>
    <xf numFmtId="165" fontId="0" fillId="0" borderId="0" xfId="1" applyFont="1" applyFill="1" applyBorder="1" applyAlignment="1" applyProtection="1"/>
    <xf numFmtId="1" fontId="48" fillId="0" borderId="0" xfId="2" applyNumberFormat="1" applyFont="1" applyFill="1" applyBorder="1" applyAlignment="1" applyProtection="1"/>
    <xf numFmtId="0" fontId="0" fillId="13" borderId="0" xfId="0" applyFill="1"/>
    <xf numFmtId="169" fontId="0" fillId="13" borderId="0" xfId="1" applyNumberFormat="1" applyFont="1" applyFill="1" applyBorder="1" applyAlignment="1" applyProtection="1"/>
    <xf numFmtId="167" fontId="11" fillId="13" borderId="0" xfId="1" applyNumberFormat="1" applyFont="1" applyFill="1" applyBorder="1" applyAlignment="1" applyProtection="1"/>
    <xf numFmtId="179" fontId="0" fillId="0" borderId="0" xfId="0" applyNumberFormat="1" applyFill="1"/>
    <xf numFmtId="1" fontId="0" fillId="0" borderId="0" xfId="0" applyNumberFormat="1"/>
    <xf numFmtId="187" fontId="42" fillId="10" borderId="1" xfId="1" quotePrefix="1" applyNumberFormat="1" applyFont="1" applyFill="1" applyBorder="1" applyProtection="1">
      <protection locked="0"/>
    </xf>
    <xf numFmtId="4" fontId="0" fillId="0" borderId="0" xfId="0" applyNumberFormat="1"/>
    <xf numFmtId="0" fontId="46" fillId="0" borderId="0" xfId="0" applyFont="1"/>
    <xf numFmtId="14" fontId="46" fillId="0" borderId="0" xfId="0" applyNumberFormat="1" applyFont="1" applyFill="1"/>
    <xf numFmtId="9" fontId="46" fillId="0" borderId="0" xfId="2" applyFont="1" applyBorder="1" applyAlignment="1" applyProtection="1"/>
    <xf numFmtId="172" fontId="4" fillId="2" borderId="5" xfId="1" applyNumberFormat="1" applyFont="1" applyFill="1" applyBorder="1" applyProtection="1">
      <protection locked="0"/>
    </xf>
    <xf numFmtId="14" fontId="46" fillId="0" borderId="0" xfId="0" applyNumberFormat="1" applyFont="1"/>
    <xf numFmtId="10" fontId="11" fillId="0" borderId="5" xfId="1" applyNumberFormat="1" applyFont="1" applyFill="1" applyBorder="1" applyAlignment="1" applyProtection="1"/>
    <xf numFmtId="10" fontId="4" fillId="8" borderId="5" xfId="1" applyNumberFormat="1" applyFont="1" applyFill="1" applyBorder="1" applyAlignment="1" applyProtection="1">
      <protection locked="0"/>
    </xf>
    <xf numFmtId="10" fontId="45" fillId="0" borderId="1" xfId="4" applyNumberFormat="1" applyFont="1" applyFill="1" applyBorder="1"/>
    <xf numFmtId="0" fontId="46" fillId="0" borderId="22" xfId="0" applyFont="1" applyBorder="1" applyAlignment="1">
      <alignment vertical="top" readingOrder="1"/>
    </xf>
    <xf numFmtId="0" fontId="38" fillId="0" borderId="22" xfId="0" applyFont="1" applyFill="1" applyBorder="1"/>
    <xf numFmtId="166" fontId="38" fillId="0" borderId="22" xfId="1" applyNumberFormat="1" applyFont="1" applyFill="1" applyBorder="1" applyAlignment="1" applyProtection="1"/>
    <xf numFmtId="0" fontId="26" fillId="0" borderId="22" xfId="0" applyFont="1" applyFill="1" applyBorder="1"/>
    <xf numFmtId="0" fontId="46" fillId="0" borderId="22" xfId="0" applyFont="1" applyFill="1" applyBorder="1" applyAlignment="1">
      <alignment vertical="top" readingOrder="1"/>
    </xf>
    <xf numFmtId="0" fontId="38" fillId="0" borderId="30" xfId="0" applyFont="1" applyFill="1" applyBorder="1"/>
    <xf numFmtId="166" fontId="38" fillId="0" borderId="31" xfId="1" applyNumberFormat="1" applyFont="1" applyFill="1" applyBorder="1" applyAlignment="1" applyProtection="1"/>
    <xf numFmtId="0" fontId="42" fillId="0" borderId="0" xfId="0" applyFont="1" applyAlignment="1">
      <alignment wrapText="1"/>
    </xf>
    <xf numFmtId="166" fontId="26" fillId="0" borderId="22" xfId="1" applyNumberFormat="1" applyFont="1" applyFill="1" applyBorder="1" applyAlignment="1" applyProtection="1"/>
    <xf numFmtId="166" fontId="38" fillId="0" borderId="1" xfId="0" applyNumberFormat="1" applyFont="1" applyFill="1" applyBorder="1" applyAlignment="1">
      <alignment vertical="top" readingOrder="1"/>
    </xf>
    <xf numFmtId="0" fontId="58" fillId="0" borderId="32" xfId="0" applyFont="1" applyFill="1" applyBorder="1" applyAlignment="1">
      <alignment horizontal="left"/>
    </xf>
    <xf numFmtId="165" fontId="38" fillId="0" borderId="33" xfId="1" applyFont="1" applyFill="1" applyBorder="1" applyAlignment="1" applyProtection="1">
      <alignment horizontal="center"/>
    </xf>
    <xf numFmtId="0" fontId="38" fillId="0" borderId="33" xfId="0" applyFont="1" applyFill="1" applyBorder="1" applyAlignment="1">
      <alignment horizontal="center"/>
    </xf>
    <xf numFmtId="166" fontId="38" fillId="0" borderId="33" xfId="1" applyNumberFormat="1" applyFont="1" applyFill="1" applyBorder="1" applyAlignment="1" applyProtection="1"/>
    <xf numFmtId="0" fontId="26" fillId="0" borderId="26" xfId="0" applyFont="1" applyFill="1" applyBorder="1"/>
    <xf numFmtId="0" fontId="38" fillId="0" borderId="27" xfId="0" applyFont="1" applyFill="1" applyBorder="1"/>
    <xf numFmtId="166" fontId="38" fillId="0" borderId="28" xfId="1" applyNumberFormat="1" applyFont="1" applyFill="1" applyBorder="1" applyAlignment="1" applyProtection="1"/>
    <xf numFmtId="0" fontId="38" fillId="0" borderId="22" xfId="0" applyFont="1" applyFill="1" applyBorder="1" applyAlignment="1">
      <alignment horizontal="right"/>
    </xf>
    <xf numFmtId="2" fontId="38" fillId="0" borderId="32" xfId="0" applyNumberFormat="1" applyFont="1" applyFill="1" applyBorder="1"/>
    <xf numFmtId="2" fontId="26" fillId="0" borderId="33" xfId="0" applyNumberFormat="1" applyFont="1" applyFill="1" applyBorder="1"/>
    <xf numFmtId="2" fontId="38" fillId="0" borderId="33" xfId="0" applyNumberFormat="1" applyFont="1" applyFill="1" applyBorder="1"/>
    <xf numFmtId="2" fontId="38" fillId="0" borderId="33" xfId="1" applyNumberFormat="1" applyFont="1" applyFill="1" applyBorder="1" applyAlignment="1" applyProtection="1"/>
    <xf numFmtId="166" fontId="38" fillId="0" borderId="34" xfId="1" applyNumberFormat="1" applyFont="1" applyFill="1" applyBorder="1" applyAlignment="1" applyProtection="1"/>
    <xf numFmtId="166" fontId="59" fillId="0" borderId="31" xfId="1" applyNumberFormat="1" applyFont="1" applyFill="1" applyBorder="1" applyAlignment="1" applyProtection="1">
      <alignment horizontal="center"/>
    </xf>
    <xf numFmtId="0" fontId="38" fillId="0" borderId="31" xfId="1" applyNumberFormat="1" applyFont="1" applyFill="1" applyBorder="1" applyAlignment="1" applyProtection="1"/>
    <xf numFmtId="175" fontId="38" fillId="0" borderId="31" xfId="1" applyNumberFormat="1" applyFont="1" applyFill="1" applyBorder="1" applyAlignment="1" applyProtection="1"/>
    <xf numFmtId="0" fontId="60" fillId="0" borderId="22" xfId="0" applyFont="1" applyBorder="1" applyAlignment="1">
      <alignment vertical="top" readingOrder="1"/>
    </xf>
    <xf numFmtId="0" fontId="9" fillId="0" borderId="0" xfId="3" applyBorder="1" applyProtection="1"/>
    <xf numFmtId="0" fontId="64" fillId="0" borderId="0" xfId="0" applyFont="1"/>
    <xf numFmtId="0" fontId="45" fillId="0" borderId="0" xfId="0" applyFont="1"/>
    <xf numFmtId="0" fontId="53" fillId="0" borderId="0" xfId="0" applyFont="1" applyAlignment="1">
      <alignment vertical="top" wrapText="1"/>
    </xf>
    <xf numFmtId="0" fontId="65" fillId="0" borderId="0" xfId="0" applyFont="1" applyAlignment="1">
      <alignment vertical="top" wrapText="1"/>
    </xf>
    <xf numFmtId="0" fontId="45" fillId="0" borderId="0" xfId="0" applyFont="1" applyAlignment="1">
      <alignment horizontal="left" vertical="top" wrapText="1"/>
    </xf>
    <xf numFmtId="0" fontId="45" fillId="0" borderId="0" xfId="0" applyFont="1" applyAlignment="1">
      <alignment vertical="top" wrapText="1"/>
    </xf>
    <xf numFmtId="0" fontId="23" fillId="0" borderId="0" xfId="3" applyFont="1" applyBorder="1" applyProtection="1"/>
    <xf numFmtId="0" fontId="33" fillId="0" borderId="0" xfId="3" applyFont="1" applyBorder="1" applyProtection="1"/>
    <xf numFmtId="0" fontId="66" fillId="0" borderId="0" xfId="0" applyFont="1"/>
    <xf numFmtId="0" fontId="16" fillId="0" borderId="0" xfId="0" applyFont="1" applyAlignment="1">
      <alignment vertical="top" wrapText="1"/>
    </xf>
    <xf numFmtId="0" fontId="31" fillId="0" borderId="0" xfId="0" applyFont="1" applyAlignment="1">
      <alignment horizontal="right"/>
    </xf>
    <xf numFmtId="0" fontId="45" fillId="0" borderId="0" xfId="0" applyFont="1" applyAlignment="1">
      <alignment horizontal="left"/>
    </xf>
    <xf numFmtId="0" fontId="35" fillId="0" borderId="0" xfId="3" applyFont="1" applyBorder="1" applyProtection="1"/>
    <xf numFmtId="0" fontId="60" fillId="0" borderId="0" xfId="0" applyFont="1"/>
    <xf numFmtId="178" fontId="49" fillId="13" borderId="23" xfId="0" applyNumberFormat="1" applyFont="1" applyFill="1" applyBorder="1" applyAlignment="1">
      <alignment horizontal="right"/>
    </xf>
    <xf numFmtId="200" fontId="42" fillId="0" borderId="18" xfId="0" applyNumberFormat="1" applyFont="1" applyFill="1" applyBorder="1" applyAlignment="1">
      <alignment vertical="top" readingOrder="1"/>
    </xf>
    <xf numFmtId="201" fontId="38" fillId="0" borderId="34" xfId="1" applyNumberFormat="1" applyFont="1" applyFill="1" applyBorder="1" applyAlignment="1" applyProtection="1"/>
    <xf numFmtId="172" fontId="17" fillId="0" borderId="0" xfId="1" applyNumberFormat="1" applyFont="1" applyFill="1" applyBorder="1" applyAlignment="1" applyProtection="1">
      <protection locked="0"/>
    </xf>
    <xf numFmtId="171" fontId="0" fillId="0" borderId="0" xfId="1" applyNumberFormat="1" applyFont="1" applyFill="1" applyBorder="1" applyAlignment="1" applyProtection="1"/>
    <xf numFmtId="0" fontId="40" fillId="0" borderId="0" xfId="0" applyFont="1" applyFill="1" applyBorder="1" applyAlignment="1">
      <alignment horizontal="center"/>
    </xf>
    <xf numFmtId="166" fontId="14" fillId="0" borderId="13" xfId="1" applyNumberFormat="1" applyFont="1" applyBorder="1" applyAlignment="1" applyProtection="1"/>
    <xf numFmtId="0" fontId="40" fillId="0" borderId="18" xfId="0" applyFont="1" applyFill="1" applyBorder="1" applyAlignment="1">
      <alignment horizontal="center"/>
    </xf>
    <xf numFmtId="166" fontId="39" fillId="0" borderId="18" xfId="1" applyNumberFormat="1" applyFont="1" applyBorder="1" applyAlignment="1" applyProtection="1"/>
    <xf numFmtId="166" fontId="31" fillId="0" borderId="0" xfId="1" applyNumberFormat="1" applyFont="1" applyFill="1" applyBorder="1" applyAlignment="1" applyProtection="1"/>
    <xf numFmtId="166" fontId="31" fillId="0" borderId="1" xfId="1" applyNumberFormat="1" applyFont="1" applyBorder="1" applyAlignment="1" applyProtection="1"/>
    <xf numFmtId="172" fontId="7" fillId="0" borderId="0" xfId="1" applyNumberFormat="1" applyFont="1" applyFill="1" applyBorder="1" applyAlignment="1" applyProtection="1">
      <protection locked="0"/>
    </xf>
    <xf numFmtId="172" fontId="7" fillId="0" borderId="5" xfId="1" applyNumberFormat="1" applyFont="1" applyFill="1" applyBorder="1" applyAlignment="1" applyProtection="1">
      <protection locked="0"/>
    </xf>
    <xf numFmtId="172" fontId="43" fillId="0" borderId="5" xfId="1" applyNumberFormat="1" applyFont="1" applyFill="1" applyBorder="1" applyAlignment="1" applyProtection="1"/>
    <xf numFmtId="14" fontId="4" fillId="0" borderId="5" xfId="0" applyNumberFormat="1" applyFont="1" applyFill="1" applyBorder="1" applyAlignment="1">
      <alignment vertical="center"/>
    </xf>
    <xf numFmtId="166" fontId="40" fillId="0" borderId="19" xfId="0" applyNumberFormat="1" applyFont="1" applyBorder="1"/>
    <xf numFmtId="0" fontId="31" fillId="0" borderId="15" xfId="0" applyFont="1" applyBorder="1" applyAlignment="1">
      <alignment vertical="top" wrapText="1"/>
    </xf>
    <xf numFmtId="0" fontId="14" fillId="0" borderId="20" xfId="0" applyFont="1" applyBorder="1"/>
    <xf numFmtId="0" fontId="45" fillId="0" borderId="19" xfId="0" applyFont="1" applyBorder="1"/>
    <xf numFmtId="0" fontId="69" fillId="0" borderId="0" xfId="0" applyFont="1"/>
    <xf numFmtId="0" fontId="70" fillId="0" borderId="0" xfId="0" applyFont="1"/>
    <xf numFmtId="0" fontId="71" fillId="0" borderId="0" xfId="3" applyFont="1" applyBorder="1" applyAlignment="1" applyProtection="1">
      <alignment vertical="top" wrapText="1"/>
    </xf>
    <xf numFmtId="0" fontId="45" fillId="0" borderId="0" xfId="0" applyFont="1" applyAlignment="1">
      <alignment wrapText="1"/>
    </xf>
    <xf numFmtId="0" fontId="72" fillId="0" borderId="20" xfId="3" applyFont="1" applyBorder="1"/>
    <xf numFmtId="0" fontId="49" fillId="0" borderId="46" xfId="0" applyFont="1" applyBorder="1"/>
    <xf numFmtId="198" fontId="49" fillId="0" borderId="2" xfId="0" applyNumberFormat="1" applyFont="1" applyBorder="1"/>
    <xf numFmtId="14" fontId="42" fillId="0" borderId="5" xfId="1" applyNumberFormat="1" applyFont="1" applyBorder="1" applyAlignment="1" applyProtection="1">
      <alignment horizontal="right"/>
    </xf>
    <xf numFmtId="14" fontId="42" fillId="8" borderId="5" xfId="1" applyNumberFormat="1" applyFont="1" applyFill="1" applyBorder="1" applyAlignment="1" applyProtection="1"/>
    <xf numFmtId="199" fontId="42" fillId="0" borderId="5" xfId="1" applyNumberFormat="1" applyFont="1" applyBorder="1" applyAlignment="1" applyProtection="1">
      <alignment horizontal="right"/>
    </xf>
    <xf numFmtId="172" fontId="44" fillId="0" borderId="5" xfId="1" applyNumberFormat="1" applyFont="1" applyBorder="1" applyAlignment="1" applyProtection="1">
      <alignment horizontal="right"/>
    </xf>
    <xf numFmtId="172" fontId="44" fillId="0" borderId="5" xfId="1" applyNumberFormat="1" applyFont="1" applyFill="1" applyBorder="1" applyAlignment="1" applyProtection="1">
      <protection locked="0"/>
    </xf>
    <xf numFmtId="172" fontId="44" fillId="0" borderId="0" xfId="1" applyNumberFormat="1" applyFont="1" applyFill="1" applyBorder="1" applyAlignment="1" applyProtection="1">
      <protection locked="0"/>
    </xf>
    <xf numFmtId="166" fontId="42" fillId="0" borderId="0" xfId="1" applyNumberFormat="1" applyFont="1" applyBorder="1" applyAlignment="1" applyProtection="1"/>
    <xf numFmtId="166" fontId="0" fillId="0" borderId="0" xfId="0" applyNumberFormat="1" applyFill="1"/>
    <xf numFmtId="9" fontId="43" fillId="0" borderId="53" xfId="2" applyFont="1" applyFill="1" applyBorder="1"/>
    <xf numFmtId="0" fontId="44" fillId="0" borderId="0" xfId="0" applyFont="1"/>
    <xf numFmtId="14" fontId="44" fillId="0" borderId="0" xfId="0" applyNumberFormat="1" applyFont="1"/>
    <xf numFmtId="178" fontId="44" fillId="0" borderId="0" xfId="0" applyNumberFormat="1" applyFont="1"/>
    <xf numFmtId="14" fontId="0" fillId="0" borderId="0" xfId="0" applyNumberFormat="1" applyFill="1"/>
    <xf numFmtId="166" fontId="0" fillId="0" borderId="0" xfId="1" applyNumberFormat="1" applyFont="1" applyFill="1" applyBorder="1" applyAlignment="1" applyProtection="1"/>
    <xf numFmtId="167" fontId="11" fillId="0" borderId="0" xfId="1" applyNumberFormat="1" applyFont="1" applyFill="1" applyBorder="1" applyAlignment="1" applyProtection="1"/>
    <xf numFmtId="169" fontId="0" fillId="0" borderId="0" xfId="1" applyNumberFormat="1" applyFont="1" applyFill="1" applyBorder="1" applyAlignment="1" applyProtection="1"/>
    <xf numFmtId="0" fontId="42" fillId="0" borderId="15" xfId="0" applyFont="1" applyBorder="1"/>
    <xf numFmtId="0" fontId="73" fillId="0" borderId="0" xfId="0" applyFont="1" applyBorder="1" applyAlignment="1">
      <alignment horizontal="center"/>
    </xf>
    <xf numFmtId="0" fontId="40" fillId="0" borderId="15" xfId="0" applyFont="1" applyBorder="1"/>
    <xf numFmtId="166" fontId="39" fillId="0" borderId="0" xfId="0" applyNumberFormat="1" applyFont="1" applyFill="1" applyBorder="1"/>
    <xf numFmtId="166" fontId="39" fillId="0" borderId="19" xfId="1" applyNumberFormat="1" applyFont="1" applyBorder="1" applyAlignment="1" applyProtection="1"/>
    <xf numFmtId="0" fontId="14" fillId="0" borderId="19" xfId="0" applyFont="1" applyBorder="1"/>
    <xf numFmtId="0" fontId="74" fillId="0" borderId="0" xfId="0" applyFont="1"/>
    <xf numFmtId="10" fontId="42" fillId="0" borderId="0" xfId="0" applyNumberFormat="1" applyFont="1"/>
    <xf numFmtId="166" fontId="42" fillId="0" borderId="0" xfId="1" applyNumberFormat="1" applyFont="1" applyFill="1" applyBorder="1" applyAlignment="1" applyProtection="1"/>
    <xf numFmtId="14" fontId="42" fillId="0" borderId="0" xfId="0" applyNumberFormat="1" applyFont="1"/>
    <xf numFmtId="166" fontId="44" fillId="0" borderId="5" xfId="1" applyNumberFormat="1" applyFont="1" applyFill="1" applyBorder="1" applyAlignment="1" applyProtection="1"/>
    <xf numFmtId="0" fontId="42" fillId="0" borderId="16" xfId="0" applyFont="1" applyFill="1" applyBorder="1"/>
    <xf numFmtId="0" fontId="42" fillId="0" borderId="17" xfId="0" applyFont="1" applyFill="1" applyBorder="1"/>
    <xf numFmtId="0" fontId="42" fillId="0" borderId="0" xfId="0" applyFont="1" applyFill="1" applyBorder="1"/>
    <xf numFmtId="0" fontId="42" fillId="0" borderId="18" xfId="0" applyFont="1" applyFill="1" applyBorder="1"/>
    <xf numFmtId="0" fontId="73" fillId="0" borderId="18" xfId="0" applyFont="1" applyBorder="1" applyAlignment="1">
      <alignment horizontal="center"/>
    </xf>
    <xf numFmtId="166" fontId="39" fillId="0" borderId="18" xfId="0" applyNumberFormat="1" applyFont="1" applyBorder="1"/>
    <xf numFmtId="0" fontId="42" fillId="0" borderId="19" xfId="0" applyFont="1" applyFill="1" applyBorder="1"/>
    <xf numFmtId="0" fontId="42" fillId="0" borderId="21" xfId="0" applyFont="1" applyFill="1" applyBorder="1"/>
    <xf numFmtId="0" fontId="31" fillId="0" borderId="18" xfId="0" applyFont="1" applyBorder="1"/>
    <xf numFmtId="0" fontId="31" fillId="0" borderId="21" xfId="0" applyFont="1" applyBorder="1"/>
    <xf numFmtId="187" fontId="0" fillId="0" borderId="0" xfId="0" applyNumberFormat="1" applyFill="1"/>
    <xf numFmtId="166" fontId="60" fillId="0" borderId="0" xfId="0" applyNumberFormat="1" applyFont="1"/>
    <xf numFmtId="10" fontId="49" fillId="0" borderId="0" xfId="2" applyNumberFormat="1" applyFont="1" applyFill="1" applyBorder="1" applyAlignment="1" applyProtection="1">
      <alignment horizontal="right"/>
    </xf>
    <xf numFmtId="191" fontId="42" fillId="8" borderId="5" xfId="1" applyNumberFormat="1" applyFont="1" applyFill="1" applyBorder="1" applyAlignment="1" applyProtection="1"/>
    <xf numFmtId="202" fontId="42" fillId="0" borderId="0" xfId="6" applyNumberFormat="1" applyFont="1"/>
    <xf numFmtId="44" fontId="42" fillId="0" borderId="0" xfId="0" applyNumberFormat="1" applyFont="1"/>
    <xf numFmtId="202" fontId="0" fillId="0" borderId="0" xfId="0" applyNumberFormat="1"/>
    <xf numFmtId="44" fontId="44" fillId="0" borderId="0" xfId="6" applyFont="1"/>
    <xf numFmtId="0" fontId="9" fillId="0" borderId="15" xfId="3" applyBorder="1" applyProtection="1"/>
    <xf numFmtId="189" fontId="42" fillId="8" borderId="5" xfId="1" applyNumberFormat="1" applyFill="1" applyBorder="1" applyProtection="1">
      <protection locked="0"/>
    </xf>
    <xf numFmtId="0" fontId="1" fillId="0" borderId="0" xfId="0" applyFont="1" applyFill="1" applyBorder="1" applyAlignment="1"/>
    <xf numFmtId="0" fontId="60" fillId="0" borderId="0" xfId="0" applyFont="1" applyAlignment="1">
      <alignment wrapText="1"/>
    </xf>
    <xf numFmtId="0" fontId="76" fillId="0" borderId="0" xfId="0" applyFont="1"/>
    <xf numFmtId="0" fontId="1" fillId="0" borderId="1" xfId="4" applyBorder="1"/>
    <xf numFmtId="0" fontId="53" fillId="0" borderId="1" xfId="4" applyFont="1" applyBorder="1"/>
    <xf numFmtId="0" fontId="45" fillId="0" borderId="1" xfId="4" applyFont="1" applyBorder="1"/>
    <xf numFmtId="0" fontId="45" fillId="0" borderId="23" xfId="4" applyFont="1" applyBorder="1"/>
    <xf numFmtId="0" fontId="78" fillId="0" borderId="5" xfId="4" applyFont="1" applyBorder="1"/>
    <xf numFmtId="0" fontId="78" fillId="0" borderId="5" xfId="4" applyFont="1" applyFill="1" applyBorder="1"/>
    <xf numFmtId="0" fontId="77" fillId="0" borderId="5" xfId="4" applyFont="1" applyBorder="1"/>
    <xf numFmtId="10" fontId="79" fillId="0" borderId="1" xfId="4" applyNumberFormat="1" applyFont="1" applyBorder="1"/>
    <xf numFmtId="9" fontId="79" fillId="0" borderId="23" xfId="4" applyNumberFormat="1" applyFont="1" applyBorder="1"/>
    <xf numFmtId="9" fontId="79" fillId="0" borderId="1" xfId="4" applyNumberFormat="1" applyFont="1" applyBorder="1"/>
    <xf numFmtId="168" fontId="79" fillId="0" borderId="1" xfId="4" applyNumberFormat="1" applyFont="1" applyBorder="1"/>
    <xf numFmtId="0" fontId="79" fillId="0" borderId="1" xfId="4" applyFont="1" applyFill="1" applyBorder="1"/>
    <xf numFmtId="0" fontId="11" fillId="16" borderId="1" xfId="0" applyFont="1" applyFill="1" applyBorder="1"/>
    <xf numFmtId="0" fontId="49" fillId="15" borderId="1" xfId="0" applyFont="1" applyFill="1" applyBorder="1"/>
    <xf numFmtId="0" fontId="49" fillId="14" borderId="1" xfId="0" applyFont="1" applyFill="1" applyBorder="1"/>
    <xf numFmtId="197" fontId="42" fillId="0" borderId="0" xfId="0" applyNumberFormat="1" applyFont="1" applyBorder="1"/>
    <xf numFmtId="169" fontId="42" fillId="0" borderId="0" xfId="1" applyNumberFormat="1" applyFont="1" applyBorder="1" applyAlignment="1" applyProtection="1">
      <protection locked="0"/>
    </xf>
    <xf numFmtId="49" fontId="4" fillId="0" borderId="0" xfId="2" applyNumberFormat="1" applyFont="1" applyBorder="1" applyAlignment="1" applyProtection="1">
      <alignment horizontal="left"/>
    </xf>
    <xf numFmtId="49" fontId="11" fillId="0" borderId="0" xfId="2" applyNumberFormat="1" applyFont="1" applyBorder="1" applyAlignment="1" applyProtection="1">
      <alignment horizontal="left"/>
    </xf>
    <xf numFmtId="49" fontId="43" fillId="0" borderId="0" xfId="1" applyNumberFormat="1" applyFont="1" applyBorder="1" applyAlignment="1" applyProtection="1">
      <alignment horizontal="left"/>
    </xf>
    <xf numFmtId="49" fontId="10" fillId="0" borderId="0" xfId="1" applyNumberFormat="1" applyFont="1" applyBorder="1" applyAlignment="1" applyProtection="1">
      <alignment horizontal="left"/>
    </xf>
    <xf numFmtId="0" fontId="11" fillId="0" borderId="4" xfId="0" applyFont="1" applyFill="1" applyBorder="1"/>
    <xf numFmtId="197" fontId="0" fillId="0" borderId="0" xfId="0" applyNumberFormat="1"/>
    <xf numFmtId="199" fontId="0" fillId="0" borderId="5" xfId="0" applyNumberFormat="1" applyFill="1" applyBorder="1"/>
    <xf numFmtId="199" fontId="42" fillId="8" borderId="5" xfId="1" applyNumberFormat="1" applyFont="1" applyFill="1" applyBorder="1" applyAlignment="1" applyProtection="1"/>
    <xf numFmtId="199" fontId="42" fillId="0" borderId="0" xfId="1" applyNumberFormat="1" applyFont="1" applyFill="1" applyBorder="1" applyAlignment="1" applyProtection="1"/>
    <xf numFmtId="199" fontId="42" fillId="0" borderId="5" xfId="1" applyNumberFormat="1" applyFont="1" applyFill="1" applyBorder="1" applyAlignment="1" applyProtection="1">
      <protection locked="0"/>
    </xf>
    <xf numFmtId="199" fontId="42" fillId="0" borderId="5" xfId="1" applyNumberFormat="1" applyFont="1" applyBorder="1" applyAlignment="1" applyProtection="1">
      <protection locked="0"/>
    </xf>
    <xf numFmtId="199" fontId="0" fillId="0" borderId="0" xfId="0" applyNumberFormat="1" applyFill="1" applyBorder="1"/>
    <xf numFmtId="199" fontId="42" fillId="0" borderId="8" xfId="1" applyNumberFormat="1" applyFont="1" applyFill="1" applyBorder="1" applyAlignment="1" applyProtection="1"/>
    <xf numFmtId="199" fontId="42" fillId="0" borderId="5" xfId="1" applyNumberFormat="1" applyFont="1" applyFill="1" applyBorder="1" applyAlignment="1" applyProtection="1"/>
    <xf numFmtId="172" fontId="0" fillId="0" borderId="5" xfId="1" applyNumberFormat="1" applyFont="1" applyFill="1" applyBorder="1" applyAlignment="1" applyProtection="1"/>
    <xf numFmtId="191" fontId="42" fillId="0" borderId="13" xfId="1" applyNumberFormat="1" applyFont="1" applyFill="1" applyBorder="1" applyAlignment="1" applyProtection="1">
      <alignment horizontal="right"/>
    </xf>
    <xf numFmtId="191" fontId="42" fillId="0" borderId="8" xfId="1" applyNumberFormat="1" applyFont="1" applyFill="1" applyBorder="1" applyAlignment="1" applyProtection="1">
      <alignment horizontal="right"/>
    </xf>
    <xf numFmtId="191" fontId="42" fillId="0" borderId="5" xfId="1" applyNumberFormat="1" applyFont="1" applyFill="1" applyBorder="1" applyAlignment="1" applyProtection="1">
      <alignment horizontal="right"/>
    </xf>
    <xf numFmtId="7" fontId="42" fillId="0" borderId="5" xfId="1" applyNumberFormat="1" applyFont="1" applyFill="1" applyBorder="1" applyAlignment="1" applyProtection="1"/>
    <xf numFmtId="191" fontId="42" fillId="0" borderId="13" xfId="1" applyNumberFormat="1" applyFont="1" applyFill="1" applyBorder="1" applyAlignment="1" applyProtection="1"/>
    <xf numFmtId="191" fontId="42" fillId="0" borderId="8" xfId="1" applyNumberFormat="1" applyFont="1" applyFill="1" applyBorder="1" applyAlignment="1" applyProtection="1"/>
    <xf numFmtId="191" fontId="42" fillId="0" borderId="5" xfId="1" applyNumberFormat="1" applyFont="1" applyFill="1" applyBorder="1" applyAlignment="1" applyProtection="1"/>
    <xf numFmtId="191" fontId="0" fillId="0" borderId="13" xfId="1" applyNumberFormat="1" applyFont="1" applyFill="1" applyBorder="1" applyAlignment="1" applyProtection="1"/>
    <xf numFmtId="191" fontId="0" fillId="0" borderId="8" xfId="1" applyNumberFormat="1" applyFont="1" applyFill="1" applyBorder="1" applyAlignment="1" applyProtection="1"/>
    <xf numFmtId="191" fontId="0" fillId="0" borderId="5" xfId="1" applyNumberFormat="1" applyFont="1" applyFill="1" applyBorder="1" applyAlignment="1" applyProtection="1"/>
    <xf numFmtId="191" fontId="0" fillId="0" borderId="14" xfId="1" applyNumberFormat="1" applyFont="1" applyFill="1" applyBorder="1" applyAlignment="1" applyProtection="1"/>
    <xf numFmtId="191" fontId="42" fillId="0" borderId="14" xfId="1" applyNumberFormat="1" applyFont="1" applyFill="1" applyBorder="1" applyAlignment="1" applyProtection="1"/>
    <xf numFmtId="191" fontId="42" fillId="0" borderId="5" xfId="0" applyNumberFormat="1" applyFont="1" applyFill="1" applyBorder="1"/>
    <xf numFmtId="0" fontId="49" fillId="0" borderId="2" xfId="0" applyFont="1" applyFill="1" applyBorder="1"/>
    <xf numFmtId="0" fontId="10" fillId="0" borderId="4" xfId="0" applyFont="1" applyFill="1" applyBorder="1"/>
    <xf numFmtId="0" fontId="4" fillId="0" borderId="4" xfId="0" applyFont="1" applyFill="1" applyBorder="1"/>
    <xf numFmtId="9" fontId="4" fillId="0" borderId="0" xfId="2" applyFont="1" applyFill="1" applyBorder="1" applyAlignment="1" applyProtection="1"/>
    <xf numFmtId="0" fontId="49" fillId="0" borderId="4" xfId="0" applyFont="1" applyFill="1" applyBorder="1"/>
    <xf numFmtId="0" fontId="42" fillId="0" borderId="4" xfId="0" applyFont="1" applyFill="1" applyBorder="1"/>
    <xf numFmtId="0" fontId="80" fillId="0" borderId="22" xfId="0" applyFont="1" applyBorder="1" applyAlignment="1">
      <alignment vertical="top" readingOrder="1"/>
    </xf>
    <xf numFmtId="4" fontId="38" fillId="0" borderId="42" xfId="0" applyNumberFormat="1" applyFont="1" applyBorder="1" applyAlignment="1">
      <alignment vertical="top" readingOrder="1"/>
    </xf>
    <xf numFmtId="171" fontId="38" fillId="0" borderId="43" xfId="0" applyNumberFormat="1" applyFont="1" applyBorder="1" applyAlignment="1">
      <alignment horizontal="right" vertical="top" readingOrder="1"/>
    </xf>
    <xf numFmtId="191" fontId="60" fillId="17" borderId="0" xfId="1" applyNumberFormat="1" applyFont="1" applyFill="1" applyBorder="1" applyAlignment="1" applyProtection="1"/>
    <xf numFmtId="0" fontId="4" fillId="8" borderId="5" xfId="0" applyFont="1" applyFill="1" applyBorder="1" applyProtection="1">
      <protection locked="0"/>
    </xf>
    <xf numFmtId="0" fontId="49" fillId="11" borderId="46" xfId="0" applyFont="1" applyFill="1" applyBorder="1" applyAlignment="1">
      <alignment vertical="top" wrapText="1"/>
    </xf>
    <xf numFmtId="0" fontId="0" fillId="0" borderId="47" xfId="0" applyBorder="1" applyAlignment="1">
      <alignment vertical="top" wrapText="1"/>
    </xf>
    <xf numFmtId="0" fontId="0" fillId="0" borderId="47" xfId="0" applyBorder="1" applyAlignment="1">
      <alignment wrapText="1"/>
    </xf>
    <xf numFmtId="0" fontId="0" fillId="0" borderId="48" xfId="0" applyBorder="1" applyAlignment="1">
      <alignment wrapText="1"/>
    </xf>
    <xf numFmtId="0" fontId="0" fillId="0" borderId="49" xfId="0" applyBorder="1" applyAlignment="1">
      <alignment vertical="top" wrapText="1"/>
    </xf>
    <xf numFmtId="0" fontId="0" fillId="0" borderId="0" xfId="0" applyBorder="1" applyAlignment="1">
      <alignment vertical="top" wrapText="1"/>
    </xf>
    <xf numFmtId="0" fontId="0" fillId="0" borderId="0" xfId="0" applyBorder="1" applyAlignment="1">
      <alignment wrapText="1"/>
    </xf>
    <xf numFmtId="0" fontId="0" fillId="0" borderId="11" xfId="0" applyBorder="1" applyAlignment="1">
      <alignment wrapText="1"/>
    </xf>
    <xf numFmtId="0" fontId="0" fillId="0" borderId="6" xfId="0" applyBorder="1" applyAlignment="1">
      <alignment wrapText="1"/>
    </xf>
    <xf numFmtId="0" fontId="0" fillId="0" borderId="50" xfId="0" applyBorder="1" applyAlignment="1">
      <alignment wrapText="1"/>
    </xf>
    <xf numFmtId="0" fontId="0" fillId="0" borderId="7" xfId="0" applyBorder="1" applyAlignment="1">
      <alignment wrapText="1"/>
    </xf>
    <xf numFmtId="0" fontId="49" fillId="0" borderId="2" xfId="0" applyFont="1" applyBorder="1" applyAlignment="1">
      <alignment vertical="top" wrapText="1"/>
    </xf>
    <xf numFmtId="0" fontId="42" fillId="0" borderId="4" xfId="0" applyFont="1" applyBorder="1" applyAlignment="1">
      <alignment vertical="top" wrapText="1"/>
    </xf>
    <xf numFmtId="0" fontId="11" fillId="8" borderId="2" xfId="0" applyFont="1" applyFill="1" applyBorder="1" applyAlignment="1"/>
    <xf numFmtId="0" fontId="0" fillId="8" borderId="4" xfId="0" applyFill="1" applyBorder="1" applyAlignment="1"/>
    <xf numFmtId="0" fontId="42" fillId="0" borderId="0" xfId="0" applyFont="1" applyBorder="1" applyAlignment="1">
      <alignment vertical="top" wrapText="1" readingOrder="1"/>
    </xf>
    <xf numFmtId="0" fontId="42" fillId="0" borderId="0" xfId="0" applyFont="1" applyAlignment="1">
      <alignment wrapText="1"/>
    </xf>
    <xf numFmtId="0" fontId="38" fillId="0" borderId="39" xfId="0" applyFont="1" applyBorder="1" applyAlignment="1" applyProtection="1">
      <alignment horizontal="left" vertical="top" wrapText="1" readingOrder="1"/>
      <protection locked="0"/>
    </xf>
    <xf numFmtId="0" fontId="38" fillId="0" borderId="41" xfId="0" applyFont="1" applyBorder="1" applyAlignment="1" applyProtection="1">
      <alignment horizontal="left" vertical="top" wrapText="1" readingOrder="1"/>
      <protection locked="0"/>
    </xf>
    <xf numFmtId="0" fontId="38" fillId="0" borderId="39" xfId="0" applyFont="1" applyFill="1" applyBorder="1" applyAlignment="1" applyProtection="1">
      <alignment horizontal="left" vertical="top" wrapText="1" readingOrder="1"/>
      <protection locked="0"/>
    </xf>
    <xf numFmtId="0" fontId="26" fillId="0" borderId="36" xfId="0" applyFont="1" applyBorder="1" applyAlignment="1" applyProtection="1">
      <alignment horizontal="left" vertical="top" wrapText="1" readingOrder="1"/>
      <protection locked="0"/>
    </xf>
  </cellXfs>
  <cellStyles count="7">
    <cellStyle name="Hyperlink" xfId="3" builtinId="8"/>
    <cellStyle name="Komma" xfId="1" builtinId="3"/>
    <cellStyle name="Procent" xfId="2" builtinId="5"/>
    <cellStyle name="Standaard" xfId="0" builtinId="0"/>
    <cellStyle name="Standaard 2" xfId="4" xr:uid="{00000000-0005-0000-0000-000006000000}"/>
    <cellStyle name="Valuta" xfId="6" builtinId="4"/>
    <cellStyle name="Valuta 2" xfId="5" xr:uid="{00000000-0005-0000-0000-000007000000}"/>
  </cellStyles>
  <dxfs count="1">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E6B9B8"/>
      <rgbColor rgb="FFBFBFBF"/>
      <rgbColor rgb="FFFAC090"/>
      <rgbColor rgb="FF3366FF"/>
      <rgbColor rgb="FF33CCCC"/>
      <rgbColor rgb="FF99CC00"/>
      <rgbColor rgb="FFFFCC00"/>
      <rgbColor rgb="FFFF9900"/>
      <rgbColor rgb="FFFF6600"/>
      <rgbColor rgb="FF878787"/>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6D9F1"/>
      <color rgb="FFE6B9B8"/>
      <color rgb="FF00FF00"/>
      <color rgb="FF9999FF"/>
      <color rgb="FF9966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c:style val="2"/>
  <c:chart>
    <c:title>
      <c:tx>
        <c:rich>
          <a:bodyPr rot="0"/>
          <a:lstStyle/>
          <a:p>
            <a:pPr>
              <a:defRPr sz="1200" b="1" strike="noStrike" spc="-1">
                <a:solidFill>
                  <a:srgbClr val="000000"/>
                </a:solidFill>
                <a:latin typeface="Arial"/>
                <a:ea typeface="Arial"/>
              </a:defRPr>
            </a:pPr>
            <a:r>
              <a:rPr lang="nl-NL" sz="1200" b="1" strike="noStrike" spc="-1">
                <a:solidFill>
                  <a:srgbClr val="000000"/>
                </a:solidFill>
                <a:latin typeface="Arial"/>
                <a:ea typeface="Arial"/>
              </a:rPr>
              <a:t>MSK Steunruimte in NCW</a:t>
            </a:r>
          </a:p>
        </c:rich>
      </c:tx>
      <c:layout>
        <c:manualLayout>
          <c:xMode val="edge"/>
          <c:yMode val="edge"/>
          <c:x val="0.37697774769439002"/>
          <c:y val="2.90143356883188E-2"/>
        </c:manualLayout>
      </c:layout>
      <c:overlay val="0"/>
      <c:spPr>
        <a:noFill/>
        <a:ln w="25560">
          <a:noFill/>
        </a:ln>
      </c:spPr>
    </c:title>
    <c:autoTitleDeleted val="0"/>
    <c:plotArea>
      <c:layout>
        <c:manualLayout>
          <c:layoutTarget val="inner"/>
          <c:xMode val="edge"/>
          <c:yMode val="edge"/>
          <c:x val="0.13101785261020399"/>
          <c:y val="0.15604636806365299"/>
          <c:w val="0.83380492565450115"/>
          <c:h val="0.71136566293984504"/>
        </c:manualLayout>
      </c:layout>
      <c:barChart>
        <c:barDir val="col"/>
        <c:grouping val="clustered"/>
        <c:varyColors val="0"/>
        <c:ser>
          <c:idx val="1"/>
          <c:order val="1"/>
          <c:tx>
            <c:strRef>
              <c:f>'Overzicht MSK toets'!$J$8</c:f>
              <c:strCache>
                <c:ptCount val="1"/>
                <c:pt idx="0">
                  <c:v>SDE++ opbrengsten NCW vóór MSK-correctie</c:v>
                </c:pt>
              </c:strCache>
            </c:strRef>
          </c:tx>
          <c:spPr>
            <a:solidFill>
              <a:srgbClr val="9999FF"/>
            </a:solidFill>
            <a:ln w="12600">
              <a:solidFill>
                <a:srgbClr val="000000"/>
              </a:solidFill>
              <a:round/>
            </a:ln>
          </c:spPr>
          <c:invertIfNegative val="0"/>
          <c:dLbls>
            <c:spPr>
              <a:noFill/>
              <a:ln>
                <a:noFill/>
              </a:ln>
              <a:effectLst/>
            </c:spPr>
            <c:txPr>
              <a:bodyPr/>
              <a:lstStyle/>
              <a:p>
                <a:pPr>
                  <a:defRPr sz="1000" b="0" strike="noStrike" spc="-1">
                    <a:solidFill>
                      <a:srgbClr val="000000"/>
                    </a:solidFill>
                    <a:latin typeface="Arial"/>
                    <a:ea typeface="Arial"/>
                  </a:defRPr>
                </a:pPr>
                <a:endParaRPr lang="nl-NL"/>
              </a:p>
            </c:txPr>
            <c:dLblPos val="outEnd"/>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val>
            <c:numRef>
              <c:f>'Overzicht MSK toets'!$J$9:$J$26</c:f>
              <c:numCache>
                <c:formatCode>_-* #,##0_-;_-* #,##0\-;_-* \-??_-;_-@_-</c:formatCode>
                <c:ptCount val="18"/>
                <c:pt idx="0">
                  <c:v>17600</c:v>
                </c:pt>
                <c:pt idx="1">
                  <c:v>91600</c:v>
                </c:pt>
                <c:pt idx="2">
                  <c:v>177784</c:v>
                </c:pt>
                <c:pt idx="3">
                  <c:v>262931.68</c:v>
                </c:pt>
                <c:pt idx="4">
                  <c:v>347022.31359999999</c:v>
                </c:pt>
                <c:pt idx="5">
                  <c:v>430034.75987199997</c:v>
                </c:pt>
                <c:pt idx="6">
                  <c:v>511947.45506943995</c:v>
                </c:pt>
                <c:pt idx="7">
                  <c:v>592738.40417082876</c:v>
                </c:pt>
                <c:pt idx="8">
                  <c:v>672385.17225424526</c:v>
                </c:pt>
                <c:pt idx="9">
                  <c:v>750864.87569933012</c:v>
                </c:pt>
                <c:pt idx="10">
                  <c:v>828154.17321331671</c:v>
                </c:pt>
                <c:pt idx="11">
                  <c:v>904229.25667758309</c:v>
                </c:pt>
                <c:pt idx="12">
                  <c:v>979065.84181113471</c:v>
                </c:pt>
                <c:pt idx="13">
                  <c:v>1052639.1586473575</c:v>
                </c:pt>
                <c:pt idx="14">
                  <c:v>1124923.9418203046</c:v>
                </c:pt>
                <c:pt idx="15">
                  <c:v>1181753.1040399519</c:v>
                </c:pt>
                <c:pt idx="16">
                  <c:v>1192359.091502521</c:v>
                </c:pt>
                <c:pt idx="17">
                  <c:v>1192359.091502521</c:v>
                </c:pt>
              </c:numCache>
            </c:numRef>
          </c:val>
          <c:extLst>
            <c:ext xmlns:c16="http://schemas.microsoft.com/office/drawing/2014/chart" uri="{C3380CC4-5D6E-409C-BE32-E72D297353CC}">
              <c16:uniqueId val="{00000001-0844-4F40-8E3B-50DBC5972334}"/>
            </c:ext>
          </c:extLst>
        </c:ser>
        <c:dLbls>
          <c:showLegendKey val="0"/>
          <c:showVal val="0"/>
          <c:showCatName val="0"/>
          <c:showSerName val="0"/>
          <c:showPercent val="0"/>
          <c:showBubbleSize val="0"/>
        </c:dLbls>
        <c:gapWidth val="150"/>
        <c:axId val="41301694"/>
        <c:axId val="75362560"/>
        <c:extLst>
          <c:ext xmlns:c15="http://schemas.microsoft.com/office/drawing/2012/chart" uri="{02D57815-91ED-43cb-92C2-25804820EDAC}">
            <c15:filteredBarSeries>
              <c15:ser>
                <c:idx val="0"/>
                <c:order val="0"/>
                <c:tx>
                  <c:strRef>
                    <c:extLst>
                      <c:ext uri="{02D57815-91ED-43cb-92C2-25804820EDAC}">
                        <c15:formulaRef>
                          <c15:sqref>'Overzicht MSK toets'!$I$8</c15:sqref>
                        </c15:formulaRef>
                      </c:ext>
                    </c:extLst>
                    <c:strCache>
                      <c:ptCount val="1"/>
                      <c:pt idx="0">
                        <c:v>Jaar</c:v>
                      </c:pt>
                    </c:strCache>
                  </c:strRef>
                </c:tx>
                <c:spPr>
                  <a:solidFill>
                    <a:srgbClr val="993366"/>
                  </a:solidFill>
                  <a:ln w="12600">
                    <a:solidFill>
                      <a:srgbClr val="000000"/>
                    </a:solidFill>
                    <a:round/>
                  </a:ln>
                </c:spPr>
                <c:invertIfNegative val="0"/>
                <c:dLbls>
                  <c:spPr>
                    <a:noFill/>
                    <a:ln>
                      <a:noFill/>
                    </a:ln>
                    <a:effectLst/>
                  </c:spPr>
                  <c:txPr>
                    <a:bodyPr/>
                    <a:lstStyle/>
                    <a:p>
                      <a:pPr>
                        <a:defRPr sz="1000" b="0" strike="noStrike" spc="-1">
                          <a:solidFill>
                            <a:srgbClr val="000000"/>
                          </a:solidFill>
                          <a:latin typeface="Arial"/>
                          <a:ea typeface="Arial"/>
                        </a:defRPr>
                      </a:pPr>
                      <a:endParaRPr lang="nl-NL"/>
                    </a:p>
                  </c:txPr>
                  <c:dLblPos val="outEnd"/>
                  <c:showLegendKey val="0"/>
                  <c:showVal val="0"/>
                  <c:showCatName val="0"/>
                  <c:showSerName val="0"/>
                  <c:showPercent val="0"/>
                  <c:showBubbleSize val="1"/>
                  <c:showLeaderLines val="0"/>
                  <c:extLst>
                    <c:ext uri="{CE6537A1-D6FC-4f65-9D91-7224C49458BB}">
                      <c15:showLeaderLines val="0"/>
                    </c:ext>
                  </c:extLst>
                </c:dLbls>
                <c:val>
                  <c:numRef>
                    <c:extLst>
                      <c:ext uri="{02D57815-91ED-43cb-92C2-25804820EDAC}">
                        <c15:formulaRef>
                          <c15:sqref>'Overzicht MSK toets'!$I$9:$I$26</c15:sqref>
                        </c15:formulaRef>
                      </c:ext>
                    </c:extLst>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val>
                <c:extLst>
                  <c:ext xmlns:c16="http://schemas.microsoft.com/office/drawing/2014/chart" uri="{C3380CC4-5D6E-409C-BE32-E72D297353CC}">
                    <c16:uniqueId val="{00000000-0844-4F40-8E3B-50DBC5972334}"/>
                  </c:ext>
                </c:extLst>
              </c15:ser>
            </c15:filteredBarSeries>
          </c:ext>
        </c:extLst>
      </c:barChart>
      <c:lineChart>
        <c:grouping val="standard"/>
        <c:varyColors val="0"/>
        <c:ser>
          <c:idx val="2"/>
          <c:order val="2"/>
          <c:tx>
            <c:strRef>
              <c:f>'Overzicht MSK toets'!$K$8</c:f>
              <c:strCache>
                <c:ptCount val="1"/>
                <c:pt idx="0">
                  <c:v>Toegestane SDE++</c:v>
                </c:pt>
              </c:strCache>
            </c:strRef>
          </c:tx>
          <c:spPr>
            <a:ln w="12600">
              <a:solidFill>
                <a:srgbClr val="800080"/>
              </a:solidFill>
              <a:round/>
            </a:ln>
          </c:spPr>
          <c:marker>
            <c:symbol val="square"/>
            <c:size val="5"/>
            <c:spPr>
              <a:solidFill>
                <a:srgbClr val="800080"/>
              </a:solidFill>
            </c:spPr>
          </c:marker>
          <c:dLbls>
            <c:spPr>
              <a:noFill/>
              <a:ln>
                <a:noFill/>
              </a:ln>
              <a:effectLst/>
            </c:spPr>
            <c:txPr>
              <a:bodyPr/>
              <a:lstStyle/>
              <a:p>
                <a:pPr>
                  <a:defRPr sz="1000" b="0" strike="noStrike" spc="-1">
                    <a:solidFill>
                      <a:srgbClr val="000000"/>
                    </a:solidFill>
                    <a:latin typeface="Arial"/>
                    <a:ea typeface="Arial"/>
                  </a:defRPr>
                </a:pPr>
                <a:endParaRPr lang="nl-NL"/>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val>
            <c:numRef>
              <c:f>'Overzicht MSK toets'!$K$9:$K$26</c:f>
              <c:numCache>
                <c:formatCode>_-* #,##0_-;_-* #,##0\-;_-* \-??_-;_-@_-</c:formatCode>
                <c:ptCount val="18"/>
                <c:pt idx="0">
                  <c:v>-282136.55100618862</c:v>
                </c:pt>
                <c:pt idx="1">
                  <c:v>-282136.55100618862</c:v>
                </c:pt>
                <c:pt idx="2">
                  <c:v>-282136.55100618862</c:v>
                </c:pt>
                <c:pt idx="3">
                  <c:v>-282136.55100618862</c:v>
                </c:pt>
                <c:pt idx="4">
                  <c:v>-282136.55100618862</c:v>
                </c:pt>
                <c:pt idx="5">
                  <c:v>-282136.55100618862</c:v>
                </c:pt>
                <c:pt idx="6">
                  <c:v>-282136.55100618862</c:v>
                </c:pt>
                <c:pt idx="7">
                  <c:v>-282136.55100618862</c:v>
                </c:pt>
                <c:pt idx="8">
                  <c:v>-282136.55100618862</c:v>
                </c:pt>
                <c:pt idx="9">
                  <c:v>-282136.55100618862</c:v>
                </c:pt>
                <c:pt idx="10">
                  <c:v>-282136.55100618862</c:v>
                </c:pt>
                <c:pt idx="11">
                  <c:v>-282136.55100618862</c:v>
                </c:pt>
                <c:pt idx="12">
                  <c:v>-282136.55100618862</c:v>
                </c:pt>
                <c:pt idx="13">
                  <c:v>-282136.55100618862</c:v>
                </c:pt>
                <c:pt idx="14">
                  <c:v>-282136.55100618862</c:v>
                </c:pt>
                <c:pt idx="15">
                  <c:v>-282136.55100618862</c:v>
                </c:pt>
                <c:pt idx="16">
                  <c:v>-282136.55100618862</c:v>
                </c:pt>
                <c:pt idx="17">
                  <c:v>-282136.55100618862</c:v>
                </c:pt>
              </c:numCache>
            </c:numRef>
          </c:val>
          <c:smooth val="0"/>
          <c:extLst>
            <c:ext xmlns:c16="http://schemas.microsoft.com/office/drawing/2014/chart" uri="{C3380CC4-5D6E-409C-BE32-E72D297353CC}">
              <c16:uniqueId val="{00000002-0844-4F40-8E3B-50DBC5972334}"/>
            </c:ext>
          </c:extLst>
        </c:ser>
        <c:ser>
          <c:idx val="3"/>
          <c:order val="3"/>
          <c:tx>
            <c:strRef>
              <c:f>'Overzicht MSK toets'!$L$8</c:f>
              <c:strCache>
                <c:ptCount val="1"/>
                <c:pt idx="0">
                  <c:v>Bovengrens totale steun</c:v>
                </c:pt>
              </c:strCache>
            </c:strRef>
          </c:tx>
          <c:val>
            <c:numRef>
              <c:f>'Overzicht MSK toets'!$L$9:$L$26</c:f>
              <c:numCache>
                <c:formatCode>_-* #,##0_-;_-* #,##0\-;_-* \-??_-;_-@_-</c:formatCode>
                <c:ptCount val="18"/>
                <c:pt idx="0">
                  <c:v>-282136.55100618862</c:v>
                </c:pt>
                <c:pt idx="1">
                  <c:v>-282136.55100618862</c:v>
                </c:pt>
                <c:pt idx="2">
                  <c:v>-282136.55100618862</c:v>
                </c:pt>
                <c:pt idx="3">
                  <c:v>-282136.55100618862</c:v>
                </c:pt>
                <c:pt idx="4">
                  <c:v>-282136.55100618862</c:v>
                </c:pt>
                <c:pt idx="5">
                  <c:v>-282136.55100618862</c:v>
                </c:pt>
                <c:pt idx="6">
                  <c:v>-282136.55100618862</c:v>
                </c:pt>
                <c:pt idx="7">
                  <c:v>-282136.55100618862</c:v>
                </c:pt>
                <c:pt idx="8">
                  <c:v>-282136.55100618862</c:v>
                </c:pt>
                <c:pt idx="9">
                  <c:v>-282136.55100618862</c:v>
                </c:pt>
                <c:pt idx="10">
                  <c:v>-282136.55100618862</c:v>
                </c:pt>
                <c:pt idx="11">
                  <c:v>-282136.55100618862</c:v>
                </c:pt>
                <c:pt idx="12">
                  <c:v>-282136.55100618862</c:v>
                </c:pt>
                <c:pt idx="13">
                  <c:v>-282136.55100618862</c:v>
                </c:pt>
                <c:pt idx="14">
                  <c:v>-282136.55100618862</c:v>
                </c:pt>
                <c:pt idx="15">
                  <c:v>-282136.55100618862</c:v>
                </c:pt>
                <c:pt idx="16">
                  <c:v>-282136.55100618862</c:v>
                </c:pt>
                <c:pt idx="17">
                  <c:v>-282136.55100618862</c:v>
                </c:pt>
              </c:numCache>
            </c:numRef>
          </c:val>
          <c:smooth val="0"/>
          <c:extLst>
            <c:ext xmlns:c16="http://schemas.microsoft.com/office/drawing/2014/chart" uri="{C3380CC4-5D6E-409C-BE32-E72D297353CC}">
              <c16:uniqueId val="{00000020-4994-41DD-9315-CC8239AD99F2}"/>
            </c:ext>
          </c:extLst>
        </c:ser>
        <c:dLbls>
          <c:showLegendKey val="0"/>
          <c:showVal val="0"/>
          <c:showCatName val="0"/>
          <c:showSerName val="0"/>
          <c:showPercent val="0"/>
          <c:showBubbleSize val="0"/>
        </c:dLbls>
        <c:hiLowLines>
          <c:spPr>
            <a:ln>
              <a:noFill/>
            </a:ln>
          </c:spPr>
        </c:hiLowLines>
        <c:marker val="1"/>
        <c:smooth val="0"/>
        <c:axId val="51388426"/>
        <c:axId val="84600968"/>
      </c:lineChart>
      <c:catAx>
        <c:axId val="41301694"/>
        <c:scaling>
          <c:orientation val="minMax"/>
        </c:scaling>
        <c:delete val="0"/>
        <c:axPos val="b"/>
        <c:title>
          <c:tx>
            <c:rich>
              <a:bodyPr rot="0"/>
              <a:lstStyle/>
              <a:p>
                <a:pPr>
                  <a:defRPr sz="1000" b="1" strike="noStrike" spc="-1">
                    <a:solidFill>
                      <a:srgbClr val="000000"/>
                    </a:solidFill>
                    <a:latin typeface="Arial"/>
                    <a:ea typeface="Arial"/>
                  </a:defRPr>
                </a:pPr>
                <a:r>
                  <a:rPr lang="nl-NL" sz="1000" b="1" strike="noStrike" spc="-1">
                    <a:solidFill>
                      <a:srgbClr val="000000"/>
                    </a:solidFill>
                    <a:latin typeface="Arial"/>
                    <a:ea typeface="Arial"/>
                  </a:rPr>
                  <a:t>Jaren</a:t>
                </a:r>
              </a:p>
            </c:rich>
          </c:tx>
          <c:layout>
            <c:manualLayout>
              <c:xMode val="edge"/>
              <c:yMode val="edge"/>
              <c:x val="0.51425670530501699"/>
              <c:y val="0.92379449893682697"/>
            </c:manualLayout>
          </c:layout>
          <c:overlay val="0"/>
          <c:spPr>
            <a:noFill/>
            <a:ln w="25560">
              <a:noFill/>
            </a:ln>
          </c:spPr>
        </c:title>
        <c:numFmt formatCode="General" sourceLinked="1"/>
        <c:majorTickMark val="cross"/>
        <c:minorTickMark val="none"/>
        <c:tickLblPos val="nextTo"/>
        <c:spPr>
          <a:ln w="3240">
            <a:solidFill>
              <a:srgbClr val="000000"/>
            </a:solidFill>
            <a:round/>
          </a:ln>
        </c:spPr>
        <c:txPr>
          <a:bodyPr/>
          <a:lstStyle/>
          <a:p>
            <a:pPr>
              <a:defRPr sz="1000" b="0" strike="noStrike" spc="-1">
                <a:solidFill>
                  <a:srgbClr val="000000"/>
                </a:solidFill>
                <a:latin typeface="Arial"/>
                <a:ea typeface="Arial"/>
              </a:defRPr>
            </a:pPr>
            <a:endParaRPr lang="nl-NL"/>
          </a:p>
        </c:txPr>
        <c:crossAx val="75362560"/>
        <c:crosses val="autoZero"/>
        <c:auto val="1"/>
        <c:lblAlgn val="ctr"/>
        <c:lblOffset val="100"/>
        <c:noMultiLvlLbl val="1"/>
      </c:catAx>
      <c:valAx>
        <c:axId val="75362560"/>
        <c:scaling>
          <c:orientation val="minMax"/>
        </c:scaling>
        <c:delete val="0"/>
        <c:axPos val="l"/>
        <c:title>
          <c:tx>
            <c:rich>
              <a:bodyPr rot="-5400000"/>
              <a:lstStyle/>
              <a:p>
                <a:pPr>
                  <a:defRPr sz="1000" b="1" strike="noStrike" spc="-1">
                    <a:solidFill>
                      <a:srgbClr val="000000"/>
                    </a:solidFill>
                    <a:latin typeface="Arial"/>
                    <a:ea typeface="Arial"/>
                  </a:defRPr>
                </a:pPr>
                <a:r>
                  <a:rPr lang="nl-NL" sz="1000" b="1" strike="noStrike" spc="-1">
                    <a:solidFill>
                      <a:srgbClr val="000000"/>
                    </a:solidFill>
                    <a:latin typeface="Arial"/>
                    <a:ea typeface="Arial"/>
                  </a:rPr>
                  <a:t>euro</a:t>
                </a:r>
              </a:p>
            </c:rich>
          </c:tx>
          <c:layout>
            <c:manualLayout>
              <c:xMode val="edge"/>
              <c:yMode val="edge"/>
              <c:x val="9.2452883822735157E-3"/>
              <c:y val="0.41278338592567632"/>
            </c:manualLayout>
          </c:layout>
          <c:overlay val="0"/>
          <c:spPr>
            <a:noFill/>
            <a:ln w="25560">
              <a:noFill/>
            </a:ln>
          </c:spPr>
        </c:title>
        <c:numFmt formatCode="#,##0" sourceLinked="0"/>
        <c:majorTickMark val="cross"/>
        <c:minorTickMark val="none"/>
        <c:tickLblPos val="nextTo"/>
        <c:spPr>
          <a:ln w="3240">
            <a:solidFill>
              <a:srgbClr val="000000"/>
            </a:solidFill>
            <a:round/>
          </a:ln>
        </c:spPr>
        <c:txPr>
          <a:bodyPr/>
          <a:lstStyle/>
          <a:p>
            <a:pPr>
              <a:defRPr sz="1000" b="0" strike="noStrike" spc="-1">
                <a:solidFill>
                  <a:srgbClr val="000000"/>
                </a:solidFill>
                <a:latin typeface="Arial"/>
                <a:ea typeface="Arial"/>
              </a:defRPr>
            </a:pPr>
            <a:endParaRPr lang="nl-NL"/>
          </a:p>
        </c:txPr>
        <c:crossAx val="41301694"/>
        <c:crosses val="autoZero"/>
        <c:crossBetween val="between"/>
      </c:valAx>
      <c:catAx>
        <c:axId val="51388426"/>
        <c:scaling>
          <c:orientation val="minMax"/>
        </c:scaling>
        <c:delete val="1"/>
        <c:axPos val="b"/>
        <c:numFmt formatCode="General" sourceLinked="1"/>
        <c:majorTickMark val="out"/>
        <c:minorTickMark val="none"/>
        <c:tickLblPos val="none"/>
        <c:crossAx val="84600968"/>
        <c:crosses val="autoZero"/>
        <c:auto val="1"/>
        <c:lblAlgn val="ctr"/>
        <c:lblOffset val="100"/>
        <c:noMultiLvlLbl val="1"/>
      </c:catAx>
      <c:valAx>
        <c:axId val="84600968"/>
        <c:scaling>
          <c:orientation val="minMax"/>
        </c:scaling>
        <c:delete val="1"/>
        <c:axPos val="l"/>
        <c:numFmt formatCode="_-* #,##0_-;_-* #,##0\-;_-* \-??_-;_-@_-" sourceLinked="0"/>
        <c:majorTickMark val="out"/>
        <c:minorTickMark val="none"/>
        <c:tickLblPos val="none"/>
        <c:crossAx val="51388426"/>
        <c:crosses val="autoZero"/>
        <c:crossBetween val="between"/>
      </c:valAx>
      <c:spPr>
        <a:solidFill>
          <a:srgbClr val="C0C0C0"/>
        </a:solidFill>
        <a:ln w="12600">
          <a:solidFill>
            <a:srgbClr val="808080"/>
          </a:solidFill>
          <a:round/>
        </a:ln>
      </c:spPr>
    </c:plotArea>
    <c:legend>
      <c:legendPos val="r"/>
      <c:layout>
        <c:manualLayout>
          <c:xMode val="edge"/>
          <c:yMode val="edge"/>
          <c:x val="0.66349172303282877"/>
          <c:y val="1.1893017983517691E-2"/>
          <c:w val="0.32833869784752656"/>
          <c:h val="0.13191978646487545"/>
        </c:manualLayout>
      </c:layout>
      <c:overlay val="1"/>
    </c:legend>
    <c:plotVisOnly val="1"/>
    <c:dispBlanksAs val="gap"/>
    <c:showDLblsOverMax val="1"/>
  </c:chart>
  <c:spPr>
    <a:solidFill>
      <a:srgbClr val="FFFFFF"/>
    </a:solidFill>
    <a:ln w="3240">
      <a:solidFill>
        <a:srgbClr val="000000"/>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571500</xdr:colOff>
      <xdr:row>31</xdr:row>
      <xdr:rowOff>37965</xdr:rowOff>
    </xdr:from>
    <xdr:to>
      <xdr:col>12</xdr:col>
      <xdr:colOff>638175</xdr:colOff>
      <xdr:row>62</xdr:row>
      <xdr:rowOff>2725</xdr:rowOff>
    </xdr:to>
    <xdr:graphicFrame macro="">
      <xdr:nvGraphicFramePr>
        <xdr:cNvPr id="2" name="Grafiek 3">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34</xdr:row>
      <xdr:rowOff>9525</xdr:rowOff>
    </xdr:from>
    <xdr:to>
      <xdr:col>7</xdr:col>
      <xdr:colOff>352425</xdr:colOff>
      <xdr:row>35</xdr:row>
      <xdr:rowOff>133350</xdr:rowOff>
    </xdr:to>
    <xdr:sp macro="" textlink="">
      <xdr:nvSpPr>
        <xdr:cNvPr id="2" name="Tekstvak 1">
          <a:extLst>
            <a:ext uri="{FF2B5EF4-FFF2-40B4-BE49-F238E27FC236}">
              <a16:creationId xmlns:a16="http://schemas.microsoft.com/office/drawing/2014/main" id="{A81AD3FD-7905-4684-AE81-8EFA6938ED9B}"/>
            </a:ext>
          </a:extLst>
        </xdr:cNvPr>
        <xdr:cNvSpPr txBox="1"/>
      </xdr:nvSpPr>
      <xdr:spPr>
        <a:xfrm>
          <a:off x="4124325" y="1952625"/>
          <a:ext cx="27051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altijd nul , dus vaste</a:t>
          </a:r>
          <a:r>
            <a:rPr lang="nl-NL" sz="1100" baseline="0"/>
            <a:t> nul van gemaakt</a:t>
          </a:r>
          <a:endParaRPr lang="nl-NL" sz="1100"/>
        </a:p>
      </xdr:txBody>
    </xdr:sp>
    <xdr:clientData/>
  </xdr:twoCellAnchor>
  <xdr:twoCellAnchor>
    <xdr:from>
      <xdr:col>3</xdr:col>
      <xdr:colOff>533400</xdr:colOff>
      <xdr:row>32</xdr:row>
      <xdr:rowOff>152400</xdr:rowOff>
    </xdr:from>
    <xdr:to>
      <xdr:col>3</xdr:col>
      <xdr:colOff>533400</xdr:colOff>
      <xdr:row>33</xdr:row>
      <xdr:rowOff>142875</xdr:rowOff>
    </xdr:to>
    <xdr:cxnSp macro="">
      <xdr:nvCxnSpPr>
        <xdr:cNvPr id="4" name="Rechte verbindingslijn met pijl 3">
          <a:extLst>
            <a:ext uri="{FF2B5EF4-FFF2-40B4-BE49-F238E27FC236}">
              <a16:creationId xmlns:a16="http://schemas.microsoft.com/office/drawing/2014/main" id="{092A18CB-B1A0-4524-9664-4544D3FFF0C9}"/>
            </a:ext>
          </a:extLst>
        </xdr:cNvPr>
        <xdr:cNvCxnSpPr/>
      </xdr:nvCxnSpPr>
      <xdr:spPr>
        <a:xfrm flipH="1" flipV="1">
          <a:off x="4572000" y="1743075"/>
          <a:ext cx="0"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457200</xdr:colOff>
      <xdr:row>33</xdr:row>
      <xdr:rowOff>0</xdr:rowOff>
    </xdr:to>
    <xdr:sp macro="" textlink="">
      <xdr:nvSpPr>
        <xdr:cNvPr id="3078" name="_x0000_t202" hidden="1">
          <a:extLst>
            <a:ext uri="{FF2B5EF4-FFF2-40B4-BE49-F238E27FC236}">
              <a16:creationId xmlns:a16="http://schemas.microsoft.com/office/drawing/2014/main" id="{00000000-0008-0000-08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6" name="_x0000_t202" hidden="1">
          <a:extLst>
            <a:ext uri="{FF2B5EF4-FFF2-40B4-BE49-F238E27FC236}">
              <a16:creationId xmlns:a16="http://schemas.microsoft.com/office/drawing/2014/main" id="{00000000-0008-0000-08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4" name="_x0000_t202" hidden="1">
          <a:extLst>
            <a:ext uri="{FF2B5EF4-FFF2-40B4-BE49-F238E27FC236}">
              <a16:creationId xmlns:a16="http://schemas.microsoft.com/office/drawing/2014/main" id="{00000000-0008-0000-08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5" name="AutoShape 6">
          <a:extLst>
            <a:ext uri="{FF2B5EF4-FFF2-40B4-BE49-F238E27FC236}">
              <a16:creationId xmlns:a16="http://schemas.microsoft.com/office/drawing/2014/main" id="{D26C41F3-9E1C-4DF3-A89F-7919519690E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6" name="AutoShape 4">
          <a:extLst>
            <a:ext uri="{FF2B5EF4-FFF2-40B4-BE49-F238E27FC236}">
              <a16:creationId xmlns:a16="http://schemas.microsoft.com/office/drawing/2014/main" id="{54791C98-9938-4451-90AE-D4CFC172EBE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7" name="AutoShape 2">
          <a:extLst>
            <a:ext uri="{FF2B5EF4-FFF2-40B4-BE49-F238E27FC236}">
              <a16:creationId xmlns:a16="http://schemas.microsoft.com/office/drawing/2014/main" id="{C0C04872-10CC-4BED-94E6-77E77C6C95A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8" name="AutoShape 6">
          <a:extLst>
            <a:ext uri="{FF2B5EF4-FFF2-40B4-BE49-F238E27FC236}">
              <a16:creationId xmlns:a16="http://schemas.microsoft.com/office/drawing/2014/main" id="{D77FBE93-F4FB-4D92-9427-B33F4842B7E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9" name="AutoShape 4">
          <a:extLst>
            <a:ext uri="{FF2B5EF4-FFF2-40B4-BE49-F238E27FC236}">
              <a16:creationId xmlns:a16="http://schemas.microsoft.com/office/drawing/2014/main" id="{243A0C57-24E3-4970-935B-CFCF3BDC611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0" name="AutoShape 2">
          <a:extLst>
            <a:ext uri="{FF2B5EF4-FFF2-40B4-BE49-F238E27FC236}">
              <a16:creationId xmlns:a16="http://schemas.microsoft.com/office/drawing/2014/main" id="{A15153B7-9D8B-4556-BC1E-A30CED06DD2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1" name="AutoShape 6">
          <a:extLst>
            <a:ext uri="{FF2B5EF4-FFF2-40B4-BE49-F238E27FC236}">
              <a16:creationId xmlns:a16="http://schemas.microsoft.com/office/drawing/2014/main" id="{BD32C4E1-3175-4193-B0FC-E4FEA616C55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2" name="AutoShape 4">
          <a:extLst>
            <a:ext uri="{FF2B5EF4-FFF2-40B4-BE49-F238E27FC236}">
              <a16:creationId xmlns:a16="http://schemas.microsoft.com/office/drawing/2014/main" id="{1FEDCE92-A891-405F-9AA1-EDDDC199029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3" name="AutoShape 2">
          <a:extLst>
            <a:ext uri="{FF2B5EF4-FFF2-40B4-BE49-F238E27FC236}">
              <a16:creationId xmlns:a16="http://schemas.microsoft.com/office/drawing/2014/main" id="{A3334616-278B-47FC-B4B1-8AD9410AA7D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4" name="AutoShape 6">
          <a:extLst>
            <a:ext uri="{FF2B5EF4-FFF2-40B4-BE49-F238E27FC236}">
              <a16:creationId xmlns:a16="http://schemas.microsoft.com/office/drawing/2014/main" id="{0202303E-2197-4BB4-B4B5-5623759E21D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5" name="AutoShape 4">
          <a:extLst>
            <a:ext uri="{FF2B5EF4-FFF2-40B4-BE49-F238E27FC236}">
              <a16:creationId xmlns:a16="http://schemas.microsoft.com/office/drawing/2014/main" id="{B5BB5A80-2188-4243-A1D1-F36502A4DD9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6" name="AutoShape 2">
          <a:extLst>
            <a:ext uri="{FF2B5EF4-FFF2-40B4-BE49-F238E27FC236}">
              <a16:creationId xmlns:a16="http://schemas.microsoft.com/office/drawing/2014/main" id="{579142C9-43AA-44ED-8B33-2E196BD6CE7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7" name="AutoShape 6">
          <a:extLst>
            <a:ext uri="{FF2B5EF4-FFF2-40B4-BE49-F238E27FC236}">
              <a16:creationId xmlns:a16="http://schemas.microsoft.com/office/drawing/2014/main" id="{F36E1CD9-A41A-4FB3-BD2E-02F7C4A1C90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8" name="AutoShape 4">
          <a:extLst>
            <a:ext uri="{FF2B5EF4-FFF2-40B4-BE49-F238E27FC236}">
              <a16:creationId xmlns:a16="http://schemas.microsoft.com/office/drawing/2014/main" id="{F585FB18-C92D-4AE0-92A0-FE6D4870E90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19" name="AutoShape 2">
          <a:extLst>
            <a:ext uri="{FF2B5EF4-FFF2-40B4-BE49-F238E27FC236}">
              <a16:creationId xmlns:a16="http://schemas.microsoft.com/office/drawing/2014/main" id="{9DDCFB76-E95B-456D-8292-C94B5D75859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0" name="AutoShape 6">
          <a:extLst>
            <a:ext uri="{FF2B5EF4-FFF2-40B4-BE49-F238E27FC236}">
              <a16:creationId xmlns:a16="http://schemas.microsoft.com/office/drawing/2014/main" id="{6CBDF44E-F148-49C0-880C-4C49DF6C241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1" name="AutoShape 4">
          <a:extLst>
            <a:ext uri="{FF2B5EF4-FFF2-40B4-BE49-F238E27FC236}">
              <a16:creationId xmlns:a16="http://schemas.microsoft.com/office/drawing/2014/main" id="{C8363784-95A4-4899-A088-CD13F746057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2" name="AutoShape 2">
          <a:extLst>
            <a:ext uri="{FF2B5EF4-FFF2-40B4-BE49-F238E27FC236}">
              <a16:creationId xmlns:a16="http://schemas.microsoft.com/office/drawing/2014/main" id="{A40AD877-AB1E-458C-A3ED-39AA7479509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3" name="AutoShape 6">
          <a:extLst>
            <a:ext uri="{FF2B5EF4-FFF2-40B4-BE49-F238E27FC236}">
              <a16:creationId xmlns:a16="http://schemas.microsoft.com/office/drawing/2014/main" id="{43747C9B-53FA-44DC-8404-6C026DFB3FE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4" name="AutoShape 4">
          <a:extLst>
            <a:ext uri="{FF2B5EF4-FFF2-40B4-BE49-F238E27FC236}">
              <a16:creationId xmlns:a16="http://schemas.microsoft.com/office/drawing/2014/main" id="{DA737CCE-C023-4A0C-A7B8-B15E4B32A63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5" name="AutoShape 2">
          <a:extLst>
            <a:ext uri="{FF2B5EF4-FFF2-40B4-BE49-F238E27FC236}">
              <a16:creationId xmlns:a16="http://schemas.microsoft.com/office/drawing/2014/main" id="{F24A13E7-FF67-435C-8CA4-8307F36D4D9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6" name="AutoShape 6">
          <a:extLst>
            <a:ext uri="{FF2B5EF4-FFF2-40B4-BE49-F238E27FC236}">
              <a16:creationId xmlns:a16="http://schemas.microsoft.com/office/drawing/2014/main" id="{4C631B78-C51A-4973-909E-56B84A271CF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7" name="AutoShape 4">
          <a:extLst>
            <a:ext uri="{FF2B5EF4-FFF2-40B4-BE49-F238E27FC236}">
              <a16:creationId xmlns:a16="http://schemas.microsoft.com/office/drawing/2014/main" id="{55366371-4534-46FC-B5F3-C25A1893E12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8" name="AutoShape 2">
          <a:extLst>
            <a:ext uri="{FF2B5EF4-FFF2-40B4-BE49-F238E27FC236}">
              <a16:creationId xmlns:a16="http://schemas.microsoft.com/office/drawing/2014/main" id="{1B5A242D-C4A5-4A1C-B44D-2BD29F348B7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29" name="AutoShape 6">
          <a:extLst>
            <a:ext uri="{FF2B5EF4-FFF2-40B4-BE49-F238E27FC236}">
              <a16:creationId xmlns:a16="http://schemas.microsoft.com/office/drawing/2014/main" id="{52129B52-51A3-4D99-B4B8-40F529A7A2D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 name="AutoShape 4">
          <a:extLst>
            <a:ext uri="{FF2B5EF4-FFF2-40B4-BE49-F238E27FC236}">
              <a16:creationId xmlns:a16="http://schemas.microsoft.com/office/drawing/2014/main" id="{D530DAA9-2817-4A7C-B525-D4313BB01EB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 name="AutoShape 2">
          <a:extLst>
            <a:ext uri="{FF2B5EF4-FFF2-40B4-BE49-F238E27FC236}">
              <a16:creationId xmlns:a16="http://schemas.microsoft.com/office/drawing/2014/main" id="{4C950B0F-A8B8-44AD-B686-ED28469A31A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2" name="AutoShape 6">
          <a:extLst>
            <a:ext uri="{FF2B5EF4-FFF2-40B4-BE49-F238E27FC236}">
              <a16:creationId xmlns:a16="http://schemas.microsoft.com/office/drawing/2014/main" id="{77A79C0F-13DF-4073-A039-C3FBF4BA0D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3" name="AutoShape 4">
          <a:extLst>
            <a:ext uri="{FF2B5EF4-FFF2-40B4-BE49-F238E27FC236}">
              <a16:creationId xmlns:a16="http://schemas.microsoft.com/office/drawing/2014/main" id="{9E81C730-245A-4F84-99DC-75133E22B6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5" name="AutoShape 2">
          <a:extLst>
            <a:ext uri="{FF2B5EF4-FFF2-40B4-BE49-F238E27FC236}">
              <a16:creationId xmlns:a16="http://schemas.microsoft.com/office/drawing/2014/main" id="{C786A5BF-4D07-4884-9360-A1FD8B5BE64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7" name="AutoShape 6">
          <a:extLst>
            <a:ext uri="{FF2B5EF4-FFF2-40B4-BE49-F238E27FC236}">
              <a16:creationId xmlns:a16="http://schemas.microsoft.com/office/drawing/2014/main" id="{A68E2C6F-E27E-43BE-AC75-475E72FA8AF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79" name="AutoShape 4">
          <a:extLst>
            <a:ext uri="{FF2B5EF4-FFF2-40B4-BE49-F238E27FC236}">
              <a16:creationId xmlns:a16="http://schemas.microsoft.com/office/drawing/2014/main" id="{ECFDA1CD-20F6-4956-B80A-D3DC6E2A562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0" name="AutoShape 2">
          <a:extLst>
            <a:ext uri="{FF2B5EF4-FFF2-40B4-BE49-F238E27FC236}">
              <a16:creationId xmlns:a16="http://schemas.microsoft.com/office/drawing/2014/main" id="{D9C18F65-3C09-46AF-957E-6521F70E88E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1" name="AutoShape 6">
          <a:extLst>
            <a:ext uri="{FF2B5EF4-FFF2-40B4-BE49-F238E27FC236}">
              <a16:creationId xmlns:a16="http://schemas.microsoft.com/office/drawing/2014/main" id="{BF5EF1B7-3AAF-454C-B28F-26799787463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2" name="AutoShape 4">
          <a:extLst>
            <a:ext uri="{FF2B5EF4-FFF2-40B4-BE49-F238E27FC236}">
              <a16:creationId xmlns:a16="http://schemas.microsoft.com/office/drawing/2014/main" id="{D40B3A48-929A-4EB8-8D0C-BFF5D7FED5A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3" name="AutoShape 2">
          <a:extLst>
            <a:ext uri="{FF2B5EF4-FFF2-40B4-BE49-F238E27FC236}">
              <a16:creationId xmlns:a16="http://schemas.microsoft.com/office/drawing/2014/main" id="{F72D5596-0556-4D8C-8EFC-295CBB2C746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4" name="AutoShape 6">
          <a:extLst>
            <a:ext uri="{FF2B5EF4-FFF2-40B4-BE49-F238E27FC236}">
              <a16:creationId xmlns:a16="http://schemas.microsoft.com/office/drawing/2014/main" id="{1B71FA45-C04E-4D63-AD4C-DBDF9DF0476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5" name="AutoShape 4">
          <a:extLst>
            <a:ext uri="{FF2B5EF4-FFF2-40B4-BE49-F238E27FC236}">
              <a16:creationId xmlns:a16="http://schemas.microsoft.com/office/drawing/2014/main" id="{ED110B79-0344-4AA4-B53B-0691EB1E83A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6" name="AutoShape 2">
          <a:extLst>
            <a:ext uri="{FF2B5EF4-FFF2-40B4-BE49-F238E27FC236}">
              <a16:creationId xmlns:a16="http://schemas.microsoft.com/office/drawing/2014/main" id="{2239E00F-ACC9-4548-B1EA-54B8BBCF874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7" name="AutoShape 6">
          <a:extLst>
            <a:ext uri="{FF2B5EF4-FFF2-40B4-BE49-F238E27FC236}">
              <a16:creationId xmlns:a16="http://schemas.microsoft.com/office/drawing/2014/main" id="{27A5D23B-A124-4BE4-BEE4-3AC14E66919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8" name="AutoShape 4">
          <a:extLst>
            <a:ext uri="{FF2B5EF4-FFF2-40B4-BE49-F238E27FC236}">
              <a16:creationId xmlns:a16="http://schemas.microsoft.com/office/drawing/2014/main" id="{625862FD-95C8-4B8D-BE6F-570D10D63B2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89" name="AutoShape 2">
          <a:extLst>
            <a:ext uri="{FF2B5EF4-FFF2-40B4-BE49-F238E27FC236}">
              <a16:creationId xmlns:a16="http://schemas.microsoft.com/office/drawing/2014/main" id="{AA166ABF-F743-4694-AFF1-0A6E8BF64D7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0" name="AutoShape 6">
          <a:extLst>
            <a:ext uri="{FF2B5EF4-FFF2-40B4-BE49-F238E27FC236}">
              <a16:creationId xmlns:a16="http://schemas.microsoft.com/office/drawing/2014/main" id="{AF02D2B6-95B1-42C8-B705-16D8EE670C9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1" name="AutoShape 4">
          <a:extLst>
            <a:ext uri="{FF2B5EF4-FFF2-40B4-BE49-F238E27FC236}">
              <a16:creationId xmlns:a16="http://schemas.microsoft.com/office/drawing/2014/main" id="{37EC46D5-756E-46FA-901F-6C76E758094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2" name="AutoShape 2">
          <a:extLst>
            <a:ext uri="{FF2B5EF4-FFF2-40B4-BE49-F238E27FC236}">
              <a16:creationId xmlns:a16="http://schemas.microsoft.com/office/drawing/2014/main" id="{EDF7C0AC-37AD-4364-B093-EF56D3A3E5B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3" name="AutoShape 6">
          <a:extLst>
            <a:ext uri="{FF2B5EF4-FFF2-40B4-BE49-F238E27FC236}">
              <a16:creationId xmlns:a16="http://schemas.microsoft.com/office/drawing/2014/main" id="{701A014C-F243-48FA-8765-814FAAB520F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4" name="AutoShape 4">
          <a:extLst>
            <a:ext uri="{FF2B5EF4-FFF2-40B4-BE49-F238E27FC236}">
              <a16:creationId xmlns:a16="http://schemas.microsoft.com/office/drawing/2014/main" id="{B53A3C36-BAEE-47E1-A9D3-B06A8A4E5BF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5" name="AutoShape 2">
          <a:extLst>
            <a:ext uri="{FF2B5EF4-FFF2-40B4-BE49-F238E27FC236}">
              <a16:creationId xmlns:a16="http://schemas.microsoft.com/office/drawing/2014/main" id="{AAE5D088-5109-427C-BC69-BD0AE4EC8ED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6" name="AutoShape 6">
          <a:extLst>
            <a:ext uri="{FF2B5EF4-FFF2-40B4-BE49-F238E27FC236}">
              <a16:creationId xmlns:a16="http://schemas.microsoft.com/office/drawing/2014/main" id="{701F0400-AE00-4F94-AA67-72D74FF76CD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7" name="AutoShape 4">
          <a:extLst>
            <a:ext uri="{FF2B5EF4-FFF2-40B4-BE49-F238E27FC236}">
              <a16:creationId xmlns:a16="http://schemas.microsoft.com/office/drawing/2014/main" id="{9E852DFC-895B-42CC-AA96-3687C516753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8" name="AutoShape 2">
          <a:extLst>
            <a:ext uri="{FF2B5EF4-FFF2-40B4-BE49-F238E27FC236}">
              <a16:creationId xmlns:a16="http://schemas.microsoft.com/office/drawing/2014/main" id="{E217F89B-418B-4444-89CF-F4CFF8FDB9E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099" name="AutoShape 6">
          <a:extLst>
            <a:ext uri="{FF2B5EF4-FFF2-40B4-BE49-F238E27FC236}">
              <a16:creationId xmlns:a16="http://schemas.microsoft.com/office/drawing/2014/main" id="{26D062C2-599D-49B1-B905-3BAA3009F6D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0" name="AutoShape 4">
          <a:extLst>
            <a:ext uri="{FF2B5EF4-FFF2-40B4-BE49-F238E27FC236}">
              <a16:creationId xmlns:a16="http://schemas.microsoft.com/office/drawing/2014/main" id="{FB7DCE82-2469-425C-AF5D-6A3D054F742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1" name="AutoShape 2">
          <a:extLst>
            <a:ext uri="{FF2B5EF4-FFF2-40B4-BE49-F238E27FC236}">
              <a16:creationId xmlns:a16="http://schemas.microsoft.com/office/drawing/2014/main" id="{7CD84BB1-5FB6-46F0-B60F-F4AB9E445DA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2" name="AutoShape 6">
          <a:extLst>
            <a:ext uri="{FF2B5EF4-FFF2-40B4-BE49-F238E27FC236}">
              <a16:creationId xmlns:a16="http://schemas.microsoft.com/office/drawing/2014/main" id="{CC783C5D-2C7E-420B-8A56-E2A9D2A7550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3" name="AutoShape 4">
          <a:extLst>
            <a:ext uri="{FF2B5EF4-FFF2-40B4-BE49-F238E27FC236}">
              <a16:creationId xmlns:a16="http://schemas.microsoft.com/office/drawing/2014/main" id="{6D38BF69-35E9-4DED-9822-2FAF140672D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4" name="AutoShape 2">
          <a:extLst>
            <a:ext uri="{FF2B5EF4-FFF2-40B4-BE49-F238E27FC236}">
              <a16:creationId xmlns:a16="http://schemas.microsoft.com/office/drawing/2014/main" id="{1ED730B6-6BF2-4E49-94FF-268AFA24251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5" name="AutoShape 6">
          <a:extLst>
            <a:ext uri="{FF2B5EF4-FFF2-40B4-BE49-F238E27FC236}">
              <a16:creationId xmlns:a16="http://schemas.microsoft.com/office/drawing/2014/main" id="{1BDF052D-4D61-4074-A809-3EB43D35022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6" name="AutoShape 4">
          <a:extLst>
            <a:ext uri="{FF2B5EF4-FFF2-40B4-BE49-F238E27FC236}">
              <a16:creationId xmlns:a16="http://schemas.microsoft.com/office/drawing/2014/main" id="{17B527F1-F230-4864-AFA1-10BFFC95FB4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7" name="AutoShape 2">
          <a:extLst>
            <a:ext uri="{FF2B5EF4-FFF2-40B4-BE49-F238E27FC236}">
              <a16:creationId xmlns:a16="http://schemas.microsoft.com/office/drawing/2014/main" id="{EE36DCDC-5449-45D8-AB72-75665B2BA2A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8" name="AutoShape 6">
          <a:extLst>
            <a:ext uri="{FF2B5EF4-FFF2-40B4-BE49-F238E27FC236}">
              <a16:creationId xmlns:a16="http://schemas.microsoft.com/office/drawing/2014/main" id="{93C45AF4-07DC-4EB1-B7CC-DC2B973E269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09" name="AutoShape 4">
          <a:extLst>
            <a:ext uri="{FF2B5EF4-FFF2-40B4-BE49-F238E27FC236}">
              <a16:creationId xmlns:a16="http://schemas.microsoft.com/office/drawing/2014/main" id="{2053EB96-430B-417E-B3EE-DEF1940CF6F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0" name="AutoShape 2">
          <a:extLst>
            <a:ext uri="{FF2B5EF4-FFF2-40B4-BE49-F238E27FC236}">
              <a16:creationId xmlns:a16="http://schemas.microsoft.com/office/drawing/2014/main" id="{C49DD707-A198-47E2-A859-496318D86D7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1" name="AutoShape 6">
          <a:extLst>
            <a:ext uri="{FF2B5EF4-FFF2-40B4-BE49-F238E27FC236}">
              <a16:creationId xmlns:a16="http://schemas.microsoft.com/office/drawing/2014/main" id="{B6C0D31F-2360-4A7B-AD33-BBDFA9A3BDA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2" name="AutoShape 4">
          <a:extLst>
            <a:ext uri="{FF2B5EF4-FFF2-40B4-BE49-F238E27FC236}">
              <a16:creationId xmlns:a16="http://schemas.microsoft.com/office/drawing/2014/main" id="{A30CC952-E385-4D31-8485-30D48FC970D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3" name="AutoShape 2">
          <a:extLst>
            <a:ext uri="{FF2B5EF4-FFF2-40B4-BE49-F238E27FC236}">
              <a16:creationId xmlns:a16="http://schemas.microsoft.com/office/drawing/2014/main" id="{96283D3C-E0F2-4226-937E-FDAD0B8EF91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4" name="AutoShape 6">
          <a:extLst>
            <a:ext uri="{FF2B5EF4-FFF2-40B4-BE49-F238E27FC236}">
              <a16:creationId xmlns:a16="http://schemas.microsoft.com/office/drawing/2014/main" id="{2939AF97-B60F-4271-AA8D-E9F5C13DE2E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5" name="AutoShape 4">
          <a:extLst>
            <a:ext uri="{FF2B5EF4-FFF2-40B4-BE49-F238E27FC236}">
              <a16:creationId xmlns:a16="http://schemas.microsoft.com/office/drawing/2014/main" id="{0E797D09-89CE-42CE-97B8-434FCA1B1D0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6" name="AutoShape 2">
          <a:extLst>
            <a:ext uri="{FF2B5EF4-FFF2-40B4-BE49-F238E27FC236}">
              <a16:creationId xmlns:a16="http://schemas.microsoft.com/office/drawing/2014/main" id="{D09B5910-44E1-424B-A2DB-2AFD50282A7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7" name="AutoShape 6">
          <a:extLst>
            <a:ext uri="{FF2B5EF4-FFF2-40B4-BE49-F238E27FC236}">
              <a16:creationId xmlns:a16="http://schemas.microsoft.com/office/drawing/2014/main" id="{820FA17A-28A6-42C1-A00B-7D62CA6208D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8" name="AutoShape 4">
          <a:extLst>
            <a:ext uri="{FF2B5EF4-FFF2-40B4-BE49-F238E27FC236}">
              <a16:creationId xmlns:a16="http://schemas.microsoft.com/office/drawing/2014/main" id="{5E26E188-E7F7-4BA0-9271-3E9FFB5310C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19" name="AutoShape 2">
          <a:extLst>
            <a:ext uri="{FF2B5EF4-FFF2-40B4-BE49-F238E27FC236}">
              <a16:creationId xmlns:a16="http://schemas.microsoft.com/office/drawing/2014/main" id="{67E2787E-1E93-4B12-B731-76C2480B479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0" name="AutoShape 6">
          <a:extLst>
            <a:ext uri="{FF2B5EF4-FFF2-40B4-BE49-F238E27FC236}">
              <a16:creationId xmlns:a16="http://schemas.microsoft.com/office/drawing/2014/main" id="{FABE3F31-97AC-4BEE-834F-918A94D37FA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1" name="AutoShape 4">
          <a:extLst>
            <a:ext uri="{FF2B5EF4-FFF2-40B4-BE49-F238E27FC236}">
              <a16:creationId xmlns:a16="http://schemas.microsoft.com/office/drawing/2014/main" id="{AC0CB711-46A6-4B8B-B2FF-208B2E352E1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2" name="AutoShape 2">
          <a:extLst>
            <a:ext uri="{FF2B5EF4-FFF2-40B4-BE49-F238E27FC236}">
              <a16:creationId xmlns:a16="http://schemas.microsoft.com/office/drawing/2014/main" id="{8D1ACC3B-D831-4C23-8F9E-4B9ED7BDC36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3" name="AutoShape 6">
          <a:extLst>
            <a:ext uri="{FF2B5EF4-FFF2-40B4-BE49-F238E27FC236}">
              <a16:creationId xmlns:a16="http://schemas.microsoft.com/office/drawing/2014/main" id="{906CF428-2A84-4723-8AAB-112C1413B67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4" name="AutoShape 4">
          <a:extLst>
            <a:ext uri="{FF2B5EF4-FFF2-40B4-BE49-F238E27FC236}">
              <a16:creationId xmlns:a16="http://schemas.microsoft.com/office/drawing/2014/main" id="{4B3D38A2-33EA-4115-893A-380657E35AD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5" name="AutoShape 2">
          <a:extLst>
            <a:ext uri="{FF2B5EF4-FFF2-40B4-BE49-F238E27FC236}">
              <a16:creationId xmlns:a16="http://schemas.microsoft.com/office/drawing/2014/main" id="{F54FD4AA-0F3A-4D37-BDB7-70F2D1C7A54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6" name="AutoShape 6">
          <a:extLst>
            <a:ext uri="{FF2B5EF4-FFF2-40B4-BE49-F238E27FC236}">
              <a16:creationId xmlns:a16="http://schemas.microsoft.com/office/drawing/2014/main" id="{3E55F550-EB0F-40EE-B0CE-FF570A9A2AD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7" name="AutoShape 4">
          <a:extLst>
            <a:ext uri="{FF2B5EF4-FFF2-40B4-BE49-F238E27FC236}">
              <a16:creationId xmlns:a16="http://schemas.microsoft.com/office/drawing/2014/main" id="{DAC7C6A9-2C3A-49AA-BF59-ADCBFF304E6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8" name="AutoShape 2">
          <a:extLst>
            <a:ext uri="{FF2B5EF4-FFF2-40B4-BE49-F238E27FC236}">
              <a16:creationId xmlns:a16="http://schemas.microsoft.com/office/drawing/2014/main" id="{E3D374FC-4493-4049-8D21-2AEA1F2393E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29" name="AutoShape 6">
          <a:extLst>
            <a:ext uri="{FF2B5EF4-FFF2-40B4-BE49-F238E27FC236}">
              <a16:creationId xmlns:a16="http://schemas.microsoft.com/office/drawing/2014/main" id="{5FDC7574-5755-4B54-9196-0CC5673F0CF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0" name="AutoShape 4">
          <a:extLst>
            <a:ext uri="{FF2B5EF4-FFF2-40B4-BE49-F238E27FC236}">
              <a16:creationId xmlns:a16="http://schemas.microsoft.com/office/drawing/2014/main" id="{7BB2424E-F2BA-4E2C-8DEB-7ACCCE79956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1" name="AutoShape 2">
          <a:extLst>
            <a:ext uri="{FF2B5EF4-FFF2-40B4-BE49-F238E27FC236}">
              <a16:creationId xmlns:a16="http://schemas.microsoft.com/office/drawing/2014/main" id="{80519AA3-FD54-483E-823E-40A0000FE0C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2" name="AutoShape 6">
          <a:extLst>
            <a:ext uri="{FF2B5EF4-FFF2-40B4-BE49-F238E27FC236}">
              <a16:creationId xmlns:a16="http://schemas.microsoft.com/office/drawing/2014/main" id="{3DD74CF3-C977-4795-B751-85C9AAB324D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3" name="AutoShape 4">
          <a:extLst>
            <a:ext uri="{FF2B5EF4-FFF2-40B4-BE49-F238E27FC236}">
              <a16:creationId xmlns:a16="http://schemas.microsoft.com/office/drawing/2014/main" id="{05462DE1-6104-476B-99E6-1614F9A2639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4" name="AutoShape 2">
          <a:extLst>
            <a:ext uri="{FF2B5EF4-FFF2-40B4-BE49-F238E27FC236}">
              <a16:creationId xmlns:a16="http://schemas.microsoft.com/office/drawing/2014/main" id="{6D3E01FC-40A4-4B2A-891D-61AA73A095C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5" name="AutoShape 6">
          <a:extLst>
            <a:ext uri="{FF2B5EF4-FFF2-40B4-BE49-F238E27FC236}">
              <a16:creationId xmlns:a16="http://schemas.microsoft.com/office/drawing/2014/main" id="{D9341BAB-59B7-4B24-B378-008F8A05B6A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6" name="AutoShape 4">
          <a:extLst>
            <a:ext uri="{FF2B5EF4-FFF2-40B4-BE49-F238E27FC236}">
              <a16:creationId xmlns:a16="http://schemas.microsoft.com/office/drawing/2014/main" id="{B5C44B22-5BDC-4DF4-B5E4-34217681B69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7" name="AutoShape 2">
          <a:extLst>
            <a:ext uri="{FF2B5EF4-FFF2-40B4-BE49-F238E27FC236}">
              <a16:creationId xmlns:a16="http://schemas.microsoft.com/office/drawing/2014/main" id="{E2726E40-7B11-471E-9FF9-75288865251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8" name="AutoShape 6">
          <a:extLst>
            <a:ext uri="{FF2B5EF4-FFF2-40B4-BE49-F238E27FC236}">
              <a16:creationId xmlns:a16="http://schemas.microsoft.com/office/drawing/2014/main" id="{5D993CF8-DF4F-4321-84F3-E4AD89F75B5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39" name="AutoShape 4">
          <a:extLst>
            <a:ext uri="{FF2B5EF4-FFF2-40B4-BE49-F238E27FC236}">
              <a16:creationId xmlns:a16="http://schemas.microsoft.com/office/drawing/2014/main" id="{4CE2A28F-A4FD-41F5-8812-756CC9E8408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0" name="AutoShape 2">
          <a:extLst>
            <a:ext uri="{FF2B5EF4-FFF2-40B4-BE49-F238E27FC236}">
              <a16:creationId xmlns:a16="http://schemas.microsoft.com/office/drawing/2014/main" id="{2C7CAEB5-59CF-46C2-8BE8-C077FCFDFDB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1" name="AutoShape 6">
          <a:extLst>
            <a:ext uri="{FF2B5EF4-FFF2-40B4-BE49-F238E27FC236}">
              <a16:creationId xmlns:a16="http://schemas.microsoft.com/office/drawing/2014/main" id="{A222F676-4074-497E-80EC-7FA408017F9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2" name="AutoShape 4">
          <a:extLst>
            <a:ext uri="{FF2B5EF4-FFF2-40B4-BE49-F238E27FC236}">
              <a16:creationId xmlns:a16="http://schemas.microsoft.com/office/drawing/2014/main" id="{745BDDDA-5712-4223-B4BA-C12D0114BEF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3" name="AutoShape 2">
          <a:extLst>
            <a:ext uri="{FF2B5EF4-FFF2-40B4-BE49-F238E27FC236}">
              <a16:creationId xmlns:a16="http://schemas.microsoft.com/office/drawing/2014/main" id="{43526D4A-182B-44CE-9151-0984E3C24DC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4" name="AutoShape 6">
          <a:extLst>
            <a:ext uri="{FF2B5EF4-FFF2-40B4-BE49-F238E27FC236}">
              <a16:creationId xmlns:a16="http://schemas.microsoft.com/office/drawing/2014/main" id="{5B463D03-145C-4B93-8B1E-79E642238A8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5" name="AutoShape 4">
          <a:extLst>
            <a:ext uri="{FF2B5EF4-FFF2-40B4-BE49-F238E27FC236}">
              <a16:creationId xmlns:a16="http://schemas.microsoft.com/office/drawing/2014/main" id="{5F7641E1-C8CB-49F1-B01C-39D7C01332D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6" name="AutoShape 2">
          <a:extLst>
            <a:ext uri="{FF2B5EF4-FFF2-40B4-BE49-F238E27FC236}">
              <a16:creationId xmlns:a16="http://schemas.microsoft.com/office/drawing/2014/main" id="{799B59CB-6F81-454F-A93E-1AD016299C1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7" name="AutoShape 6">
          <a:extLst>
            <a:ext uri="{FF2B5EF4-FFF2-40B4-BE49-F238E27FC236}">
              <a16:creationId xmlns:a16="http://schemas.microsoft.com/office/drawing/2014/main" id="{7BE44E74-EA02-4EA5-A183-E06A77BC264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8" name="AutoShape 4">
          <a:extLst>
            <a:ext uri="{FF2B5EF4-FFF2-40B4-BE49-F238E27FC236}">
              <a16:creationId xmlns:a16="http://schemas.microsoft.com/office/drawing/2014/main" id="{AE134A68-7F1F-4489-BC7E-9CC37F284FC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49" name="AutoShape 2">
          <a:extLst>
            <a:ext uri="{FF2B5EF4-FFF2-40B4-BE49-F238E27FC236}">
              <a16:creationId xmlns:a16="http://schemas.microsoft.com/office/drawing/2014/main" id="{0DEA7E44-E17B-4C34-9328-9CF013FE6BB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0" name="AutoShape 6">
          <a:extLst>
            <a:ext uri="{FF2B5EF4-FFF2-40B4-BE49-F238E27FC236}">
              <a16:creationId xmlns:a16="http://schemas.microsoft.com/office/drawing/2014/main" id="{EC8D37F1-E611-408C-A5D3-99608C93332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1" name="AutoShape 4">
          <a:extLst>
            <a:ext uri="{FF2B5EF4-FFF2-40B4-BE49-F238E27FC236}">
              <a16:creationId xmlns:a16="http://schemas.microsoft.com/office/drawing/2014/main" id="{9600AD0B-811D-4D16-B128-3D31450451E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2" name="AutoShape 2">
          <a:extLst>
            <a:ext uri="{FF2B5EF4-FFF2-40B4-BE49-F238E27FC236}">
              <a16:creationId xmlns:a16="http://schemas.microsoft.com/office/drawing/2014/main" id="{45BE9493-931C-45E6-8C33-109C112BC92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3" name="AutoShape 6">
          <a:extLst>
            <a:ext uri="{FF2B5EF4-FFF2-40B4-BE49-F238E27FC236}">
              <a16:creationId xmlns:a16="http://schemas.microsoft.com/office/drawing/2014/main" id="{3CBF4E9F-463A-48BA-A32D-32984BB7A2D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4" name="AutoShape 4">
          <a:extLst>
            <a:ext uri="{FF2B5EF4-FFF2-40B4-BE49-F238E27FC236}">
              <a16:creationId xmlns:a16="http://schemas.microsoft.com/office/drawing/2014/main" id="{2065F1AC-725C-478C-B324-6001252FD15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434340</xdr:colOff>
      <xdr:row>33</xdr:row>
      <xdr:rowOff>0</xdr:rowOff>
    </xdr:to>
    <xdr:sp macro="" textlink="">
      <xdr:nvSpPr>
        <xdr:cNvPr id="3155" name="AutoShape 2">
          <a:extLst>
            <a:ext uri="{FF2B5EF4-FFF2-40B4-BE49-F238E27FC236}">
              <a16:creationId xmlns:a16="http://schemas.microsoft.com/office/drawing/2014/main" id="{C6C2C74B-E0FF-4B87-A3F9-274F264EC60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56" name="AutoShape 6">
          <a:extLst>
            <a:ext uri="{FF2B5EF4-FFF2-40B4-BE49-F238E27FC236}">
              <a16:creationId xmlns:a16="http://schemas.microsoft.com/office/drawing/2014/main" id="{FA91F185-8493-4DC8-90EC-CEFB6D83F34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57" name="AutoShape 4">
          <a:extLst>
            <a:ext uri="{FF2B5EF4-FFF2-40B4-BE49-F238E27FC236}">
              <a16:creationId xmlns:a16="http://schemas.microsoft.com/office/drawing/2014/main" id="{2952A266-B83A-42DF-9161-47E4940DD8B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58" name="AutoShape 2">
          <a:extLst>
            <a:ext uri="{FF2B5EF4-FFF2-40B4-BE49-F238E27FC236}">
              <a16:creationId xmlns:a16="http://schemas.microsoft.com/office/drawing/2014/main" id="{448F0FDF-1EB5-493B-98B1-09862539221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59" name="AutoShape 6">
          <a:extLst>
            <a:ext uri="{FF2B5EF4-FFF2-40B4-BE49-F238E27FC236}">
              <a16:creationId xmlns:a16="http://schemas.microsoft.com/office/drawing/2014/main" id="{744E9CE1-73DE-4A48-A8C3-0C9503CD8F3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0" name="AutoShape 4">
          <a:extLst>
            <a:ext uri="{FF2B5EF4-FFF2-40B4-BE49-F238E27FC236}">
              <a16:creationId xmlns:a16="http://schemas.microsoft.com/office/drawing/2014/main" id="{8AC4C31C-FF66-410E-B616-FB501320379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1" name="AutoShape 2">
          <a:extLst>
            <a:ext uri="{FF2B5EF4-FFF2-40B4-BE49-F238E27FC236}">
              <a16:creationId xmlns:a16="http://schemas.microsoft.com/office/drawing/2014/main" id="{688A7F52-A334-41A6-BABC-949FE5CD54C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2" name="AutoShape 6">
          <a:extLst>
            <a:ext uri="{FF2B5EF4-FFF2-40B4-BE49-F238E27FC236}">
              <a16:creationId xmlns:a16="http://schemas.microsoft.com/office/drawing/2014/main" id="{AE371A37-A36B-4D1E-91EA-618F3EF1A21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3" name="AutoShape 4">
          <a:extLst>
            <a:ext uri="{FF2B5EF4-FFF2-40B4-BE49-F238E27FC236}">
              <a16:creationId xmlns:a16="http://schemas.microsoft.com/office/drawing/2014/main" id="{CF4D01A8-59B3-42A3-8ACA-509C5968028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4" name="AutoShape 2">
          <a:extLst>
            <a:ext uri="{FF2B5EF4-FFF2-40B4-BE49-F238E27FC236}">
              <a16:creationId xmlns:a16="http://schemas.microsoft.com/office/drawing/2014/main" id="{123BE36B-32DC-4628-9FED-78B9D6EF15F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5" name="AutoShape 6">
          <a:extLst>
            <a:ext uri="{FF2B5EF4-FFF2-40B4-BE49-F238E27FC236}">
              <a16:creationId xmlns:a16="http://schemas.microsoft.com/office/drawing/2014/main" id="{FC8B729E-786B-44CB-99ED-5B77863CF93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6" name="AutoShape 4">
          <a:extLst>
            <a:ext uri="{FF2B5EF4-FFF2-40B4-BE49-F238E27FC236}">
              <a16:creationId xmlns:a16="http://schemas.microsoft.com/office/drawing/2014/main" id="{8DC00C90-5E6B-4FD9-A60D-2FD6CE05337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7" name="AutoShape 2">
          <a:extLst>
            <a:ext uri="{FF2B5EF4-FFF2-40B4-BE49-F238E27FC236}">
              <a16:creationId xmlns:a16="http://schemas.microsoft.com/office/drawing/2014/main" id="{7B8FCFBB-6697-49D8-9AE5-36E72308096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8" name="AutoShape 6">
          <a:extLst>
            <a:ext uri="{FF2B5EF4-FFF2-40B4-BE49-F238E27FC236}">
              <a16:creationId xmlns:a16="http://schemas.microsoft.com/office/drawing/2014/main" id="{22687055-BD90-42E1-95D6-B5369A90831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69" name="AutoShape 4">
          <a:extLst>
            <a:ext uri="{FF2B5EF4-FFF2-40B4-BE49-F238E27FC236}">
              <a16:creationId xmlns:a16="http://schemas.microsoft.com/office/drawing/2014/main" id="{09E78A00-8F58-4291-B742-9FA3D7E4B32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0" name="AutoShape 2">
          <a:extLst>
            <a:ext uri="{FF2B5EF4-FFF2-40B4-BE49-F238E27FC236}">
              <a16:creationId xmlns:a16="http://schemas.microsoft.com/office/drawing/2014/main" id="{08E580A8-27F0-4D18-90F8-89C4E5F75EC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1" name="AutoShape 6">
          <a:extLst>
            <a:ext uri="{FF2B5EF4-FFF2-40B4-BE49-F238E27FC236}">
              <a16:creationId xmlns:a16="http://schemas.microsoft.com/office/drawing/2014/main" id="{5AD1BF06-A2B2-4D9F-9A57-C379F8F8A32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2" name="AutoShape 4">
          <a:extLst>
            <a:ext uri="{FF2B5EF4-FFF2-40B4-BE49-F238E27FC236}">
              <a16:creationId xmlns:a16="http://schemas.microsoft.com/office/drawing/2014/main" id="{B7DF6145-0867-4C4E-9D79-7F5F3C73731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3" name="AutoShape 2">
          <a:extLst>
            <a:ext uri="{FF2B5EF4-FFF2-40B4-BE49-F238E27FC236}">
              <a16:creationId xmlns:a16="http://schemas.microsoft.com/office/drawing/2014/main" id="{CB10B1EE-A8D9-4D31-9484-F6B161CB79F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4" name="AutoShape 6">
          <a:extLst>
            <a:ext uri="{FF2B5EF4-FFF2-40B4-BE49-F238E27FC236}">
              <a16:creationId xmlns:a16="http://schemas.microsoft.com/office/drawing/2014/main" id="{A15C0F9B-00E4-4A60-8F7F-35757A6FAA0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5" name="AutoShape 4">
          <a:extLst>
            <a:ext uri="{FF2B5EF4-FFF2-40B4-BE49-F238E27FC236}">
              <a16:creationId xmlns:a16="http://schemas.microsoft.com/office/drawing/2014/main" id="{9DDA1199-927B-4989-80D3-D6ADE2B8C26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33</xdr:row>
      <xdr:rowOff>0</xdr:rowOff>
    </xdr:to>
    <xdr:sp macro="" textlink="">
      <xdr:nvSpPr>
        <xdr:cNvPr id="3176" name="AutoShape 2">
          <a:extLst>
            <a:ext uri="{FF2B5EF4-FFF2-40B4-BE49-F238E27FC236}">
              <a16:creationId xmlns:a16="http://schemas.microsoft.com/office/drawing/2014/main" id="{4BDE2D9F-D634-4E98-AB73-6CF9AA8332D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nl\Data%20-%20Q-schijf%20op%20Fil08\EK\MEI_IDE\Programma%20SDE\MSK%20SDE%202010-2014\uitvoering%20MSK\In%20uitvoering\Lijst%20nov.%202013\SDE1103715%20ZON%20MSK%20berekening%20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erblad"/>
      <sheetName val="Overzicht MSK toets"/>
      <sheetName val="Hulpberekeningen 1"/>
      <sheetName val="Hulpberekeningen 2"/>
      <sheetName val="Stamblad"/>
      <sheetName val="Toelichting"/>
      <sheetName val="exploitatieoverzicht wind"/>
      <sheetName val="Afwijking van gegevens aanvrag."/>
      <sheetName val="Rendement geinv. vermogen"/>
      <sheetName val="VAMIL voordeel"/>
      <sheetName val="Invoerblad  bij lease"/>
      <sheetName val="exploitatieoverzicht Biomassa"/>
    </sheetNames>
    <sheetDataSet>
      <sheetData sheetId="0">
        <row r="13">
          <cell r="E13">
            <v>3.6999999999999998E-2</v>
          </cell>
        </row>
      </sheetData>
      <sheetData sheetId="1" refreshError="1"/>
      <sheetData sheetId="2" refreshError="1"/>
      <sheetData sheetId="3" refreshError="1"/>
      <sheetData sheetId="4">
        <row r="9">
          <cell r="B9" t="str">
            <v>Zon-PV Groot 2011</v>
          </cell>
        </row>
        <row r="10">
          <cell r="B10" t="str">
            <v>Zon-PV Groot 2012</v>
          </cell>
        </row>
        <row r="11">
          <cell r="B11" t="str">
            <v>Zon-PV Groot 2013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competition-policy.ec.europa.eu/state-aid/legislation/reference-discount-rates-and-recovery-interest-rates/reference-and-discount-rates_en"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50"/>
  <sheetViews>
    <sheetView showGridLines="0" tabSelected="1" topLeftCell="A82" zoomScale="80" zoomScaleNormal="80" zoomScaleSheetLayoutView="75" workbookViewId="0">
      <selection activeCell="E23" sqref="E23"/>
    </sheetView>
  </sheetViews>
  <sheetFormatPr defaultRowHeight="12.75" zeroHeight="1" x14ac:dyDescent="0.2"/>
  <cols>
    <col min="1" max="1" width="13" style="1" customWidth="1"/>
    <col min="2" max="2" width="62.5" customWidth="1"/>
    <col min="3" max="3" width="29.33203125" customWidth="1"/>
    <col min="4" max="4" width="10" customWidth="1"/>
    <col min="5" max="5" width="46.1640625" customWidth="1"/>
    <col min="6" max="6" width="21.1640625" bestFit="1" customWidth="1"/>
    <col min="7" max="7" width="5.6640625" style="2" bestFit="1" customWidth="1"/>
    <col min="8" max="8" width="52" customWidth="1"/>
    <col min="9" max="9" width="24.83203125" style="3" customWidth="1"/>
    <col min="10" max="10" width="15.33203125" style="3" customWidth="1"/>
    <col min="11" max="11" width="17.5" customWidth="1"/>
    <col min="12" max="28" width="17" customWidth="1"/>
  </cols>
  <sheetData>
    <row r="1" spans="1:28" s="3" customFormat="1" ht="25.5" x14ac:dyDescent="0.35">
      <c r="A1" s="4" t="s">
        <v>0</v>
      </c>
      <c r="B1"/>
      <c r="G1" s="2"/>
      <c r="H1" s="396" t="s">
        <v>449</v>
      </c>
    </row>
    <row r="2" spans="1:28" s="3" customFormat="1" x14ac:dyDescent="0.2">
      <c r="A2" s="132"/>
      <c r="G2" s="2"/>
    </row>
    <row r="3" spans="1:28" s="3" customFormat="1" x14ac:dyDescent="0.2">
      <c r="A3" s="697" t="s">
        <v>299</v>
      </c>
      <c r="B3" s="698"/>
      <c r="C3" s="698"/>
      <c r="D3" s="699"/>
      <c r="E3" s="700"/>
      <c r="G3" s="2"/>
      <c r="H3" s="5" t="s">
        <v>1</v>
      </c>
      <c r="I3" s="318"/>
    </row>
    <row r="4" spans="1:28" s="3" customFormat="1" x14ac:dyDescent="0.2">
      <c r="A4" s="701"/>
      <c r="B4" s="702"/>
      <c r="C4" s="702"/>
      <c r="D4" s="703"/>
      <c r="E4" s="704"/>
      <c r="G4" s="2"/>
      <c r="H4" s="5"/>
      <c r="I4" s="318"/>
    </row>
    <row r="5" spans="1:28" ht="24" customHeight="1" x14ac:dyDescent="0.2">
      <c r="A5" s="701"/>
      <c r="B5" s="702"/>
      <c r="C5" s="702"/>
      <c r="D5" s="703"/>
      <c r="E5" s="704"/>
      <c r="H5" s="5" t="s">
        <v>2</v>
      </c>
      <c r="I5" s="5"/>
      <c r="J5" s="6"/>
      <c r="M5" s="326"/>
      <c r="N5" s="512"/>
      <c r="O5" s="326"/>
      <c r="P5" s="326"/>
      <c r="Q5" s="326"/>
    </row>
    <row r="6" spans="1:28" s="3" customFormat="1" ht="15.75" customHeight="1" x14ac:dyDescent="0.35">
      <c r="A6" s="705"/>
      <c r="B6" s="706"/>
      <c r="C6" s="706"/>
      <c r="D6" s="706"/>
      <c r="E6" s="707"/>
      <c r="G6" s="2"/>
      <c r="H6" s="15" t="s">
        <v>4</v>
      </c>
      <c r="I6" s="15"/>
      <c r="J6" s="156"/>
      <c r="L6" s="396"/>
      <c r="M6" s="326"/>
      <c r="N6" s="326"/>
      <c r="O6" s="326"/>
      <c r="P6" s="326"/>
      <c r="Q6" s="326"/>
    </row>
    <row r="7" spans="1:28" ht="24.75" customHeight="1" x14ac:dyDescent="0.2">
      <c r="L7" s="7"/>
      <c r="M7" s="8"/>
      <c r="N7" s="9"/>
    </row>
    <row r="8" spans="1:28" ht="14.25" x14ac:dyDescent="0.2">
      <c r="B8" s="10" t="s">
        <v>3</v>
      </c>
      <c r="C8" s="11"/>
      <c r="D8" s="11"/>
      <c r="E8" s="12"/>
      <c r="F8" s="13"/>
      <c r="G8" s="14"/>
      <c r="J8" s="16"/>
      <c r="K8" s="17"/>
      <c r="L8" s="18"/>
      <c r="M8" s="9"/>
      <c r="N8" s="19"/>
    </row>
    <row r="9" spans="1:28" ht="15.75" x14ac:dyDescent="0.25">
      <c r="B9" s="20" t="s">
        <v>5</v>
      </c>
      <c r="C9" s="21"/>
      <c r="D9" s="21"/>
      <c r="E9" s="21"/>
      <c r="F9" s="22"/>
      <c r="G9" s="23"/>
      <c r="H9" s="22"/>
      <c r="I9" s="24"/>
      <c r="J9" s="25"/>
      <c r="L9" s="26"/>
      <c r="M9" s="27"/>
      <c r="N9" s="27"/>
    </row>
    <row r="10" spans="1:28" ht="14.25" x14ac:dyDescent="0.2">
      <c r="A10" s="28" t="s">
        <v>6</v>
      </c>
      <c r="B10" s="21"/>
      <c r="C10" s="21"/>
      <c r="D10" s="21"/>
      <c r="E10" s="21"/>
      <c r="F10" s="22"/>
      <c r="G10" s="23"/>
      <c r="H10" s="22"/>
      <c r="I10" s="29" t="s">
        <v>7</v>
      </c>
      <c r="J10" s="25"/>
      <c r="K10" s="3"/>
      <c r="L10" s="30"/>
      <c r="M10" s="3"/>
      <c r="N10" s="27"/>
      <c r="O10" s="3"/>
    </row>
    <row r="11" spans="1:28" ht="14.25" x14ac:dyDescent="0.2">
      <c r="B11" s="21"/>
      <c r="C11" s="21"/>
      <c r="D11" s="21"/>
      <c r="E11" s="21"/>
      <c r="F11" s="22"/>
      <c r="G11" s="23"/>
      <c r="H11" s="22"/>
      <c r="I11" s="29" t="s">
        <v>8</v>
      </c>
      <c r="J11" s="25"/>
      <c r="L11" s="31"/>
      <c r="M11" s="3"/>
      <c r="N11" s="27"/>
      <c r="O11" s="3"/>
    </row>
    <row r="12" spans="1:28" ht="15.75" customHeight="1" thickBot="1" x14ac:dyDescent="0.3">
      <c r="B12" s="21" t="s">
        <v>9</v>
      </c>
      <c r="C12" s="21"/>
      <c r="D12" s="21"/>
      <c r="E12" s="21"/>
      <c r="F12" s="22"/>
      <c r="G12" s="23"/>
      <c r="H12" s="22"/>
      <c r="I12" s="24"/>
      <c r="J12" s="25"/>
      <c r="L12" s="31"/>
      <c r="M12" s="3"/>
      <c r="N12" s="27"/>
      <c r="O12" s="3"/>
    </row>
    <row r="13" spans="1:28" ht="15.75" thickBot="1" x14ac:dyDescent="0.3">
      <c r="A13" s="1">
        <v>1</v>
      </c>
      <c r="B13" s="32" t="s">
        <v>10</v>
      </c>
      <c r="C13" s="33"/>
      <c r="D13" s="21"/>
      <c r="E13" s="317" t="s">
        <v>275</v>
      </c>
      <c r="F13" s="22"/>
      <c r="G13" s="35" t="s">
        <v>11</v>
      </c>
      <c r="H13" s="22"/>
      <c r="I13" s="36"/>
      <c r="J13" s="25"/>
      <c r="K13" s="29"/>
      <c r="L13" s="30"/>
      <c r="M13" s="265"/>
      <c r="N13" s="27"/>
      <c r="O13" s="3"/>
      <c r="P13" s="3"/>
      <c r="Q13" s="3"/>
      <c r="R13" s="3"/>
      <c r="S13" s="3"/>
      <c r="T13" s="3"/>
      <c r="U13" s="3"/>
      <c r="V13" s="3"/>
      <c r="W13" s="3"/>
    </row>
    <row r="14" spans="1:28" ht="35.1" customHeight="1" thickBot="1" x14ac:dyDescent="0.3">
      <c r="A14" s="373">
        <v>2</v>
      </c>
      <c r="B14" s="371" t="s">
        <v>12</v>
      </c>
      <c r="C14" s="372"/>
      <c r="D14" s="21"/>
      <c r="E14" s="374" t="s">
        <v>458</v>
      </c>
      <c r="F14" s="22"/>
      <c r="G14" s="35"/>
      <c r="H14" s="22"/>
      <c r="I14" s="36"/>
      <c r="J14" s="25"/>
      <c r="K14" s="29"/>
      <c r="L14" s="30"/>
      <c r="M14" s="3"/>
      <c r="N14" s="27"/>
      <c r="O14" s="3"/>
      <c r="P14" s="3"/>
      <c r="Q14" s="3"/>
      <c r="R14" s="3"/>
      <c r="S14" s="3"/>
      <c r="T14" s="3"/>
      <c r="U14" s="3"/>
      <c r="V14" s="3"/>
      <c r="W14" s="3"/>
    </row>
    <row r="15" spans="1:28" ht="15.75" thickBot="1" x14ac:dyDescent="0.3">
      <c r="B15" s="270"/>
      <c r="C15" s="271"/>
      <c r="D15" s="21"/>
      <c r="E15" s="37"/>
      <c r="F15" s="22"/>
      <c r="G15" s="35"/>
      <c r="H15" s="22"/>
      <c r="I15" s="38"/>
      <c r="J15" s="24"/>
      <c r="AB15" s="9"/>
    </row>
    <row r="16" spans="1:28" ht="15.75" thickBot="1" x14ac:dyDescent="0.3">
      <c r="A16" s="1">
        <v>5</v>
      </c>
      <c r="B16" s="39" t="s">
        <v>13</v>
      </c>
      <c r="C16" s="40" t="s">
        <v>14</v>
      </c>
      <c r="D16" s="21"/>
      <c r="E16" s="34">
        <v>1</v>
      </c>
      <c r="F16" s="41"/>
      <c r="G16" s="35" t="s">
        <v>11</v>
      </c>
      <c r="H16" s="42"/>
      <c r="I16" s="38"/>
      <c r="J16" s="24"/>
      <c r="AB16" s="9"/>
    </row>
    <row r="17" spans="1:28" ht="15.75" thickBot="1" x14ac:dyDescent="0.3">
      <c r="A17" s="43" t="s">
        <v>15</v>
      </c>
      <c r="B17" s="39" t="s">
        <v>16</v>
      </c>
      <c r="C17" s="40" t="s">
        <v>14</v>
      </c>
      <c r="D17" s="21"/>
      <c r="E17" s="34">
        <v>1</v>
      </c>
      <c r="F17" s="41"/>
      <c r="G17" s="35" t="s">
        <v>11</v>
      </c>
      <c r="H17" s="42"/>
      <c r="I17" s="38"/>
      <c r="J17" s="24"/>
      <c r="K17">
        <v>1</v>
      </c>
      <c r="L17">
        <v>2</v>
      </c>
      <c r="M17">
        <v>3</v>
      </c>
      <c r="N17">
        <v>4</v>
      </c>
      <c r="O17">
        <v>5</v>
      </c>
      <c r="P17">
        <v>6</v>
      </c>
      <c r="Q17">
        <v>7</v>
      </c>
      <c r="R17">
        <v>8</v>
      </c>
      <c r="S17">
        <v>9</v>
      </c>
      <c r="T17">
        <v>10</v>
      </c>
      <c r="U17">
        <v>11</v>
      </c>
      <c r="V17">
        <v>12</v>
      </c>
      <c r="W17">
        <v>13</v>
      </c>
      <c r="X17">
        <v>14</v>
      </c>
      <c r="Y17">
        <v>15</v>
      </c>
      <c r="Z17">
        <v>16</v>
      </c>
      <c r="AA17">
        <v>17</v>
      </c>
      <c r="AB17" s="9"/>
    </row>
    <row r="18" spans="1:28" ht="15.75" thickBot="1" x14ac:dyDescent="0.3">
      <c r="A18" s="1">
        <v>6</v>
      </c>
      <c r="B18" s="32" t="s">
        <v>17</v>
      </c>
      <c r="C18" s="33"/>
      <c r="D18" s="21"/>
      <c r="E18" s="44">
        <v>15</v>
      </c>
      <c r="F18" s="45"/>
      <c r="G18" s="46"/>
      <c r="H18" s="42"/>
      <c r="I18" s="38"/>
      <c r="J18" s="24"/>
      <c r="K18" s="104">
        <f>IF(ISBLANK('Hulpberekeningen 1'!$E$4),1,'Hulpberekeningen 1'!$E$4)</f>
        <v>2021</v>
      </c>
      <c r="L18" s="31">
        <f t="shared" ref="L18:AA18" si="0">+K18+1</f>
        <v>2022</v>
      </c>
      <c r="M18" s="31">
        <f t="shared" si="0"/>
        <v>2023</v>
      </c>
      <c r="N18" s="31">
        <f t="shared" si="0"/>
        <v>2024</v>
      </c>
      <c r="O18" s="31">
        <f t="shared" si="0"/>
        <v>2025</v>
      </c>
      <c r="P18" s="31">
        <f t="shared" si="0"/>
        <v>2026</v>
      </c>
      <c r="Q18" s="31">
        <f t="shared" si="0"/>
        <v>2027</v>
      </c>
      <c r="R18" s="31">
        <f t="shared" si="0"/>
        <v>2028</v>
      </c>
      <c r="S18" s="31">
        <f t="shared" si="0"/>
        <v>2029</v>
      </c>
      <c r="T18" s="31">
        <f t="shared" si="0"/>
        <v>2030</v>
      </c>
      <c r="U18" s="31">
        <f t="shared" si="0"/>
        <v>2031</v>
      </c>
      <c r="V18" s="31">
        <f t="shared" si="0"/>
        <v>2032</v>
      </c>
      <c r="W18" s="31">
        <f t="shared" si="0"/>
        <v>2033</v>
      </c>
      <c r="X18" s="31">
        <f t="shared" si="0"/>
        <v>2034</v>
      </c>
      <c r="Y18" s="31">
        <f t="shared" si="0"/>
        <v>2035</v>
      </c>
      <c r="Z18" s="31">
        <f t="shared" si="0"/>
        <v>2036</v>
      </c>
      <c r="AA18" s="31">
        <f t="shared" si="0"/>
        <v>2037</v>
      </c>
      <c r="AB18" s="47"/>
    </row>
    <row r="19" spans="1:28" ht="15.75" thickBot="1" x14ac:dyDescent="0.3">
      <c r="A19" s="1">
        <v>7</v>
      </c>
      <c r="B19" s="148" t="s">
        <v>463</v>
      </c>
      <c r="C19" s="33"/>
      <c r="D19" s="21"/>
      <c r="E19" s="696">
        <v>2000</v>
      </c>
      <c r="F19" s="48"/>
      <c r="G19" s="46"/>
      <c r="H19" s="497"/>
      <c r="I19" s="471"/>
      <c r="J19" s="25"/>
      <c r="K19" s="670">
        <f>IF(YEAR($E$32)&gt;K18,0,
IF(K22&gt;0,K22/$E$16,
IF(AND(YEAR($E$32)=K18,$E$32&gt;$E$33),(1-(MONTH($E$32)-1)/12)*$E$19,
+$E$19*'Hulpberekeningen 1'!E24)))</f>
        <v>500</v>
      </c>
      <c r="L19" s="670">
        <f>IF(YEAR($E$32)&gt;L18,0,
IF(L22&gt;0,L22/$E$16,
IF(AND(YEAR($E$32)=L18,$E$32&gt;$E$33),(1-(MONTH($E$32)-1)/12)*$E$19,
+$E$19*'Hulpberekeningen 1'!F24)))</f>
        <v>2000</v>
      </c>
      <c r="M19" s="670">
        <f>IF(YEAR($E$32)&gt;M18,0,
IF(M22&gt;0,M22/$E$16,
IF(AND(YEAR($E$32)=M18,$E$32&gt;$E$33),(1-(MONTH($E$32)-1)/12)*$E$19,
+$E$19*'Hulpberekeningen 1'!G24)))</f>
        <v>2000</v>
      </c>
      <c r="N19" s="670">
        <f>IF(N22&gt;0,N22/$E$16,+$E$19*'Hulpberekeningen 1'!H24)</f>
        <v>2000</v>
      </c>
      <c r="O19" s="670">
        <f>IF(O22&gt;0,O22/$E$16,+$E$19*'Hulpberekeningen 1'!I24)</f>
        <v>2000</v>
      </c>
      <c r="P19" s="670">
        <f>IF(P22&gt;0,P22/$E$16,+$E$19*'Hulpberekeningen 1'!J24)</f>
        <v>2000</v>
      </c>
      <c r="Q19" s="670">
        <f>IF(Q22&gt;0,Q22/$E$16,+$E$19*'Hulpberekeningen 1'!K24)</f>
        <v>2000</v>
      </c>
      <c r="R19" s="670">
        <f>IF(R22&gt;0,R22/$E$16,+$E$19*'Hulpberekeningen 1'!L24)</f>
        <v>2000</v>
      </c>
      <c r="S19" s="670">
        <f>IF(S22&gt;0,S22/$E$16,+$E$19*'Hulpberekeningen 1'!M24)</f>
        <v>2000</v>
      </c>
      <c r="T19" s="670">
        <f>IF(T22&gt;0,T22/$E$16,+$E$19*'Hulpberekeningen 1'!N24)</f>
        <v>2000</v>
      </c>
      <c r="U19" s="670">
        <f>IF(U22&gt;0,U22/$E$16,+$E$19*'Hulpberekeningen 1'!O24)</f>
        <v>2000</v>
      </c>
      <c r="V19" s="670">
        <f>IF(V22&gt;0,V22/$E$16,+$E$19*'Hulpberekeningen 1'!P24)</f>
        <v>2000</v>
      </c>
      <c r="W19" s="670">
        <f>IF(W22&gt;0,W22/$E$16,+$E$19*'Hulpberekeningen 1'!Q24)</f>
        <v>2000</v>
      </c>
      <c r="X19" s="670">
        <f>IF(X22&gt;0,X22/$E$16,+$E$19*'Hulpberekeningen 1'!R24)</f>
        <v>2000</v>
      </c>
      <c r="Y19" s="670">
        <f>IF(Y22&gt;0,Y22/$E$16,+$E$19*'Hulpberekeningen 1'!S24)</f>
        <v>2000</v>
      </c>
      <c r="Z19" s="670">
        <f>IF(Z22&gt;0,
MIN($E$20*15-(SUM(K25:Y25)/E17+SUM(K26:Y26)/E17+SUM(K27:Y27)/E17),Z22/$E$17)*$E$19/$E$20,
MIN($E$20*15-(SUM(K25:Y25)/E17+SUM(K26:Y26)/E17+SUM(K27:Y27)/E17),$E$19)*$E$19/$E$20)</f>
        <v>1500</v>
      </c>
      <c r="AA19" s="670">
        <f>IF(A22&gt;0,MIN(AA22,'hulpberekeningen 2'!T11*'hulpberekeningen 2'!B4/'hulpberekeningen 2'!B3),'hulpberekeningen 2'!T11*'hulpberekeningen 2'!B4/'hulpberekeningen 2'!B3)</f>
        <v>0</v>
      </c>
      <c r="AB19" s="49"/>
    </row>
    <row r="20" spans="1:28" ht="15.75" customHeight="1" thickBot="1" x14ac:dyDescent="0.3">
      <c r="A20" s="43" t="s">
        <v>18</v>
      </c>
      <c r="B20" s="148" t="s">
        <v>462</v>
      </c>
      <c r="C20" s="54"/>
      <c r="D20" s="21"/>
      <c r="E20" s="696">
        <v>2000</v>
      </c>
      <c r="F20" s="131"/>
      <c r="G20" s="46"/>
      <c r="H20" s="660" t="s">
        <v>339</v>
      </c>
      <c r="I20" s="498">
        <f>E18*E20</f>
        <v>30000</v>
      </c>
      <c r="J20" s="25"/>
      <c r="K20" s="671">
        <f>'hulpberekeningen 2'!D7</f>
        <v>500</v>
      </c>
      <c r="L20" s="671">
        <f>'hulpberekeningen 2'!E7</f>
        <v>2000</v>
      </c>
      <c r="M20" s="671">
        <f>'hulpberekeningen 2'!F7</f>
        <v>2000</v>
      </c>
      <c r="N20" s="671">
        <f>'hulpberekeningen 2'!G7</f>
        <v>2000</v>
      </c>
      <c r="O20" s="671">
        <f>'hulpberekeningen 2'!H7</f>
        <v>2000</v>
      </c>
      <c r="P20" s="671">
        <f>'hulpberekeningen 2'!I7</f>
        <v>2000</v>
      </c>
      <c r="Q20" s="671">
        <f>'hulpberekeningen 2'!J7</f>
        <v>2000</v>
      </c>
      <c r="R20" s="671">
        <f>'hulpberekeningen 2'!K7</f>
        <v>2000</v>
      </c>
      <c r="S20" s="671">
        <f>'hulpberekeningen 2'!L7</f>
        <v>2000</v>
      </c>
      <c r="T20" s="671">
        <f>'hulpberekeningen 2'!M7</f>
        <v>2000</v>
      </c>
      <c r="U20" s="671">
        <f>'hulpberekeningen 2'!N7</f>
        <v>2000</v>
      </c>
      <c r="V20" s="671">
        <f>'hulpberekeningen 2'!O7</f>
        <v>2000</v>
      </c>
      <c r="W20" s="671">
        <f>'hulpberekeningen 2'!P7</f>
        <v>2000</v>
      </c>
      <c r="X20" s="671">
        <f>'hulpberekeningen 2'!Q7</f>
        <v>2000</v>
      </c>
      <c r="Y20" s="671">
        <f>'hulpberekeningen 2'!R7</f>
        <v>2000</v>
      </c>
      <c r="Z20" s="671">
        <f>'hulpberekeningen 2'!S7</f>
        <v>1500</v>
      </c>
      <c r="AA20" s="671">
        <f>'hulpberekeningen 2'!T7</f>
        <v>0</v>
      </c>
      <c r="AB20" s="49"/>
    </row>
    <row r="21" spans="1:28" s="3" customFormat="1" ht="15.75" customHeight="1" thickBot="1" x14ac:dyDescent="0.3">
      <c r="A21" s="147"/>
      <c r="B21" s="64"/>
      <c r="C21" s="64"/>
      <c r="D21" s="25"/>
      <c r="E21" s="483"/>
      <c r="F21" s="57"/>
      <c r="G21" s="46"/>
      <c r="H21" s="661"/>
      <c r="I21" s="320"/>
      <c r="J21" s="25"/>
      <c r="K21" s="482"/>
      <c r="L21" s="482"/>
      <c r="M21" s="482"/>
      <c r="N21" s="482"/>
      <c r="O21" s="482"/>
      <c r="P21" s="482"/>
      <c r="Q21" s="482"/>
      <c r="R21" s="482"/>
      <c r="S21" s="482"/>
      <c r="T21" s="482"/>
      <c r="U21" s="482"/>
      <c r="V21" s="482"/>
      <c r="W21" s="482"/>
      <c r="X21" s="482"/>
      <c r="Y21" s="482"/>
      <c r="Z21" s="482"/>
      <c r="AA21" s="482"/>
      <c r="AB21" s="49"/>
    </row>
    <row r="22" spans="1:28" s="3" customFormat="1" ht="15.75" customHeight="1" thickBot="1" x14ac:dyDescent="0.3">
      <c r="A22" s="147"/>
      <c r="B22" s="10" t="s">
        <v>332</v>
      </c>
      <c r="C22" s="473"/>
      <c r="D22" s="25"/>
      <c r="E22" s="483"/>
      <c r="F22" s="57"/>
      <c r="G22" s="46"/>
      <c r="H22" s="660" t="s">
        <v>334</v>
      </c>
      <c r="I22" s="495">
        <f t="shared" ref="I22" si="1">SUM(K22:AA22)</f>
        <v>0</v>
      </c>
      <c r="J22" s="321"/>
      <c r="K22" s="665">
        <v>0</v>
      </c>
      <c r="L22" s="665">
        <v>0</v>
      </c>
      <c r="M22" s="665">
        <v>0</v>
      </c>
      <c r="N22" s="665">
        <v>0</v>
      </c>
      <c r="O22" s="665">
        <v>0</v>
      </c>
      <c r="P22" s="665">
        <v>0</v>
      </c>
      <c r="Q22" s="665">
        <v>0</v>
      </c>
      <c r="R22" s="665">
        <v>0</v>
      </c>
      <c r="S22" s="665">
        <v>0</v>
      </c>
      <c r="T22" s="665">
        <v>0</v>
      </c>
      <c r="U22" s="665">
        <v>0</v>
      </c>
      <c r="V22" s="665">
        <v>0</v>
      </c>
      <c r="W22" s="665">
        <v>0</v>
      </c>
      <c r="X22" s="665">
        <v>0</v>
      </c>
      <c r="Y22" s="665">
        <v>0</v>
      </c>
      <c r="Z22" s="665">
        <v>0</v>
      </c>
      <c r="AA22" s="665">
        <v>0</v>
      </c>
      <c r="AB22" s="49"/>
    </row>
    <row r="23" spans="1:28" s="3" customFormat="1" ht="15.75" customHeight="1" thickBot="1" x14ac:dyDescent="0.3">
      <c r="A23" s="147"/>
      <c r="B23" s="10"/>
      <c r="C23" s="473"/>
      <c r="D23" s="25"/>
      <c r="E23" s="483"/>
      <c r="F23" s="57"/>
      <c r="G23" s="46"/>
      <c r="H23" s="660"/>
      <c r="I23" s="495"/>
      <c r="J23" s="321"/>
      <c r="K23" s="666"/>
      <c r="L23" s="666"/>
      <c r="M23" s="666"/>
      <c r="N23" s="666"/>
      <c r="O23" s="666"/>
      <c r="P23" s="666"/>
      <c r="Q23" s="666"/>
      <c r="R23" s="666"/>
      <c r="S23" s="666"/>
      <c r="T23" s="666"/>
      <c r="U23" s="666"/>
      <c r="V23" s="666"/>
      <c r="W23" s="666"/>
      <c r="X23" s="666"/>
      <c r="Y23" s="666"/>
      <c r="Z23" s="666"/>
      <c r="AA23" s="666"/>
      <c r="AB23" s="49"/>
    </row>
    <row r="24" spans="1:28" ht="15.75" thickBot="1" x14ac:dyDescent="0.3">
      <c r="A24" s="1">
        <v>8</v>
      </c>
      <c r="B24" s="10" t="s">
        <v>333</v>
      </c>
      <c r="C24" s="54"/>
      <c r="D24" s="21"/>
      <c r="E24" s="55"/>
      <c r="F24" s="51"/>
      <c r="G24" s="35"/>
      <c r="H24" s="658" t="s">
        <v>327</v>
      </c>
      <c r="I24" s="470">
        <f>SUM(K24:AA24)</f>
        <v>30000</v>
      </c>
      <c r="J24" s="25"/>
      <c r="K24" s="667">
        <f>'hulpberekeningen 2'!D16</f>
        <v>500</v>
      </c>
      <c r="L24" s="667">
        <f>'hulpberekeningen 2'!E16</f>
        <v>2000</v>
      </c>
      <c r="M24" s="667">
        <f>'hulpberekeningen 2'!F16</f>
        <v>2000</v>
      </c>
      <c r="N24" s="667">
        <f>'hulpberekeningen 2'!G16</f>
        <v>2000</v>
      </c>
      <c r="O24" s="667">
        <f>'hulpberekeningen 2'!H16</f>
        <v>2000</v>
      </c>
      <c r="P24" s="667">
        <f>'hulpberekeningen 2'!I16</f>
        <v>2000</v>
      </c>
      <c r="Q24" s="667">
        <f>'hulpberekeningen 2'!J16</f>
        <v>2000</v>
      </c>
      <c r="R24" s="667">
        <f>'hulpberekeningen 2'!K16</f>
        <v>2000</v>
      </c>
      <c r="S24" s="667">
        <f>'hulpberekeningen 2'!L16</f>
        <v>2000</v>
      </c>
      <c r="T24" s="667">
        <f>'hulpberekeningen 2'!M16</f>
        <v>2000</v>
      </c>
      <c r="U24" s="667">
        <f>'hulpberekeningen 2'!N16</f>
        <v>2000</v>
      </c>
      <c r="V24" s="667">
        <f>'hulpberekeningen 2'!O16</f>
        <v>2000</v>
      </c>
      <c r="W24" s="667">
        <f>'hulpberekeningen 2'!P16</f>
        <v>2000</v>
      </c>
      <c r="X24" s="667">
        <f>'hulpberekeningen 2'!Q16</f>
        <v>2000</v>
      </c>
      <c r="Y24" s="667">
        <f>'hulpberekeningen 2'!R16</f>
        <v>2000</v>
      </c>
      <c r="Z24" s="667">
        <f>'hulpberekeningen 2'!S16</f>
        <v>1500</v>
      </c>
      <c r="AA24" s="667">
        <f>'hulpberekeningen 2'!T16</f>
        <v>0</v>
      </c>
      <c r="AB24" s="56"/>
    </row>
    <row r="25" spans="1:28" ht="15.75" thickBot="1" x14ac:dyDescent="0.3">
      <c r="A25" s="147" t="s">
        <v>20</v>
      </c>
      <c r="B25" s="10" t="s">
        <v>320</v>
      </c>
      <c r="C25" s="54"/>
      <c r="D25" s="21"/>
      <c r="F25" s="57"/>
      <c r="G25" s="52"/>
      <c r="H25" s="658" t="s">
        <v>328</v>
      </c>
      <c r="I25" s="470">
        <f>SUM(K25:AA25)</f>
        <v>30000</v>
      </c>
      <c r="J25" s="499"/>
      <c r="K25" s="668">
        <f>'hulpberekeningen 2'!D18</f>
        <v>500</v>
      </c>
      <c r="L25" s="668">
        <f>'hulpberekeningen 2'!E18</f>
        <v>2000</v>
      </c>
      <c r="M25" s="668">
        <f>'hulpberekeningen 2'!F18</f>
        <v>2000</v>
      </c>
      <c r="N25" s="668">
        <f>'hulpberekeningen 2'!G18</f>
        <v>2000</v>
      </c>
      <c r="O25" s="668">
        <f>'hulpberekeningen 2'!H18</f>
        <v>2000</v>
      </c>
      <c r="P25" s="668">
        <f>'hulpberekeningen 2'!I18</f>
        <v>2000</v>
      </c>
      <c r="Q25" s="668">
        <f>'hulpberekeningen 2'!J18</f>
        <v>2000</v>
      </c>
      <c r="R25" s="668">
        <f>'hulpberekeningen 2'!K18</f>
        <v>2000</v>
      </c>
      <c r="S25" s="668">
        <f>'hulpberekeningen 2'!L18</f>
        <v>2000</v>
      </c>
      <c r="T25" s="668">
        <f>'hulpberekeningen 2'!M18</f>
        <v>2000</v>
      </c>
      <c r="U25" s="668">
        <f>'hulpberekeningen 2'!N18</f>
        <v>2000</v>
      </c>
      <c r="V25" s="668">
        <f>'hulpberekeningen 2'!O18</f>
        <v>2000</v>
      </c>
      <c r="W25" s="668">
        <f>'hulpberekeningen 2'!P18</f>
        <v>2000</v>
      </c>
      <c r="X25" s="668">
        <f>'hulpberekeningen 2'!Q18</f>
        <v>2000</v>
      </c>
      <c r="Y25" s="668">
        <f>'hulpberekeningen 2'!R18</f>
        <v>2000</v>
      </c>
      <c r="Z25" s="668">
        <f>'hulpberekeningen 2'!S18</f>
        <v>1500</v>
      </c>
      <c r="AA25" s="668">
        <f>'hulpberekeningen 2'!T18</f>
        <v>0</v>
      </c>
      <c r="AB25" s="56"/>
    </row>
    <row r="26" spans="1:28" ht="15.75" thickBot="1" x14ac:dyDescent="0.3">
      <c r="B26" s="375" t="s">
        <v>447</v>
      </c>
      <c r="C26" s="662"/>
      <c r="H26" s="659" t="s">
        <v>451</v>
      </c>
      <c r="I26" s="476">
        <f>SUM(K26:AA26)</f>
        <v>0</v>
      </c>
      <c r="K26" s="669"/>
      <c r="L26" s="664">
        <f>'hulpberekeningen 2'!E21</f>
        <v>0</v>
      </c>
      <c r="M26" s="664">
        <f>'hulpberekeningen 2'!F21</f>
        <v>0</v>
      </c>
      <c r="N26" s="664">
        <f>'hulpberekeningen 2'!G21</f>
        <v>0</v>
      </c>
      <c r="O26" s="664">
        <f>'hulpberekeningen 2'!H21</f>
        <v>0</v>
      </c>
      <c r="P26" s="664">
        <f>'hulpberekeningen 2'!I21</f>
        <v>0</v>
      </c>
      <c r="Q26" s="664">
        <f>'hulpberekeningen 2'!J21</f>
        <v>0</v>
      </c>
      <c r="R26" s="664">
        <f>'hulpberekeningen 2'!K21</f>
        <v>0</v>
      </c>
      <c r="S26" s="664">
        <f>'hulpberekeningen 2'!L21</f>
        <v>0</v>
      </c>
      <c r="T26" s="664">
        <f>'hulpberekeningen 2'!M21</f>
        <v>0</v>
      </c>
      <c r="U26" s="664">
        <f>'hulpberekeningen 2'!N21</f>
        <v>0</v>
      </c>
      <c r="V26" s="664">
        <f>'hulpberekeningen 2'!O21</f>
        <v>0</v>
      </c>
      <c r="W26" s="664">
        <f>'hulpberekeningen 2'!P21</f>
        <v>0</v>
      </c>
      <c r="X26" s="664">
        <f>'hulpberekeningen 2'!Q21</f>
        <v>0</v>
      </c>
      <c r="Y26" s="664">
        <f>'hulpberekeningen 2'!R21</f>
        <v>0</v>
      </c>
      <c r="Z26" s="664">
        <f>'hulpberekeningen 2'!S21</f>
        <v>0</v>
      </c>
      <c r="AA26" s="664">
        <f>'hulpberekeningen 2'!T21</f>
        <v>0</v>
      </c>
      <c r="AB26" s="663"/>
    </row>
    <row r="27" spans="1:28" s="3" customFormat="1" ht="15.75" thickBot="1" x14ac:dyDescent="0.3">
      <c r="A27" s="132"/>
      <c r="B27" s="375" t="s">
        <v>450</v>
      </c>
      <c r="C27" s="662"/>
      <c r="G27" s="2"/>
      <c r="H27" s="659" t="s">
        <v>452</v>
      </c>
      <c r="I27" s="476">
        <f>SUM(K27:AA27)</f>
        <v>0</v>
      </c>
      <c r="K27" s="669"/>
      <c r="L27" s="664">
        <f>'hulpberekeningen 2'!E22</f>
        <v>0</v>
      </c>
      <c r="M27" s="664">
        <f>'hulpberekeningen 2'!F22</f>
        <v>0</v>
      </c>
      <c r="N27" s="664">
        <f>'hulpberekeningen 2'!G22</f>
        <v>0</v>
      </c>
      <c r="O27" s="664">
        <f>'hulpberekeningen 2'!H22</f>
        <v>0</v>
      </c>
      <c r="P27" s="664">
        <f>'hulpberekeningen 2'!I22</f>
        <v>0</v>
      </c>
      <c r="Q27" s="664">
        <f>'hulpberekeningen 2'!J22</f>
        <v>0</v>
      </c>
      <c r="R27" s="664">
        <f>'hulpberekeningen 2'!K22</f>
        <v>0</v>
      </c>
      <c r="S27" s="664">
        <f>'hulpberekeningen 2'!L22</f>
        <v>0</v>
      </c>
      <c r="T27" s="664">
        <f>'hulpberekeningen 2'!M22</f>
        <v>0</v>
      </c>
      <c r="U27" s="664">
        <f>'hulpberekeningen 2'!N22</f>
        <v>0</v>
      </c>
      <c r="V27" s="664">
        <f>'hulpberekeningen 2'!O22</f>
        <v>0</v>
      </c>
      <c r="W27" s="664">
        <f>'hulpberekeningen 2'!P22</f>
        <v>0</v>
      </c>
      <c r="X27" s="664">
        <f>'hulpberekeningen 2'!Q22</f>
        <v>0</v>
      </c>
      <c r="Y27" s="664">
        <f>'hulpberekeningen 2'!R22</f>
        <v>0</v>
      </c>
      <c r="Z27" s="664">
        <f>'hulpberekeningen 2'!S22</f>
        <v>0</v>
      </c>
      <c r="AA27" s="664">
        <f>'hulpberekeningen 2'!T22</f>
        <v>0</v>
      </c>
    </row>
    <row r="28" spans="1:28" ht="14.25" x14ac:dyDescent="0.2">
      <c r="H28" s="321" t="s">
        <v>457</v>
      </c>
      <c r="I28" s="472">
        <f>SUM(I25:I27)</f>
        <v>30000</v>
      </c>
    </row>
    <row r="29" spans="1:28" ht="14.25" hidden="1" x14ac:dyDescent="0.2">
      <c r="H29" s="321" t="s">
        <v>329</v>
      </c>
      <c r="I29" s="472" t="e">
        <f>I25+#REF!</f>
        <v>#REF!</v>
      </c>
    </row>
    <row r="30" spans="1:28" ht="13.5" thickBot="1" x14ac:dyDescent="0.25">
      <c r="AB30" s="135"/>
    </row>
    <row r="31" spans="1:28" ht="15.75" thickBot="1" x14ac:dyDescent="0.3">
      <c r="A31" s="1">
        <v>9</v>
      </c>
      <c r="B31" s="32" t="s">
        <v>21</v>
      </c>
      <c r="C31" s="33"/>
      <c r="D31" s="21"/>
      <c r="E31" s="60">
        <v>43907</v>
      </c>
      <c r="F31" s="61"/>
      <c r="G31" s="35" t="s">
        <v>11</v>
      </c>
      <c r="H31" s="24"/>
      <c r="I31" s="415"/>
      <c r="J31" s="416"/>
      <c r="K31" s="417"/>
      <c r="L31" s="3"/>
      <c r="M31" s="3"/>
      <c r="N31" s="3"/>
      <c r="O31" s="3"/>
      <c r="P31" s="3"/>
      <c r="Q31" s="3"/>
      <c r="R31" s="3"/>
      <c r="S31" s="3"/>
      <c r="T31" s="3"/>
      <c r="U31" s="3"/>
      <c r="V31" s="3"/>
      <c r="W31" s="3"/>
      <c r="X31" s="3"/>
      <c r="Y31" s="3"/>
      <c r="Z31" s="3"/>
      <c r="AA31" s="3"/>
      <c r="AB31" s="27"/>
    </row>
    <row r="32" spans="1:28" ht="15.75" thickBot="1" x14ac:dyDescent="0.3">
      <c r="A32" s="1">
        <v>10</v>
      </c>
      <c r="B32" s="32" t="s">
        <v>22</v>
      </c>
      <c r="C32" s="33"/>
      <c r="D32" s="21"/>
      <c r="E32" s="60">
        <v>44348</v>
      </c>
      <c r="F32" s="62"/>
      <c r="G32" s="35" t="s">
        <v>11</v>
      </c>
      <c r="H32" s="24"/>
      <c r="I32" s="415"/>
      <c r="J32" s="418"/>
      <c r="K32" s="419"/>
    </row>
    <row r="33" spans="1:28" ht="15.75" customHeight="1" thickBot="1" x14ac:dyDescent="0.3">
      <c r="A33" s="1">
        <v>11</v>
      </c>
      <c r="B33" s="148" t="s">
        <v>23</v>
      </c>
      <c r="C33" s="54"/>
      <c r="D33" s="21"/>
      <c r="E33" s="60">
        <v>44470</v>
      </c>
      <c r="F33" s="62"/>
      <c r="G33" s="35" t="s">
        <v>11</v>
      </c>
      <c r="H33" s="63"/>
      <c r="I33" s="59"/>
      <c r="J33" s="25"/>
    </row>
    <row r="34" spans="1:28" s="3" customFormat="1" ht="15.75" customHeight="1" thickBot="1" x14ac:dyDescent="0.3">
      <c r="A34" s="132"/>
      <c r="B34" s="708" t="s">
        <v>372</v>
      </c>
      <c r="C34" s="709"/>
      <c r="D34" s="25"/>
      <c r="E34" s="579">
        <f>IF(AND(ISEVEN(E43)=FALSE,E43&gt;12),
DATE(YEAR(E32),MONTH(E32)-6-MAX(0,(E43-12)/2)+1,DAY(1)),
DATE(YEAR(E32),MONTH(E32)-6-MAX(0,(E43-12)/2),DAY(1)))</f>
        <v>44166</v>
      </c>
      <c r="F34" s="57"/>
      <c r="G34" s="35"/>
      <c r="H34" s="103"/>
      <c r="I34" s="269"/>
      <c r="J34" s="25"/>
    </row>
    <row r="35" spans="1:28" ht="15.75" thickBot="1" x14ac:dyDescent="0.3">
      <c r="A35" s="638">
        <v>12</v>
      </c>
      <c r="B35" s="710" t="s">
        <v>252</v>
      </c>
      <c r="C35" s="711"/>
      <c r="D35" s="21"/>
      <c r="E35" s="637">
        <v>2024</v>
      </c>
      <c r="F35" s="57"/>
      <c r="G35" s="65"/>
      <c r="H35" s="63"/>
      <c r="I35" s="59"/>
      <c r="J35" s="25"/>
    </row>
    <row r="36" spans="1:28" ht="15" x14ac:dyDescent="0.25">
      <c r="B36" s="16"/>
      <c r="C36" s="16"/>
      <c r="D36" s="21"/>
      <c r="E36" s="66"/>
      <c r="F36" s="63"/>
      <c r="G36" s="65"/>
      <c r="H36" s="63"/>
      <c r="I36" s="100" t="s">
        <v>37</v>
      </c>
      <c r="J36" s="25"/>
    </row>
    <row r="37" spans="1:28" ht="15.75" thickBot="1" x14ac:dyDescent="0.3">
      <c r="A37" s="67"/>
      <c r="B37" s="16" t="s">
        <v>24</v>
      </c>
      <c r="C37" s="16"/>
      <c r="D37" s="21"/>
      <c r="E37" s="68"/>
      <c r="F37" s="51"/>
      <c r="G37" s="52"/>
      <c r="H37" s="63"/>
      <c r="J37" s="16"/>
      <c r="K37" s="49"/>
      <c r="L37" s="49"/>
      <c r="M37" s="49"/>
      <c r="N37" s="49"/>
      <c r="O37" s="49"/>
      <c r="P37" s="49"/>
      <c r="Q37" s="49"/>
      <c r="R37" s="49"/>
      <c r="S37" s="49"/>
      <c r="T37" s="49"/>
      <c r="U37" s="49"/>
      <c r="V37" s="49"/>
      <c r="W37" s="49"/>
      <c r="X37" s="49"/>
      <c r="Y37" s="49"/>
      <c r="Z37" s="49"/>
      <c r="AA37" s="49"/>
      <c r="AB37" s="49"/>
    </row>
    <row r="38" spans="1:28" ht="15.75" thickBot="1" x14ac:dyDescent="0.3">
      <c r="A38" s="1">
        <v>13</v>
      </c>
      <c r="B38" s="32" t="s">
        <v>25</v>
      </c>
      <c r="C38" s="33"/>
      <c r="D38" s="21"/>
      <c r="E38" s="9"/>
      <c r="F38" s="51"/>
      <c r="G38" s="35" t="s">
        <v>11</v>
      </c>
      <c r="H38" s="24"/>
      <c r="I38" s="69">
        <f>NPV($E$85,K38:AA38)*'Hulpberekeningen 1'!$P$32</f>
        <v>0</v>
      </c>
      <c r="J38" s="16"/>
      <c r="K38" s="70"/>
      <c r="L38" s="70"/>
      <c r="M38" s="70"/>
      <c r="N38" s="70"/>
      <c r="O38" s="70"/>
      <c r="P38" s="70"/>
      <c r="Q38" s="70"/>
      <c r="R38" s="70"/>
      <c r="S38" s="70"/>
      <c r="T38" s="70"/>
      <c r="U38" s="70"/>
      <c r="V38" s="70"/>
      <c r="W38" s="70"/>
      <c r="X38" s="70"/>
      <c r="Y38" s="70"/>
      <c r="Z38" s="70"/>
      <c r="AA38" s="70"/>
      <c r="AB38" s="569"/>
    </row>
    <row r="39" spans="1:28" ht="15" x14ac:dyDescent="0.25">
      <c r="B39" s="58"/>
      <c r="C39" s="58"/>
      <c r="D39" s="21"/>
      <c r="E39" s="9"/>
      <c r="F39" s="51"/>
      <c r="G39" s="35"/>
      <c r="H39" s="24"/>
      <c r="I39" s="49"/>
      <c r="J39" s="16"/>
      <c r="K39" s="71"/>
      <c r="L39" s="71"/>
      <c r="M39" s="71"/>
      <c r="N39" s="71"/>
      <c r="O39" s="71"/>
      <c r="P39" s="71"/>
      <c r="Q39" s="71"/>
      <c r="R39" s="71"/>
      <c r="S39" s="71"/>
      <c r="T39" s="71"/>
      <c r="U39" s="71"/>
      <c r="V39" s="71"/>
      <c r="W39" s="71"/>
      <c r="X39" s="71"/>
      <c r="Y39" s="71"/>
      <c r="Z39" s="71"/>
      <c r="AA39" s="71"/>
      <c r="AB39" s="71"/>
    </row>
    <row r="40" spans="1:28" ht="15.75" x14ac:dyDescent="0.25">
      <c r="A40" s="72"/>
      <c r="B40" s="73"/>
      <c r="C40" s="73"/>
      <c r="D40" s="21"/>
      <c r="E40" s="74"/>
      <c r="F40" s="75"/>
      <c r="G40" s="76"/>
      <c r="H40" s="22"/>
      <c r="I40" s="26"/>
      <c r="J40" s="25"/>
      <c r="K40" s="77"/>
      <c r="L40" s="74"/>
      <c r="M40" s="74"/>
      <c r="N40" s="74"/>
      <c r="O40" s="74"/>
      <c r="P40" s="74"/>
      <c r="Q40" s="74"/>
      <c r="R40" s="74"/>
      <c r="S40" s="74"/>
      <c r="T40" s="74"/>
      <c r="U40" s="74"/>
      <c r="V40" s="74"/>
      <c r="W40" s="74"/>
      <c r="X40" s="27"/>
    </row>
    <row r="41" spans="1:28" ht="15.75" thickBot="1" x14ac:dyDescent="0.3">
      <c r="A41" s="72"/>
      <c r="B41" s="25" t="s">
        <v>26</v>
      </c>
      <c r="C41" s="25"/>
      <c r="D41" s="21"/>
      <c r="E41" s="31"/>
      <c r="F41" s="9"/>
      <c r="G41" s="78"/>
      <c r="H41" s="75"/>
      <c r="I41" s="26"/>
      <c r="J41" s="25"/>
      <c r="K41" s="79"/>
      <c r="L41" s="79"/>
      <c r="M41" s="80"/>
      <c r="N41" s="80"/>
      <c r="O41" s="80"/>
      <c r="P41" s="80"/>
      <c r="Q41" s="80"/>
      <c r="R41" s="80"/>
      <c r="S41" s="80"/>
      <c r="T41" s="80"/>
      <c r="U41" s="80"/>
      <c r="V41" s="80"/>
      <c r="W41" s="80"/>
      <c r="X41" s="27"/>
    </row>
    <row r="42" spans="1:28" ht="15.75" thickBot="1" x14ac:dyDescent="0.3">
      <c r="A42" s="1">
        <v>14</v>
      </c>
      <c r="B42" s="32" t="s">
        <v>27</v>
      </c>
      <c r="C42" s="33"/>
      <c r="D42" s="21"/>
      <c r="E42" s="518"/>
      <c r="F42" s="313"/>
      <c r="G42" s="35" t="s">
        <v>11</v>
      </c>
      <c r="H42" s="319"/>
      <c r="I42" s="81"/>
      <c r="J42" s="82"/>
      <c r="K42" s="83"/>
      <c r="L42" s="83"/>
      <c r="M42" s="83"/>
      <c r="N42" s="83"/>
      <c r="O42" s="83"/>
      <c r="P42" s="83"/>
      <c r="Q42" s="83"/>
      <c r="R42" s="83"/>
      <c r="S42" s="83"/>
      <c r="T42" s="83"/>
      <c r="U42" s="83"/>
      <c r="V42" s="83"/>
      <c r="W42" s="83"/>
      <c r="X42" s="27"/>
    </row>
    <row r="43" spans="1:28" ht="15.75" thickBot="1" x14ac:dyDescent="0.3">
      <c r="A43" s="1">
        <v>15</v>
      </c>
      <c r="B43" s="32" t="s">
        <v>28</v>
      </c>
      <c r="C43" s="33"/>
      <c r="D43" s="21"/>
      <c r="E43" s="84"/>
      <c r="F43" s="50"/>
      <c r="G43" s="35" t="s">
        <v>11</v>
      </c>
      <c r="H43" s="85"/>
      <c r="I43" s="86"/>
      <c r="J43" s="25"/>
      <c r="K43" s="74"/>
      <c r="L43" s="74"/>
      <c r="M43" s="74"/>
      <c r="N43" s="74"/>
      <c r="O43" s="74"/>
      <c r="P43" s="74"/>
      <c r="Q43" s="74"/>
      <c r="R43" s="74"/>
      <c r="S43" s="74"/>
      <c r="T43" s="74"/>
      <c r="U43" s="74"/>
      <c r="V43" s="74"/>
      <c r="W43" s="74"/>
      <c r="X43" s="27"/>
    </row>
    <row r="44" spans="1:28" ht="15" x14ac:dyDescent="0.25">
      <c r="B44" s="64"/>
      <c r="C44" s="64"/>
      <c r="D44" s="21"/>
      <c r="E44" s="19"/>
      <c r="F44" s="57"/>
      <c r="G44" s="87"/>
      <c r="H44" s="81"/>
      <c r="I44" s="86"/>
      <c r="J44" s="25"/>
      <c r="K44" s="74"/>
      <c r="L44" s="74"/>
      <c r="M44" s="74"/>
      <c r="N44" s="74"/>
      <c r="O44" s="74"/>
      <c r="P44" s="74"/>
      <c r="Q44" s="74"/>
      <c r="R44" s="74"/>
      <c r="S44" s="74"/>
      <c r="T44" s="74"/>
      <c r="U44" s="74"/>
      <c r="V44" s="74"/>
      <c r="W44" s="74"/>
      <c r="X44" s="27"/>
    </row>
    <row r="45" spans="1:28" ht="14.25" x14ac:dyDescent="0.2">
      <c r="B45" s="31"/>
      <c r="C45" s="31"/>
      <c r="D45" s="21"/>
      <c r="E45" s="31"/>
      <c r="F45" s="31"/>
      <c r="G45" s="88"/>
      <c r="H45" s="81"/>
      <c r="I45" s="26"/>
      <c r="J45" s="25"/>
      <c r="K45" s="83"/>
      <c r="L45" s="74"/>
      <c r="M45" s="79"/>
      <c r="N45" s="74"/>
      <c r="O45" s="79"/>
      <c r="P45" s="74"/>
      <c r="Q45" s="74"/>
      <c r="R45" s="74"/>
      <c r="S45" s="74"/>
      <c r="T45" s="74"/>
      <c r="U45" s="74"/>
      <c r="V45" s="74"/>
      <c r="W45" s="74"/>
      <c r="X45" s="27"/>
    </row>
    <row r="46" spans="1:28" ht="15" thickBot="1" x14ac:dyDescent="0.25">
      <c r="B46" s="25" t="s">
        <v>29</v>
      </c>
      <c r="C46" s="25"/>
      <c r="D46" s="21"/>
      <c r="E46" s="31"/>
      <c r="F46" s="31"/>
      <c r="G46" s="88"/>
      <c r="H46" s="31"/>
      <c r="I46" s="26"/>
      <c r="J46" s="25"/>
      <c r="K46" s="26"/>
      <c r="L46" s="27"/>
      <c r="M46" s="26"/>
      <c r="N46" s="27"/>
      <c r="O46" s="26"/>
      <c r="P46" s="27"/>
      <c r="Q46" s="27"/>
      <c r="R46" s="27"/>
      <c r="S46" s="27"/>
      <c r="T46" s="27"/>
      <c r="U46" s="27"/>
      <c r="V46" s="27"/>
      <c r="W46" s="27"/>
      <c r="X46" s="27"/>
    </row>
    <row r="47" spans="1:28" ht="15.75" thickBot="1" x14ac:dyDescent="0.3">
      <c r="A47" s="1">
        <v>16</v>
      </c>
      <c r="B47" s="148" t="s">
        <v>30</v>
      </c>
      <c r="C47" s="33"/>
      <c r="D47" s="21"/>
      <c r="E47" s="89"/>
      <c r="F47" s="50"/>
      <c r="G47" s="35" t="s">
        <v>11</v>
      </c>
      <c r="H47" s="31"/>
      <c r="I47" s="90"/>
      <c r="J47" s="25"/>
    </row>
    <row r="48" spans="1:28" ht="15.75" thickBot="1" x14ac:dyDescent="0.3">
      <c r="A48" s="1">
        <v>17</v>
      </c>
      <c r="B48" s="32" t="s">
        <v>30</v>
      </c>
      <c r="C48" s="33"/>
      <c r="D48" s="21"/>
      <c r="E48" s="89"/>
      <c r="F48" s="313"/>
      <c r="G48" s="35" t="s">
        <v>11</v>
      </c>
      <c r="H48" s="91"/>
      <c r="I48" s="90"/>
      <c r="J48" s="25"/>
    </row>
    <row r="49" spans="1:28" ht="15.75" thickBot="1" x14ac:dyDescent="0.3">
      <c r="A49" s="132">
        <v>18</v>
      </c>
      <c r="B49" s="32" t="s">
        <v>31</v>
      </c>
      <c r="C49" s="33"/>
      <c r="D49" s="21"/>
      <c r="E49" s="93"/>
      <c r="F49" s="50"/>
      <c r="G49" s="35" t="s">
        <v>11</v>
      </c>
      <c r="H49" s="92"/>
      <c r="I49" s="90"/>
      <c r="J49" s="25"/>
    </row>
    <row r="50" spans="1:28" ht="15.75" thickBot="1" x14ac:dyDescent="0.3">
      <c r="A50" s="132">
        <v>19</v>
      </c>
      <c r="B50" s="32" t="s">
        <v>32</v>
      </c>
      <c r="C50" s="33"/>
      <c r="D50" s="21"/>
      <c r="E50" s="93"/>
      <c r="F50" s="50"/>
      <c r="G50" s="35" t="s">
        <v>11</v>
      </c>
      <c r="H50" s="92"/>
      <c r="I50" s="90"/>
      <c r="J50" s="25"/>
    </row>
    <row r="51" spans="1:28" ht="15.75" thickBot="1" x14ac:dyDescent="0.3">
      <c r="A51" s="132">
        <v>20</v>
      </c>
      <c r="B51" s="32" t="s">
        <v>33</v>
      </c>
      <c r="C51" s="33"/>
      <c r="D51" s="21"/>
      <c r="E51" s="93"/>
      <c r="F51" s="94"/>
      <c r="G51" s="35" t="s">
        <v>11</v>
      </c>
      <c r="H51" s="92"/>
      <c r="I51" s="24"/>
      <c r="J51" s="25"/>
    </row>
    <row r="52" spans="1:28" ht="15.75" thickBot="1" x14ac:dyDescent="0.3">
      <c r="A52" s="132">
        <v>21</v>
      </c>
      <c r="B52" s="32" t="s">
        <v>34</v>
      </c>
      <c r="C52" s="33"/>
      <c r="D52" s="21"/>
      <c r="E52" s="95">
        <f>SUM(E47:E51)</f>
        <v>0</v>
      </c>
      <c r="F52" s="24"/>
      <c r="G52" s="52"/>
      <c r="H52" s="24"/>
      <c r="I52" s="24"/>
      <c r="J52" s="25"/>
    </row>
    <row r="53" spans="1:28" ht="15" x14ac:dyDescent="0.25">
      <c r="B53" s="51"/>
      <c r="C53" s="51"/>
      <c r="D53" s="21"/>
      <c r="E53" s="96"/>
      <c r="F53" s="24"/>
      <c r="G53" s="52"/>
      <c r="H53" s="24"/>
      <c r="I53" s="24"/>
      <c r="J53" s="25"/>
      <c r="K53" s="3"/>
      <c r="L53" s="3"/>
      <c r="M53" s="3"/>
      <c r="N53" s="3"/>
      <c r="O53" s="3"/>
    </row>
    <row r="54" spans="1:28" ht="15" x14ac:dyDescent="0.25">
      <c r="B54" s="24"/>
      <c r="C54" s="24"/>
      <c r="D54" s="21"/>
      <c r="E54" s="24"/>
      <c r="F54" s="24"/>
      <c r="G54" s="52"/>
      <c r="H54" s="24"/>
      <c r="I54" s="24"/>
      <c r="J54" s="25" t="s">
        <v>35</v>
      </c>
      <c r="K54" s="97"/>
      <c r="L54" s="3"/>
      <c r="M54" s="3"/>
      <c r="N54" s="3"/>
      <c r="O54" s="3"/>
    </row>
    <row r="55" spans="1:28" ht="15.75" thickBot="1" x14ac:dyDescent="0.3">
      <c r="B55" s="29" t="s">
        <v>36</v>
      </c>
      <c r="C55" s="29"/>
      <c r="D55" s="21"/>
      <c r="E55" s="98"/>
      <c r="F55" s="98"/>
      <c r="G55" s="99"/>
      <c r="H55" s="24"/>
      <c r="I55" s="100" t="s">
        <v>37</v>
      </c>
      <c r="J55" s="25"/>
      <c r="K55" s="30"/>
      <c r="L55" s="30"/>
      <c r="M55" s="97"/>
      <c r="N55" s="97"/>
      <c r="O55" s="97"/>
      <c r="P55" s="101"/>
      <c r="Q55" s="101"/>
      <c r="R55" s="101"/>
      <c r="S55" s="101"/>
      <c r="T55" s="101"/>
      <c r="U55" s="101"/>
      <c r="V55" s="101"/>
      <c r="W55" s="101"/>
      <c r="X55" s="101"/>
      <c r="Y55" s="101"/>
      <c r="Z55" s="101"/>
      <c r="AA55" s="101"/>
      <c r="AB55" s="101"/>
    </row>
    <row r="56" spans="1:28" ht="15.75" thickBot="1" x14ac:dyDescent="0.3">
      <c r="A56" s="1">
        <v>22</v>
      </c>
      <c r="B56" s="32" t="s">
        <v>38</v>
      </c>
      <c r="C56" s="33"/>
      <c r="D56" s="21"/>
      <c r="E56" s="102">
        <v>0.25800000000000001</v>
      </c>
      <c r="F56" s="62"/>
      <c r="G56" s="35" t="s">
        <v>11</v>
      </c>
      <c r="H56" s="98"/>
      <c r="I56" s="103"/>
      <c r="J56" s="25"/>
      <c r="K56" s="104"/>
      <c r="L56" s="31"/>
      <c r="M56" s="101"/>
      <c r="N56" s="101"/>
      <c r="O56" s="101"/>
      <c r="P56" s="101"/>
      <c r="Q56" s="101"/>
      <c r="R56" s="101"/>
      <c r="S56" s="101"/>
      <c r="T56" s="101"/>
      <c r="U56" s="101"/>
      <c r="V56" s="101"/>
      <c r="W56" s="101"/>
    </row>
    <row r="57" spans="1:28" ht="15.75" thickBot="1" x14ac:dyDescent="0.3">
      <c r="A57" s="1">
        <v>23</v>
      </c>
      <c r="B57" s="32" t="s">
        <v>39</v>
      </c>
      <c r="C57" s="33"/>
      <c r="D57" s="21"/>
      <c r="E57" s="102"/>
      <c r="F57" s="105"/>
      <c r="G57" s="35" t="s">
        <v>11</v>
      </c>
      <c r="H57" s="24"/>
      <c r="I57" s="103"/>
      <c r="J57" s="25"/>
      <c r="K57" s="31">
        <f>K18</f>
        <v>2021</v>
      </c>
      <c r="L57" s="31">
        <f t="shared" ref="L57:AA57" si="2">+K57+1</f>
        <v>2022</v>
      </c>
      <c r="M57" s="31">
        <f t="shared" si="2"/>
        <v>2023</v>
      </c>
      <c r="N57" s="31">
        <f t="shared" si="2"/>
        <v>2024</v>
      </c>
      <c r="O57" s="31">
        <f t="shared" si="2"/>
        <v>2025</v>
      </c>
      <c r="P57" s="31">
        <f t="shared" si="2"/>
        <v>2026</v>
      </c>
      <c r="Q57" s="31">
        <f t="shared" si="2"/>
        <v>2027</v>
      </c>
      <c r="R57" s="31">
        <f t="shared" si="2"/>
        <v>2028</v>
      </c>
      <c r="S57" s="31">
        <f t="shared" si="2"/>
        <v>2029</v>
      </c>
      <c r="T57" s="31">
        <f t="shared" si="2"/>
        <v>2030</v>
      </c>
      <c r="U57" s="31">
        <f t="shared" si="2"/>
        <v>2031</v>
      </c>
      <c r="V57" s="31">
        <f t="shared" si="2"/>
        <v>2032</v>
      </c>
      <c r="W57" s="31">
        <f t="shared" si="2"/>
        <v>2033</v>
      </c>
      <c r="X57" s="31">
        <f t="shared" si="2"/>
        <v>2034</v>
      </c>
      <c r="Y57" s="31">
        <f t="shared" si="2"/>
        <v>2035</v>
      </c>
      <c r="Z57" s="31">
        <f t="shared" si="2"/>
        <v>2036</v>
      </c>
      <c r="AA57" s="31">
        <f t="shared" si="2"/>
        <v>2037</v>
      </c>
      <c r="AB57" s="451"/>
    </row>
    <row r="58" spans="1:28" ht="15.75" thickBot="1" x14ac:dyDescent="0.3">
      <c r="A58" s="132">
        <v>24</v>
      </c>
      <c r="B58" s="32" t="s">
        <v>40</v>
      </c>
      <c r="C58" s="33"/>
      <c r="D58" s="21"/>
      <c r="E58" s="89"/>
      <c r="F58" s="62"/>
      <c r="G58" s="35" t="s">
        <v>11</v>
      </c>
      <c r="H58" s="24"/>
      <c r="I58" s="103"/>
      <c r="J58" s="25"/>
      <c r="K58" s="334" t="s">
        <v>378</v>
      </c>
      <c r="L58" s="334"/>
      <c r="M58" s="334"/>
      <c r="N58" s="334"/>
      <c r="O58" s="334"/>
      <c r="AB58" s="343"/>
    </row>
    <row r="59" spans="1:28" ht="15.75" thickBot="1" x14ac:dyDescent="0.3">
      <c r="A59" s="132">
        <v>25</v>
      </c>
      <c r="B59" s="32" t="s">
        <v>41</v>
      </c>
      <c r="C59" s="33"/>
      <c r="D59" s="21"/>
      <c r="E59" s="106">
        <f>E58*E57</f>
        <v>0</v>
      </c>
      <c r="F59" s="62"/>
      <c r="G59" s="35" t="s">
        <v>11</v>
      </c>
      <c r="I59" s="69">
        <f>NPV($E$85,K59:AA59)*'Hulpberekeningen 1'!$P$32</f>
        <v>0</v>
      </c>
      <c r="J59" s="25"/>
      <c r="K59" s="595">
        <f>IF(YEAR($E$32)&lt;=K57,$E$59,0)</f>
        <v>0</v>
      </c>
      <c r="L59" s="595">
        <f t="shared" ref="L59:M59" si="3">IF(YEAR($E$32)=L57,$E$59,0)</f>
        <v>0</v>
      </c>
      <c r="M59" s="595">
        <f t="shared" si="3"/>
        <v>0</v>
      </c>
      <c r="N59" s="596"/>
      <c r="O59" s="596"/>
      <c r="P59" s="576"/>
      <c r="Q59" s="576"/>
      <c r="R59" s="576"/>
      <c r="S59" s="576"/>
      <c r="T59" s="576"/>
      <c r="U59" s="576"/>
      <c r="V59" s="576"/>
      <c r="W59" s="576"/>
      <c r="X59" s="454"/>
      <c r="Y59" s="454"/>
      <c r="Z59" s="454"/>
      <c r="AA59" s="454"/>
      <c r="AB59" s="454"/>
    </row>
    <row r="60" spans="1:28" ht="15.75" thickBot="1" x14ac:dyDescent="0.3">
      <c r="A60" s="132">
        <v>26</v>
      </c>
      <c r="B60" s="32" t="s">
        <v>42</v>
      </c>
      <c r="C60" s="33"/>
      <c r="D60" s="21"/>
      <c r="E60" s="578">
        <f>NPV($E$85,$K$59:$M$59)*E56*'Hulpberekeningen 1'!$P$32</f>
        <v>0</v>
      </c>
      <c r="F60" s="108"/>
      <c r="G60" s="35" t="s">
        <v>11</v>
      </c>
      <c r="H60" s="24"/>
      <c r="I60" s="24"/>
      <c r="J60" s="25"/>
      <c r="K60" s="443"/>
      <c r="L60" s="443"/>
      <c r="M60" s="443"/>
      <c r="N60" s="443"/>
      <c r="O60" s="443"/>
      <c r="P60" s="24"/>
      <c r="Q60" s="24"/>
      <c r="R60" s="24"/>
      <c r="S60" s="24"/>
      <c r="T60" s="24"/>
      <c r="U60" s="24"/>
      <c r="V60" s="24"/>
      <c r="W60" s="24"/>
      <c r="X60" s="24"/>
      <c r="Y60" s="24"/>
      <c r="Z60" s="24"/>
      <c r="AA60" s="24"/>
      <c r="AB60" s="436"/>
    </row>
    <row r="61" spans="1:28" ht="15.75" thickBot="1" x14ac:dyDescent="0.3">
      <c r="B61" s="32"/>
      <c r="C61" s="33"/>
      <c r="D61" s="21"/>
      <c r="E61" s="109"/>
      <c r="F61" s="24"/>
      <c r="G61" s="52"/>
      <c r="H61" s="108"/>
      <c r="I61" s="24"/>
      <c r="J61" s="25"/>
      <c r="K61" s="597" t="s">
        <v>380</v>
      </c>
      <c r="L61" s="334"/>
      <c r="M61" s="334"/>
      <c r="N61" s="334"/>
      <c r="O61" s="334"/>
      <c r="AB61" s="343"/>
    </row>
    <row r="62" spans="1:28" ht="15.75" thickBot="1" x14ac:dyDescent="0.3">
      <c r="A62" s="1">
        <v>27</v>
      </c>
      <c r="B62" s="148" t="s">
        <v>377</v>
      </c>
      <c r="C62" s="33"/>
      <c r="D62" s="21"/>
      <c r="E62" s="89"/>
      <c r="F62" s="62"/>
      <c r="G62" s="35" t="s">
        <v>11</v>
      </c>
      <c r="H62" s="24"/>
      <c r="I62" s="69">
        <f>NPV($E$85,K62:AA62)*'Hulpberekeningen 1'!$P$32</f>
        <v>0</v>
      </c>
      <c r="J62" s="25"/>
      <c r="K62" s="595">
        <f>IF(YEAR($E$32)&lt;=K57,$E$62*0.75,0)</f>
        <v>0</v>
      </c>
      <c r="L62" s="595">
        <f>IF(YEAR($E$32)&lt;=K57,$E$62*0.25/14,
IF(YEAR($E$32)=L57,$E$62*0.75,0))</f>
        <v>0</v>
      </c>
      <c r="M62" s="595">
        <f>IF(YEAR($E$32)=M57,$E$62*0.75,$E$62*0.25/14)</f>
        <v>0</v>
      </c>
      <c r="N62" s="595">
        <f>$E$62*0.25/14</f>
        <v>0</v>
      </c>
      <c r="O62" s="595">
        <f t="shared" ref="O62:Y62" si="4">$E$62*0.25/14</f>
        <v>0</v>
      </c>
      <c r="P62" s="577">
        <f t="shared" si="4"/>
        <v>0</v>
      </c>
      <c r="Q62" s="577">
        <f t="shared" si="4"/>
        <v>0</v>
      </c>
      <c r="R62" s="577">
        <f t="shared" si="4"/>
        <v>0</v>
      </c>
      <c r="S62" s="577">
        <f t="shared" si="4"/>
        <v>0</v>
      </c>
      <c r="T62" s="577">
        <f t="shared" si="4"/>
        <v>0</v>
      </c>
      <c r="U62" s="577">
        <f t="shared" si="4"/>
        <v>0</v>
      </c>
      <c r="V62" s="577">
        <f t="shared" si="4"/>
        <v>0</v>
      </c>
      <c r="W62" s="577">
        <f t="shared" si="4"/>
        <v>0</v>
      </c>
      <c r="X62" s="577">
        <f t="shared" si="4"/>
        <v>0</v>
      </c>
      <c r="Y62" s="577">
        <f t="shared" si="4"/>
        <v>0</v>
      </c>
      <c r="Z62" s="577">
        <f>IF(YEAR($E$32)&gt;=Z57-14,$E$62*0.25/14,0)</f>
        <v>0</v>
      </c>
      <c r="AA62" s="577">
        <f t="shared" ref="AA62" si="5">IF(YEAR($E$32)&gt;=AA57-14,$E$62*0.25/14,0)</f>
        <v>0</v>
      </c>
      <c r="AB62" s="568"/>
    </row>
    <row r="63" spans="1:28" ht="15.75" thickBot="1" x14ac:dyDescent="0.3">
      <c r="A63" s="1">
        <v>28</v>
      </c>
      <c r="B63" s="32" t="s">
        <v>344</v>
      </c>
      <c r="C63" s="33"/>
      <c r="D63" s="21"/>
      <c r="E63" s="578">
        <f>IF(+'VAMIL voordeel'!C15&lt;0,0,+'VAMIL voordeel'!C15)</f>
        <v>0</v>
      </c>
      <c r="G63" s="35" t="s">
        <v>11</v>
      </c>
      <c r="I63" s="98"/>
      <c r="J63" s="25"/>
      <c r="K63" s="334"/>
      <c r="L63" s="443"/>
      <c r="M63" s="443"/>
      <c r="N63" s="443"/>
      <c r="O63" s="443"/>
      <c r="P63" s="98"/>
      <c r="Q63" s="98"/>
      <c r="R63" s="98"/>
      <c r="S63" s="98"/>
      <c r="T63" s="98"/>
      <c r="AB63" s="343"/>
    </row>
    <row r="64" spans="1:28" ht="15.75" thickBot="1" x14ac:dyDescent="0.3">
      <c r="B64" s="32"/>
      <c r="C64" s="33"/>
      <c r="D64" s="21"/>
      <c r="E64" s="111"/>
      <c r="G64" s="99"/>
      <c r="H64" s="112"/>
      <c r="I64" s="98"/>
      <c r="J64" s="25"/>
      <c r="K64" s="334" t="s">
        <v>379</v>
      </c>
      <c r="L64" s="443"/>
      <c r="M64" s="443"/>
      <c r="N64" s="443"/>
      <c r="O64" s="443"/>
      <c r="P64" s="98"/>
      <c r="Q64" s="98"/>
      <c r="R64" s="98"/>
      <c r="S64" s="98"/>
      <c r="T64" s="98"/>
      <c r="AB64" s="343"/>
    </row>
    <row r="65" spans="1:28" ht="15.75" thickBot="1" x14ac:dyDescent="0.3">
      <c r="A65" s="1">
        <v>29</v>
      </c>
      <c r="B65" s="32" t="s">
        <v>43</v>
      </c>
      <c r="C65" s="33"/>
      <c r="D65" s="21"/>
      <c r="E65" s="89"/>
      <c r="F65" s="314"/>
      <c r="G65" s="35" t="s">
        <v>11</v>
      </c>
      <c r="H65" s="24"/>
      <c r="I65" s="69">
        <f>NPV($E$85,K65:AA65)*'Hulpberekeningen 1'!$P$32</f>
        <v>0</v>
      </c>
      <c r="J65" s="25"/>
      <c r="K65" s="595">
        <f>IF(YEAR($E$32)&lt;=K57,$E$67,0)</f>
        <v>0</v>
      </c>
      <c r="L65" s="595">
        <f t="shared" ref="L65:M65" si="6">IF(YEAR($E$32)=L57,$E$67,0)</f>
        <v>0</v>
      </c>
      <c r="M65" s="595">
        <f t="shared" si="6"/>
        <v>0</v>
      </c>
      <c r="N65" s="596"/>
      <c r="O65" s="596"/>
      <c r="P65" s="576"/>
      <c r="Q65" s="576"/>
      <c r="R65" s="576"/>
      <c r="S65" s="576"/>
      <c r="T65" s="576"/>
      <c r="U65" s="576"/>
      <c r="V65" s="576"/>
      <c r="W65" s="576"/>
      <c r="X65" s="454"/>
      <c r="Y65" s="454"/>
      <c r="Z65" s="454"/>
      <c r="AA65" s="454"/>
      <c r="AB65" s="454"/>
    </row>
    <row r="66" spans="1:28" ht="15.75" thickBot="1" x14ac:dyDescent="0.3">
      <c r="A66" s="1">
        <v>30</v>
      </c>
      <c r="B66" s="32" t="s">
        <v>44</v>
      </c>
      <c r="C66" s="33"/>
      <c r="D66" s="21"/>
      <c r="E66" s="113"/>
      <c r="F66" s="62"/>
      <c r="G66" s="35" t="s">
        <v>11</v>
      </c>
      <c r="I66" s="98"/>
      <c r="J66" s="25"/>
      <c r="K66" s="334"/>
      <c r="L66" s="443"/>
      <c r="M66" s="443"/>
      <c r="N66" s="443"/>
      <c r="O66" s="443"/>
      <c r="P66" s="98"/>
      <c r="Q66" s="98"/>
      <c r="R66" s="98"/>
      <c r="S66" s="98"/>
      <c r="T66" s="98"/>
      <c r="AB66" s="343"/>
    </row>
    <row r="67" spans="1:28" ht="15.75" thickBot="1" x14ac:dyDescent="0.3">
      <c r="A67" s="132">
        <v>31</v>
      </c>
      <c r="B67" s="32" t="s">
        <v>45</v>
      </c>
      <c r="C67" s="33"/>
      <c r="D67" s="21"/>
      <c r="E67" s="107">
        <f>E65*E66</f>
        <v>0</v>
      </c>
      <c r="F67" s="98"/>
      <c r="G67" s="35" t="s">
        <v>11</v>
      </c>
      <c r="H67" s="98"/>
      <c r="I67" s="98"/>
      <c r="J67" s="25"/>
      <c r="K67" s="110"/>
      <c r="L67" s="98"/>
      <c r="M67" s="98"/>
      <c r="N67" s="98"/>
      <c r="O67" s="98"/>
      <c r="P67" s="98"/>
      <c r="Q67" s="98"/>
      <c r="R67" s="98"/>
      <c r="S67" s="98"/>
      <c r="T67" s="98"/>
    </row>
    <row r="68" spans="1:28" ht="15.75" thickBot="1" x14ac:dyDescent="0.3">
      <c r="A68" s="132">
        <v>32</v>
      </c>
      <c r="B68" s="32" t="s">
        <v>46</v>
      </c>
      <c r="C68" s="33"/>
      <c r="D68" s="21"/>
      <c r="E68" s="578">
        <f>NPV($E$85,K65:M65)*E56*'Hulpberekeningen 1'!$P$32</f>
        <v>0</v>
      </c>
      <c r="F68" s="112"/>
      <c r="G68" s="35" t="s">
        <v>11</v>
      </c>
      <c r="H68" s="98"/>
      <c r="I68" s="98"/>
      <c r="J68" s="25"/>
      <c r="K68" s="98"/>
      <c r="L68" s="98"/>
      <c r="M68" s="98"/>
      <c r="N68" s="98"/>
      <c r="O68" s="98"/>
      <c r="P68" s="98"/>
    </row>
    <row r="69" spans="1:28" ht="15.75" thickBot="1" x14ac:dyDescent="0.3">
      <c r="A69" s="132">
        <v>33</v>
      </c>
      <c r="B69" s="32" t="s">
        <v>47</v>
      </c>
      <c r="C69" s="33"/>
      <c r="D69" s="21"/>
      <c r="E69" s="114">
        <f>+E68+E63+E60</f>
        <v>0</v>
      </c>
      <c r="F69" s="98"/>
      <c r="G69" s="99"/>
      <c r="H69" s="112"/>
      <c r="I69" s="98"/>
      <c r="J69" s="25"/>
      <c r="K69" s="98"/>
      <c r="L69" s="98"/>
      <c r="M69" s="98"/>
      <c r="N69" s="98"/>
      <c r="O69" s="98"/>
      <c r="P69" s="98"/>
    </row>
    <row r="70" spans="1:28" ht="15" x14ac:dyDescent="0.25">
      <c r="B70" s="29"/>
      <c r="C70" s="29"/>
      <c r="D70" s="21"/>
      <c r="E70" s="96"/>
      <c r="F70" s="98"/>
      <c r="G70" s="99"/>
      <c r="H70" s="98"/>
      <c r="I70" s="98"/>
      <c r="J70" s="25"/>
      <c r="K70" s="98"/>
      <c r="L70" s="98"/>
      <c r="M70" s="98"/>
      <c r="N70" s="98"/>
      <c r="O70" s="98"/>
      <c r="P70" s="98"/>
    </row>
    <row r="71" spans="1:28" ht="15" x14ac:dyDescent="0.25">
      <c r="B71" s="29"/>
      <c r="C71" s="29"/>
      <c r="D71" s="21"/>
      <c r="E71" s="96"/>
      <c r="F71" s="98"/>
      <c r="G71" s="99"/>
      <c r="H71" s="98"/>
      <c r="I71" s="98"/>
      <c r="J71" s="25"/>
      <c r="K71" s="98"/>
      <c r="L71" s="98"/>
      <c r="M71" s="98"/>
      <c r="N71" s="98"/>
      <c r="O71" s="98"/>
      <c r="P71" s="98"/>
    </row>
    <row r="72" spans="1:28" ht="15.75" thickBot="1" x14ac:dyDescent="0.3">
      <c r="B72" s="29" t="s">
        <v>48</v>
      </c>
      <c r="C72" s="29"/>
      <c r="D72" s="21"/>
      <c r="E72" s="98"/>
      <c r="F72" s="98"/>
      <c r="G72" s="99"/>
      <c r="H72" s="98"/>
      <c r="I72" s="98"/>
      <c r="J72" s="25"/>
      <c r="K72" s="98"/>
      <c r="L72" s="98"/>
      <c r="M72" s="98"/>
      <c r="N72" s="98"/>
      <c r="O72" s="98"/>
      <c r="P72" s="98"/>
    </row>
    <row r="73" spans="1:28" ht="15.75" thickBot="1" x14ac:dyDescent="0.3">
      <c r="A73" s="115">
        <v>34</v>
      </c>
      <c r="B73" s="32" t="s">
        <v>49</v>
      </c>
      <c r="C73" s="33"/>
      <c r="D73" s="21"/>
      <c r="E73" s="116">
        <f>+E42-E52</f>
        <v>0</v>
      </c>
      <c r="F73" s="24"/>
      <c r="G73" s="35" t="s">
        <v>11</v>
      </c>
      <c r="H73" s="98"/>
      <c r="I73" s="24"/>
      <c r="J73" s="25"/>
      <c r="K73" s="98"/>
      <c r="L73" s="98"/>
      <c r="M73" s="98"/>
      <c r="N73" s="98"/>
      <c r="O73" s="98"/>
      <c r="P73" s="98"/>
    </row>
    <row r="74" spans="1:28" ht="15.75" thickBot="1" x14ac:dyDescent="0.3">
      <c r="A74" s="117">
        <v>35</v>
      </c>
      <c r="B74" s="32" t="s">
        <v>50</v>
      </c>
      <c r="C74" s="33"/>
      <c r="D74" s="21"/>
      <c r="E74" s="118">
        <f>+E42-E52-E69</f>
        <v>0</v>
      </c>
      <c r="F74" s="98"/>
      <c r="G74" s="35" t="s">
        <v>11</v>
      </c>
      <c r="H74" s="24"/>
      <c r="I74" s="24"/>
      <c r="J74" s="25"/>
    </row>
    <row r="75" spans="1:28" ht="15.75" thickBot="1" x14ac:dyDescent="0.3">
      <c r="A75" s="117">
        <v>36</v>
      </c>
      <c r="B75" s="375" t="s">
        <v>278</v>
      </c>
      <c r="C75" s="33"/>
      <c r="D75" s="21"/>
      <c r="E75" s="119" cm="1">
        <f t="array" ref="E75">SUMPRODUCT((Stamblad!$B$14:$I$14=LEFT(Invoerblad!$E$13,5))*Stamblad!$B$15:$I$15)</f>
        <v>0.2</v>
      </c>
      <c r="F75" s="62"/>
      <c r="G75" s="35" t="s">
        <v>11</v>
      </c>
      <c r="H75" s="98"/>
      <c r="I75" s="24"/>
      <c r="J75" s="25"/>
      <c r="Q75" s="3"/>
    </row>
    <row r="76" spans="1:28" ht="15.75" thickBot="1" x14ac:dyDescent="0.3">
      <c r="A76" s="117">
        <v>37</v>
      </c>
      <c r="B76" s="32" t="s">
        <v>52</v>
      </c>
      <c r="C76" s="33"/>
      <c r="D76" s="21"/>
      <c r="E76" s="120">
        <f>(1-E75)</f>
        <v>0.8</v>
      </c>
      <c r="F76" s="62"/>
      <c r="G76" s="35" t="s">
        <v>11</v>
      </c>
      <c r="H76" s="24"/>
      <c r="I76" s="24"/>
      <c r="J76" s="25"/>
      <c r="K76" s="7"/>
    </row>
    <row r="77" spans="1:28" ht="15.75" thickBot="1" x14ac:dyDescent="0.3">
      <c r="A77" s="117">
        <v>38</v>
      </c>
      <c r="B77" s="32" t="s">
        <v>51</v>
      </c>
      <c r="C77" s="33"/>
      <c r="D77" s="21"/>
      <c r="E77" s="121">
        <f>E74*E75</f>
        <v>0</v>
      </c>
      <c r="F77" s="24"/>
      <c r="G77" s="52"/>
      <c r="H77" s="24"/>
      <c r="I77" s="24"/>
      <c r="J77" s="25"/>
    </row>
    <row r="78" spans="1:28" ht="15.75" thickBot="1" x14ac:dyDescent="0.3">
      <c r="A78" s="117">
        <v>39</v>
      </c>
      <c r="B78" s="32" t="s">
        <v>53</v>
      </c>
      <c r="C78" s="33"/>
      <c r="D78" s="21"/>
      <c r="E78" s="107">
        <f>E74*E76</f>
        <v>0</v>
      </c>
      <c r="F78" s="122"/>
      <c r="G78" s="123"/>
      <c r="H78" s="24"/>
      <c r="I78" s="108"/>
      <c r="J78" s="25"/>
      <c r="K78" s="7"/>
    </row>
    <row r="79" spans="1:28" ht="15.75" thickBot="1" x14ac:dyDescent="0.3">
      <c r="A79" s="117">
        <v>40</v>
      </c>
      <c r="B79" s="32" t="s">
        <v>54</v>
      </c>
      <c r="C79" s="33"/>
      <c r="D79" s="21"/>
      <c r="E79" s="518"/>
      <c r="F79" s="314"/>
      <c r="G79" s="35" t="s">
        <v>11</v>
      </c>
      <c r="H79" s="122"/>
      <c r="I79" s="24"/>
      <c r="J79" s="25"/>
    </row>
    <row r="80" spans="1:28" s="3" customFormat="1" ht="15.75" thickBot="1" x14ac:dyDescent="0.3">
      <c r="A80" s="117">
        <v>41</v>
      </c>
      <c r="B80" s="375" t="s">
        <v>276</v>
      </c>
      <c r="C80" s="54"/>
      <c r="D80" s="25"/>
      <c r="E80" s="521" cm="1">
        <f t="array" ref="E80">SUMPRODUCT((Stamblad!$B$14:$I$14=LEFT(Invoerblad!$E$13,5))*Stamblad!$B$20:$I$20)</f>
        <v>5.0000000000000001E-3</v>
      </c>
      <c r="F80" s="376"/>
      <c r="G80" s="35"/>
      <c r="H80" s="122"/>
      <c r="I80" s="24"/>
      <c r="J80" s="25"/>
    </row>
    <row r="81" spans="1:28" ht="15.75" thickBot="1" x14ac:dyDescent="0.3">
      <c r="A81" s="117">
        <v>42</v>
      </c>
      <c r="B81" s="375" t="s">
        <v>277</v>
      </c>
      <c r="C81" s="33"/>
      <c r="D81" s="21"/>
      <c r="E81" s="377">
        <f>+'Rendement geinv. vermogen'!B30</f>
        <v>0</v>
      </c>
      <c r="F81" s="24"/>
      <c r="G81" s="35" t="s">
        <v>11</v>
      </c>
      <c r="H81" s="24"/>
      <c r="I81" s="24"/>
      <c r="J81" s="25"/>
    </row>
    <row r="82" spans="1:28" ht="15.75" thickBot="1" x14ac:dyDescent="0.3">
      <c r="A82" s="117">
        <v>43</v>
      </c>
      <c r="B82" s="375" t="s">
        <v>55</v>
      </c>
      <c r="C82" s="33"/>
      <c r="D82" s="21"/>
      <c r="E82" s="520" cm="1">
        <f t="array" ref="E82">SUMPRODUCT((Stamblad!$B$14:$I$14=LEFT(Invoerblad!$E$13,5))*Stamblad!$B$18:$I$18)</f>
        <v>0.02</v>
      </c>
      <c r="F82" s="24"/>
      <c r="G82" s="35" t="s">
        <v>11</v>
      </c>
      <c r="H82" s="24"/>
      <c r="I82" s="24"/>
      <c r="J82" s="25"/>
    </row>
    <row r="83" spans="1:28" s="3" customFormat="1" ht="15.75" thickBot="1" x14ac:dyDescent="0.3">
      <c r="A83" s="117">
        <v>44</v>
      </c>
      <c r="B83" s="375" t="s">
        <v>279</v>
      </c>
      <c r="C83" s="54"/>
      <c r="D83" s="25"/>
      <c r="E83" s="520" cm="1">
        <f t="array" ref="E83">SUMPRODUCT((Stamblad!$B$14:$I$14=LEFT(Invoerblad!$E$13,5))*Stamblad!$B$17:$I$17)</f>
        <v>0.12</v>
      </c>
      <c r="F83" s="24"/>
      <c r="G83" s="35"/>
      <c r="H83" s="24"/>
      <c r="I83" s="24"/>
      <c r="J83" s="25"/>
      <c r="N83" s="409"/>
    </row>
    <row r="84" spans="1:28" ht="15.75" thickBot="1" x14ac:dyDescent="0.3">
      <c r="A84" s="117">
        <v>45</v>
      </c>
      <c r="B84" s="32" t="s">
        <v>56</v>
      </c>
      <c r="C84" s="33"/>
      <c r="D84" s="21"/>
      <c r="E84" s="124">
        <v>15</v>
      </c>
      <c r="F84" s="24"/>
      <c r="G84" s="35" t="s">
        <v>11</v>
      </c>
      <c r="H84" s="24"/>
      <c r="I84" s="24"/>
      <c r="J84" s="25"/>
    </row>
    <row r="85" spans="1:28" ht="24" thickBot="1" x14ac:dyDescent="0.4">
      <c r="A85" s="117">
        <v>46</v>
      </c>
      <c r="B85" s="32" t="s">
        <v>57</v>
      </c>
      <c r="C85" s="33"/>
      <c r="D85" s="21"/>
      <c r="E85" s="119"/>
      <c r="F85" s="62"/>
      <c r="G85" s="35" t="s">
        <v>11</v>
      </c>
      <c r="H85" s="412"/>
      <c r="I85" s="24"/>
      <c r="J85" s="25"/>
    </row>
    <row r="86" spans="1:28" ht="15" x14ac:dyDescent="0.25">
      <c r="B86" s="64"/>
      <c r="C86" s="64"/>
      <c r="D86" s="21"/>
      <c r="E86" s="125"/>
      <c r="F86" s="24"/>
      <c r="G86" s="52"/>
      <c r="H86" s="24"/>
      <c r="I86" s="24"/>
      <c r="J86" s="25"/>
      <c r="K86" s="31"/>
      <c r="L86" s="31"/>
      <c r="M86" s="101"/>
      <c r="N86" s="101"/>
      <c r="O86" s="101"/>
      <c r="P86" s="101"/>
      <c r="Q86" s="101"/>
      <c r="R86" s="101"/>
      <c r="S86" s="101"/>
      <c r="T86" s="101"/>
      <c r="U86" s="101"/>
      <c r="V86" s="101"/>
      <c r="W86" s="101"/>
      <c r="X86" s="101"/>
      <c r="Y86" s="101"/>
      <c r="Z86" s="101"/>
      <c r="AA86" s="101"/>
      <c r="AB86" s="101"/>
    </row>
    <row r="87" spans="1:28" ht="15" x14ac:dyDescent="0.25">
      <c r="B87" s="64"/>
      <c r="C87" s="64"/>
      <c r="D87" s="21"/>
      <c r="E87" s="125"/>
      <c r="F87" s="24"/>
      <c r="G87" s="52"/>
      <c r="H87" s="24"/>
      <c r="I87" s="24"/>
      <c r="J87" s="25"/>
      <c r="K87" s="31"/>
      <c r="L87" s="31"/>
      <c r="M87" s="101"/>
      <c r="N87" s="101"/>
      <c r="O87" s="101"/>
      <c r="P87" s="101"/>
      <c r="Q87" s="101"/>
      <c r="R87" s="101"/>
      <c r="S87" s="101"/>
      <c r="T87" s="101"/>
      <c r="U87" s="101"/>
      <c r="V87" s="101"/>
      <c r="W87" s="101"/>
      <c r="X87" s="101"/>
      <c r="Y87" s="101"/>
      <c r="Z87" s="101"/>
      <c r="AA87" s="101"/>
      <c r="AB87" s="101"/>
    </row>
    <row r="88" spans="1:28" ht="15.75" thickBot="1" x14ac:dyDescent="0.3">
      <c r="B88" s="16" t="s">
        <v>58</v>
      </c>
      <c r="C88" s="16"/>
      <c r="D88" s="21"/>
      <c r="E88" s="126"/>
      <c r="F88" s="24"/>
      <c r="G88" s="35" t="s">
        <v>11</v>
      </c>
      <c r="H88" s="24"/>
      <c r="I88" s="24"/>
      <c r="J88" s="25"/>
      <c r="K88" s="31">
        <f>K18</f>
        <v>2021</v>
      </c>
      <c r="L88" s="31">
        <f t="shared" ref="L88:AB88" si="7">+K88+1</f>
        <v>2022</v>
      </c>
      <c r="M88" s="31">
        <f t="shared" si="7"/>
        <v>2023</v>
      </c>
      <c r="N88" s="31">
        <f t="shared" si="7"/>
        <v>2024</v>
      </c>
      <c r="O88" s="31">
        <f t="shared" si="7"/>
        <v>2025</v>
      </c>
      <c r="P88" s="31">
        <f t="shared" si="7"/>
        <v>2026</v>
      </c>
      <c r="Q88" s="31">
        <f t="shared" si="7"/>
        <v>2027</v>
      </c>
      <c r="R88" s="31">
        <f t="shared" si="7"/>
        <v>2028</v>
      </c>
      <c r="S88" s="31">
        <f t="shared" si="7"/>
        <v>2029</v>
      </c>
      <c r="T88" s="31">
        <f t="shared" si="7"/>
        <v>2030</v>
      </c>
      <c r="U88" s="31">
        <f t="shared" si="7"/>
        <v>2031</v>
      </c>
      <c r="V88" s="31">
        <f t="shared" si="7"/>
        <v>2032</v>
      </c>
      <c r="W88" s="31">
        <f t="shared" si="7"/>
        <v>2033</v>
      </c>
      <c r="X88" s="31">
        <f t="shared" si="7"/>
        <v>2034</v>
      </c>
      <c r="Y88" s="31">
        <f t="shared" si="7"/>
        <v>2035</v>
      </c>
      <c r="Z88" s="31">
        <f t="shared" si="7"/>
        <v>2036</v>
      </c>
      <c r="AA88" s="31">
        <f t="shared" si="7"/>
        <v>2037</v>
      </c>
      <c r="AB88" s="31">
        <f t="shared" si="7"/>
        <v>2038</v>
      </c>
    </row>
    <row r="89" spans="1:28" ht="15.75" thickBot="1" x14ac:dyDescent="0.3">
      <c r="A89" s="127">
        <v>47</v>
      </c>
      <c r="B89" s="686" t="s">
        <v>59</v>
      </c>
      <c r="C89" s="690"/>
      <c r="D89" s="21"/>
      <c r="E89" s="437">
        <v>69</v>
      </c>
      <c r="F89" s="24"/>
      <c r="G89" s="52"/>
      <c r="H89" s="24"/>
      <c r="I89" s="24"/>
      <c r="J89" s="25"/>
      <c r="K89" s="677">
        <f>$E$89</f>
        <v>69</v>
      </c>
      <c r="L89" s="677">
        <f t="shared" ref="L89:AB89" si="8">$E$89</f>
        <v>69</v>
      </c>
      <c r="M89" s="677">
        <f t="shared" si="8"/>
        <v>69</v>
      </c>
      <c r="N89" s="677">
        <f t="shared" si="8"/>
        <v>69</v>
      </c>
      <c r="O89" s="677">
        <f t="shared" si="8"/>
        <v>69</v>
      </c>
      <c r="P89" s="677">
        <f t="shared" si="8"/>
        <v>69</v>
      </c>
      <c r="Q89" s="677">
        <f t="shared" si="8"/>
        <v>69</v>
      </c>
      <c r="R89" s="677">
        <f t="shared" si="8"/>
        <v>69</v>
      </c>
      <c r="S89" s="677">
        <f t="shared" si="8"/>
        <v>69</v>
      </c>
      <c r="T89" s="677">
        <f t="shared" si="8"/>
        <v>69</v>
      </c>
      <c r="U89" s="677">
        <f t="shared" si="8"/>
        <v>69</v>
      </c>
      <c r="V89" s="677">
        <f t="shared" si="8"/>
        <v>69</v>
      </c>
      <c r="W89" s="677">
        <f t="shared" si="8"/>
        <v>69</v>
      </c>
      <c r="X89" s="677">
        <f t="shared" si="8"/>
        <v>69</v>
      </c>
      <c r="Y89" s="677">
        <f t="shared" si="8"/>
        <v>69</v>
      </c>
      <c r="Z89" s="677">
        <f t="shared" si="8"/>
        <v>69</v>
      </c>
      <c r="AA89" s="677">
        <f t="shared" si="8"/>
        <v>69</v>
      </c>
      <c r="AB89" s="678">
        <f t="shared" si="8"/>
        <v>69</v>
      </c>
    </row>
    <row r="90" spans="1:28" ht="15.75" thickBot="1" x14ac:dyDescent="0.3">
      <c r="A90" s="127">
        <v>48</v>
      </c>
      <c r="B90" s="686" t="s">
        <v>60</v>
      </c>
      <c r="C90" s="690"/>
      <c r="D90" s="21"/>
      <c r="E90" s="438">
        <v>25</v>
      </c>
      <c r="F90" s="24"/>
      <c r="G90" s="52"/>
      <c r="H90" s="24"/>
      <c r="I90" s="24"/>
      <c r="J90" s="25"/>
      <c r="K90" s="677">
        <f>$E$90</f>
        <v>25</v>
      </c>
      <c r="L90" s="677">
        <f t="shared" ref="L90:AB90" si="9">$E$90</f>
        <v>25</v>
      </c>
      <c r="M90" s="677">
        <f t="shared" si="9"/>
        <v>25</v>
      </c>
      <c r="N90" s="677">
        <f t="shared" si="9"/>
        <v>25</v>
      </c>
      <c r="O90" s="677">
        <f t="shared" si="9"/>
        <v>25</v>
      </c>
      <c r="P90" s="677">
        <f t="shared" si="9"/>
        <v>25</v>
      </c>
      <c r="Q90" s="677">
        <f t="shared" si="9"/>
        <v>25</v>
      </c>
      <c r="R90" s="677">
        <f t="shared" si="9"/>
        <v>25</v>
      </c>
      <c r="S90" s="677">
        <f t="shared" si="9"/>
        <v>25</v>
      </c>
      <c r="T90" s="677">
        <f t="shared" si="9"/>
        <v>25</v>
      </c>
      <c r="U90" s="677">
        <f t="shared" si="9"/>
        <v>25</v>
      </c>
      <c r="V90" s="677">
        <f t="shared" si="9"/>
        <v>25</v>
      </c>
      <c r="W90" s="677">
        <f t="shared" si="9"/>
        <v>25</v>
      </c>
      <c r="X90" s="677">
        <f t="shared" si="9"/>
        <v>25</v>
      </c>
      <c r="Y90" s="677">
        <f t="shared" si="9"/>
        <v>25</v>
      </c>
      <c r="Z90" s="677">
        <f t="shared" si="9"/>
        <v>25</v>
      </c>
      <c r="AA90" s="677">
        <f t="shared" si="9"/>
        <v>25</v>
      </c>
      <c r="AB90" s="679">
        <f t="shared" si="9"/>
        <v>25</v>
      </c>
    </row>
    <row r="91" spans="1:28" ht="15.75" thickBot="1" x14ac:dyDescent="0.3">
      <c r="A91" s="127">
        <v>49</v>
      </c>
      <c r="B91" s="686" t="str">
        <f>"SDE correctiebedrag gepubliceerd of prognose vanaf MSK-korting in "&amp;E35&amp;""</f>
        <v>SDE correctiebedrag gepubliceerd of prognose vanaf MSK-korting in 2024</v>
      </c>
      <c r="C91" s="690"/>
      <c r="D91" s="21"/>
      <c r="E91" s="695"/>
      <c r="F91" s="24"/>
      <c r="G91" s="52"/>
      <c r="H91" s="461"/>
      <c r="I91" s="630"/>
      <c r="J91" s="55"/>
      <c r="K91" s="631">
        <v>25</v>
      </c>
      <c r="L91" s="631">
        <f>K91*1.02</f>
        <v>25.5</v>
      </c>
      <c r="M91" s="631">
        <f t="shared" ref="M91:S91" si="10">L91*1.02</f>
        <v>26.01</v>
      </c>
      <c r="N91" s="631">
        <f t="shared" si="10"/>
        <v>26.530200000000001</v>
      </c>
      <c r="O91" s="631">
        <f t="shared" si="10"/>
        <v>27.060804000000001</v>
      </c>
      <c r="P91" s="631">
        <f t="shared" si="10"/>
        <v>27.602020080000003</v>
      </c>
      <c r="Q91" s="631">
        <f t="shared" si="10"/>
        <v>28.154060481600002</v>
      </c>
      <c r="R91" s="631">
        <f t="shared" si="10"/>
        <v>28.717141691232001</v>
      </c>
      <c r="S91" s="631">
        <f t="shared" si="10"/>
        <v>29.291484525056642</v>
      </c>
      <c r="T91" s="631">
        <f t="shared" ref="T91:AB91" si="11">S91*1.02</f>
        <v>29.877314215557774</v>
      </c>
      <c r="U91" s="631">
        <f t="shared" si="11"/>
        <v>30.474860499868932</v>
      </c>
      <c r="V91" s="631">
        <f t="shared" si="11"/>
        <v>31.08435770986631</v>
      </c>
      <c r="W91" s="631">
        <f t="shared" si="11"/>
        <v>31.706044864063639</v>
      </c>
      <c r="X91" s="631">
        <f t="shared" si="11"/>
        <v>32.340165761344913</v>
      </c>
      <c r="Y91" s="631">
        <f t="shared" si="11"/>
        <v>32.98696907657181</v>
      </c>
      <c r="Z91" s="631">
        <f t="shared" si="11"/>
        <v>33.646708458103248</v>
      </c>
      <c r="AA91" s="631">
        <f t="shared" si="11"/>
        <v>34.319642627265317</v>
      </c>
      <c r="AB91" s="631">
        <f t="shared" si="11"/>
        <v>35.006035479810627</v>
      </c>
    </row>
    <row r="92" spans="1:28" ht="15.75" thickBot="1" x14ac:dyDescent="0.3">
      <c r="A92" s="127">
        <v>50</v>
      </c>
      <c r="B92" s="686" t="s">
        <v>300</v>
      </c>
      <c r="C92" s="690"/>
      <c r="D92" s="21"/>
      <c r="E92" s="129"/>
      <c r="F92" s="50"/>
      <c r="G92" s="52"/>
      <c r="H92" s="461"/>
      <c r="I92" s="462"/>
      <c r="J92" s="25"/>
      <c r="K92" s="680">
        <f t="shared" ref="K92:W92" si="12">+K89-K90</f>
        <v>44</v>
      </c>
      <c r="L92" s="680">
        <f t="shared" si="12"/>
        <v>44</v>
      </c>
      <c r="M92" s="680">
        <f t="shared" si="12"/>
        <v>44</v>
      </c>
      <c r="N92" s="680">
        <f t="shared" si="12"/>
        <v>44</v>
      </c>
      <c r="O92" s="680">
        <f t="shared" si="12"/>
        <v>44</v>
      </c>
      <c r="P92" s="680">
        <f t="shared" si="12"/>
        <v>44</v>
      </c>
      <c r="Q92" s="680">
        <f t="shared" si="12"/>
        <v>44</v>
      </c>
      <c r="R92" s="680">
        <f t="shared" si="12"/>
        <v>44</v>
      </c>
      <c r="S92" s="680">
        <f t="shared" si="12"/>
        <v>44</v>
      </c>
      <c r="T92" s="680">
        <f t="shared" si="12"/>
        <v>44</v>
      </c>
      <c r="U92" s="680">
        <f t="shared" si="12"/>
        <v>44</v>
      </c>
      <c r="V92" s="680">
        <f t="shared" si="12"/>
        <v>44</v>
      </c>
      <c r="W92" s="680">
        <f t="shared" si="12"/>
        <v>44</v>
      </c>
      <c r="X92" s="680">
        <f>IF(X89=0,0,+X89-X90)</f>
        <v>44</v>
      </c>
      <c r="Y92" s="680">
        <f>IF(Y89=0,0,+Y89-Y90)</f>
        <v>44</v>
      </c>
      <c r="Z92" s="681">
        <f>IF(Z89=0,0,+Z89-Z90)</f>
        <v>44</v>
      </c>
      <c r="AA92" s="680">
        <f>IF(AA89=0,0,+AA89-AA90)</f>
        <v>44</v>
      </c>
      <c r="AB92" s="682">
        <f>IF(AB89=0,0,+AB89-AB90)</f>
        <v>44</v>
      </c>
    </row>
    <row r="93" spans="1:28" ht="15.75" thickBot="1" x14ac:dyDescent="0.3">
      <c r="A93" s="127">
        <v>51</v>
      </c>
      <c r="B93" s="686" t="s">
        <v>61</v>
      </c>
      <c r="C93" s="690"/>
      <c r="D93" s="21"/>
      <c r="E93" s="130"/>
      <c r="F93" s="131"/>
      <c r="G93" s="52"/>
      <c r="H93" s="461"/>
      <c r="I93" s="462"/>
      <c r="J93" s="16"/>
      <c r="K93" s="683">
        <f t="shared" ref="K93:AB93" si="13">+K89-K91</f>
        <v>44</v>
      </c>
      <c r="L93" s="683">
        <f t="shared" si="13"/>
        <v>43.5</v>
      </c>
      <c r="M93" s="683">
        <f t="shared" si="13"/>
        <v>42.989999999999995</v>
      </c>
      <c r="N93" s="683">
        <f t="shared" si="13"/>
        <v>42.469799999999999</v>
      </c>
      <c r="O93" s="683">
        <f t="shared" si="13"/>
        <v>41.939195999999995</v>
      </c>
      <c r="P93" s="683">
        <f t="shared" si="13"/>
        <v>41.397979919999997</v>
      </c>
      <c r="Q93" s="683">
        <f t="shared" si="13"/>
        <v>40.845939518400002</v>
      </c>
      <c r="R93" s="683">
        <f t="shared" si="13"/>
        <v>40.282858308767999</v>
      </c>
      <c r="S93" s="683">
        <f t="shared" si="13"/>
        <v>39.708515474943354</v>
      </c>
      <c r="T93" s="683">
        <f t="shared" si="13"/>
        <v>39.122685784442226</v>
      </c>
      <c r="U93" s="683">
        <f t="shared" si="13"/>
        <v>38.525139500131068</v>
      </c>
      <c r="V93" s="683">
        <f t="shared" si="13"/>
        <v>37.91564229013369</v>
      </c>
      <c r="W93" s="683">
        <f t="shared" si="13"/>
        <v>37.293955135936358</v>
      </c>
      <c r="X93" s="683">
        <f t="shared" si="13"/>
        <v>36.659834238655087</v>
      </c>
      <c r="Y93" s="683">
        <f t="shared" si="13"/>
        <v>36.01303092342819</v>
      </c>
      <c r="Z93" s="683">
        <f t="shared" si="13"/>
        <v>35.353291541896752</v>
      </c>
      <c r="AA93" s="683">
        <f t="shared" si="13"/>
        <v>34.680357372734683</v>
      </c>
      <c r="AB93" s="682">
        <f t="shared" si="13"/>
        <v>33.993964520189373</v>
      </c>
    </row>
    <row r="94" spans="1:28" s="3" customFormat="1" ht="15.75" thickBot="1" x14ac:dyDescent="0.3">
      <c r="A94" s="127"/>
      <c r="B94" s="686" t="s">
        <v>302</v>
      </c>
      <c r="C94" s="690"/>
      <c r="D94" s="25"/>
      <c r="E94" s="130"/>
      <c r="F94" s="131"/>
      <c r="G94" s="52"/>
      <c r="H94" s="463"/>
      <c r="I94" s="462"/>
      <c r="J94" s="25"/>
      <c r="K94" s="449">
        <v>0</v>
      </c>
      <c r="L94" s="449">
        <v>0</v>
      </c>
      <c r="M94" s="449">
        <v>0</v>
      </c>
      <c r="N94" s="449">
        <v>0</v>
      </c>
      <c r="O94" s="449">
        <v>0</v>
      </c>
      <c r="P94" s="449">
        <v>0</v>
      </c>
      <c r="Q94" s="449">
        <v>0</v>
      </c>
      <c r="R94" s="449">
        <v>0</v>
      </c>
      <c r="S94" s="449">
        <v>0</v>
      </c>
      <c r="T94" s="449">
        <v>0</v>
      </c>
      <c r="U94" s="449">
        <v>0</v>
      </c>
      <c r="V94" s="449">
        <v>0</v>
      </c>
      <c r="W94" s="449">
        <v>0</v>
      </c>
      <c r="X94" s="449">
        <v>0</v>
      </c>
      <c r="Y94" s="449">
        <v>0</v>
      </c>
      <c r="Z94" s="449">
        <v>0</v>
      </c>
      <c r="AA94" s="449">
        <v>0</v>
      </c>
      <c r="AB94" s="450">
        <v>0</v>
      </c>
    </row>
    <row r="95" spans="1:28" s="3" customFormat="1" ht="15.75" thickBot="1" x14ac:dyDescent="0.3">
      <c r="A95" s="127"/>
      <c r="B95" s="686" t="s">
        <v>303</v>
      </c>
      <c r="C95" s="690"/>
      <c r="D95" s="25"/>
      <c r="E95" s="130"/>
      <c r="F95" s="131"/>
      <c r="G95" s="52"/>
      <c r="H95" s="463"/>
      <c r="I95" s="462"/>
      <c r="J95" s="25"/>
      <c r="K95" s="684">
        <f>IF(K88&lt;$E$35,0,'Overzicht MSK toets'!$E$56)</f>
        <v>0</v>
      </c>
      <c r="L95" s="684">
        <f>IF(L88&lt;$E$35,0,'Overzicht MSK toets'!$E$56)</f>
        <v>0</v>
      </c>
      <c r="M95" s="684">
        <f>IF(M88&lt;$E$35,0,'Overzicht MSK toets'!$E$56)</f>
        <v>0</v>
      </c>
      <c r="N95" s="684">
        <f ca="1">IF(N88&lt;$E$35,0,'Overzicht MSK toets'!$E$56)</f>
        <v>0</v>
      </c>
      <c r="O95" s="684">
        <f ca="1">IF(O88&lt;$E$35,0,'Overzicht MSK toets'!$E$56)</f>
        <v>0</v>
      </c>
      <c r="P95" s="684">
        <f ca="1">IF(P88&lt;$E$35,0,'Overzicht MSK toets'!$E$56)</f>
        <v>0</v>
      </c>
      <c r="Q95" s="684">
        <f ca="1">IF(Q88&lt;$E$35,0,'Overzicht MSK toets'!$E$56)</f>
        <v>0</v>
      </c>
      <c r="R95" s="684">
        <f ca="1">IF(R88&lt;$E$35,0,'Overzicht MSK toets'!$E$56)</f>
        <v>0</v>
      </c>
      <c r="S95" s="684">
        <f ca="1">IF(S88&lt;$E$35,0,'Overzicht MSK toets'!$E$56)</f>
        <v>0</v>
      </c>
      <c r="T95" s="684">
        <f ca="1">IF(T88&lt;$E$35,0,'Overzicht MSK toets'!$E$56)</f>
        <v>0</v>
      </c>
      <c r="U95" s="684">
        <f ca="1">IF(U88&lt;$E$35,0,'Overzicht MSK toets'!$E$56)</f>
        <v>0</v>
      </c>
      <c r="V95" s="684">
        <f ca="1">IF(V88&lt;$E$35,0,'Overzicht MSK toets'!$E$56)</f>
        <v>0</v>
      </c>
      <c r="W95" s="684">
        <f ca="1">IF(W88&lt;$E$35,0,'Overzicht MSK toets'!$E$56)</f>
        <v>0</v>
      </c>
      <c r="X95" s="684">
        <f ca="1">IF(X88&lt;$E$35,0,'Overzicht MSK toets'!$E$56)</f>
        <v>0</v>
      </c>
      <c r="Y95" s="684">
        <f ca="1">IF(Y88&lt;$E$35,0,'Overzicht MSK toets'!$E$56)</f>
        <v>0</v>
      </c>
      <c r="Z95" s="684">
        <f ca="1">IF(Z88&lt;$E$35,0,'Overzicht MSK toets'!$E$56)</f>
        <v>0</v>
      </c>
      <c r="AA95" s="684">
        <f ca="1">IF(AA88&lt;$E$35,0,'Overzicht MSK toets'!$E$56)</f>
        <v>0</v>
      </c>
      <c r="AB95" s="679">
        <f ca="1">IF(AB88&lt;$E$35,0,'Overzicht MSK toets'!$E$56)</f>
        <v>0</v>
      </c>
    </row>
    <row r="96" spans="1:28" ht="15.75" thickBot="1" x14ac:dyDescent="0.3">
      <c r="B96" s="686" t="s">
        <v>304</v>
      </c>
      <c r="C96" s="691"/>
      <c r="H96" s="463"/>
      <c r="I96" s="334"/>
      <c r="K96" s="685">
        <f>IF(K93-K94-K95&gt;0,K93-K94-K95,0)</f>
        <v>44</v>
      </c>
      <c r="L96" s="685">
        <f t="shared" ref="L96:AB96" si="14">IF(L93-L94-L95&gt;0,L93-L94-L95,0)</f>
        <v>43.5</v>
      </c>
      <c r="M96" s="685">
        <f t="shared" si="14"/>
        <v>42.989999999999995</v>
      </c>
      <c r="N96" s="685">
        <f t="shared" ca="1" si="14"/>
        <v>42.469799999999999</v>
      </c>
      <c r="O96" s="685">
        <f t="shared" ca="1" si="14"/>
        <v>41.939195999999995</v>
      </c>
      <c r="P96" s="685">
        <f t="shared" ca="1" si="14"/>
        <v>41.397979919999997</v>
      </c>
      <c r="Q96" s="685">
        <f t="shared" ca="1" si="14"/>
        <v>40.845939518400002</v>
      </c>
      <c r="R96" s="685">
        <f t="shared" ca="1" si="14"/>
        <v>40.282858308767999</v>
      </c>
      <c r="S96" s="685">
        <f t="shared" ca="1" si="14"/>
        <v>39.708515474943354</v>
      </c>
      <c r="T96" s="685">
        <f t="shared" ca="1" si="14"/>
        <v>39.122685784442226</v>
      </c>
      <c r="U96" s="685">
        <f t="shared" ca="1" si="14"/>
        <v>38.525139500131068</v>
      </c>
      <c r="V96" s="685">
        <f t="shared" ca="1" si="14"/>
        <v>37.91564229013369</v>
      </c>
      <c r="W96" s="685">
        <f t="shared" ca="1" si="14"/>
        <v>37.293955135936358</v>
      </c>
      <c r="X96" s="685">
        <f t="shared" ca="1" si="14"/>
        <v>36.659834238655087</v>
      </c>
      <c r="Y96" s="685">
        <f t="shared" ca="1" si="14"/>
        <v>36.01303092342819</v>
      </c>
      <c r="Z96" s="685">
        <f t="shared" ca="1" si="14"/>
        <v>35.353291541896752</v>
      </c>
      <c r="AA96" s="685">
        <f t="shared" ca="1" si="14"/>
        <v>34.680357372734683</v>
      </c>
      <c r="AB96" s="685">
        <f t="shared" ca="1" si="14"/>
        <v>33.993964520189373</v>
      </c>
    </row>
    <row r="97" spans="1:28" ht="15" x14ac:dyDescent="0.25">
      <c r="A97" s="132"/>
      <c r="B97" s="334"/>
      <c r="C97" s="459"/>
      <c r="D97" s="21"/>
      <c r="E97" s="130"/>
      <c r="F97" s="24"/>
      <c r="G97" s="52"/>
      <c r="H97" s="464"/>
      <c r="I97" s="462"/>
      <c r="J97" s="25"/>
      <c r="K97" s="414"/>
      <c r="L97" s="414"/>
      <c r="M97" s="414"/>
      <c r="N97" s="414"/>
      <c r="O97" s="414"/>
      <c r="P97" s="414"/>
      <c r="Q97" s="414"/>
      <c r="R97" s="414"/>
      <c r="S97" s="414"/>
      <c r="T97" s="414"/>
      <c r="U97" s="414"/>
      <c r="V97" s="414"/>
      <c r="W97" s="414"/>
      <c r="X97" s="414"/>
      <c r="Y97" s="414"/>
      <c r="Z97" s="414"/>
      <c r="AA97" s="414"/>
      <c r="AB97" s="414"/>
    </row>
    <row r="98" spans="1:28" ht="15" x14ac:dyDescent="0.25">
      <c r="A98" s="132"/>
      <c r="B98" s="459"/>
      <c r="C98" s="459"/>
      <c r="D98" s="21"/>
      <c r="E98" s="130"/>
      <c r="F98" s="24"/>
      <c r="G98" s="52"/>
      <c r="H98" s="464"/>
      <c r="I98" s="462"/>
      <c r="J98" s="25"/>
      <c r="K98" s="25"/>
      <c r="L98" s="25"/>
      <c r="M98" s="25"/>
      <c r="N98" s="25"/>
      <c r="O98" s="25"/>
      <c r="P98" s="25"/>
      <c r="Q98" s="25"/>
      <c r="R98" s="25"/>
      <c r="S98" s="25"/>
      <c r="T98" s="25"/>
      <c r="U98" s="25"/>
      <c r="V98" s="25"/>
      <c r="W98" s="25"/>
      <c r="X98" s="25"/>
      <c r="Y98" s="25"/>
      <c r="Z98" s="25"/>
      <c r="AA98" s="25"/>
      <c r="AB98" s="25"/>
    </row>
    <row r="99" spans="1:28" ht="15.75" thickBot="1" x14ac:dyDescent="0.3">
      <c r="A99" s="67"/>
      <c r="B99" s="64"/>
      <c r="C99" s="64"/>
      <c r="D99" s="21"/>
      <c r="E99" s="129"/>
      <c r="F99" s="24"/>
      <c r="G99" s="52"/>
      <c r="H99" s="24"/>
      <c r="I99" s="24"/>
      <c r="J99" s="25"/>
    </row>
    <row r="100" spans="1:28" ht="15.75" thickBot="1" x14ac:dyDescent="0.3">
      <c r="A100" s="127"/>
      <c r="B100" s="58"/>
      <c r="C100" s="58"/>
      <c r="D100" s="21"/>
      <c r="E100" s="37"/>
      <c r="F100" s="50"/>
      <c r="G100" s="52"/>
      <c r="H100" s="24"/>
      <c r="I100" s="86"/>
      <c r="J100" s="25"/>
    </row>
    <row r="101" spans="1:28" ht="15.75" thickBot="1" x14ac:dyDescent="0.3">
      <c r="A101" s="133" t="s">
        <v>281</v>
      </c>
      <c r="B101" s="686" t="s">
        <v>62</v>
      </c>
      <c r="C101" s="662"/>
      <c r="D101" s="21"/>
      <c r="E101" s="126"/>
      <c r="F101" s="50"/>
      <c r="G101" s="35" t="s">
        <v>11</v>
      </c>
      <c r="H101" s="420">
        <f>AVERAGE(K101:Z101)</f>
        <v>29.123883210204081</v>
      </c>
      <c r="I101" s="86"/>
      <c r="J101" s="25"/>
      <c r="K101" s="673">
        <f t="shared" ref="K101:AB101" si="15">K91</f>
        <v>25</v>
      </c>
      <c r="L101" s="673">
        <f t="shared" si="15"/>
        <v>25.5</v>
      </c>
      <c r="M101" s="673">
        <f t="shared" si="15"/>
        <v>26.01</v>
      </c>
      <c r="N101" s="673">
        <f t="shared" si="15"/>
        <v>26.530200000000001</v>
      </c>
      <c r="O101" s="673">
        <f t="shared" si="15"/>
        <v>27.060804000000001</v>
      </c>
      <c r="P101" s="673">
        <f t="shared" si="15"/>
        <v>27.602020080000003</v>
      </c>
      <c r="Q101" s="673">
        <f t="shared" si="15"/>
        <v>28.154060481600002</v>
      </c>
      <c r="R101" s="673">
        <f t="shared" si="15"/>
        <v>28.717141691232001</v>
      </c>
      <c r="S101" s="673">
        <f t="shared" si="15"/>
        <v>29.291484525056642</v>
      </c>
      <c r="T101" s="673">
        <f t="shared" si="15"/>
        <v>29.877314215557774</v>
      </c>
      <c r="U101" s="673">
        <f t="shared" si="15"/>
        <v>30.474860499868932</v>
      </c>
      <c r="V101" s="673">
        <f t="shared" si="15"/>
        <v>31.08435770986631</v>
      </c>
      <c r="W101" s="673">
        <f t="shared" si="15"/>
        <v>31.706044864063639</v>
      </c>
      <c r="X101" s="673">
        <f t="shared" si="15"/>
        <v>32.340165761344913</v>
      </c>
      <c r="Y101" s="673">
        <f t="shared" si="15"/>
        <v>32.98696907657181</v>
      </c>
      <c r="Z101" s="673">
        <f t="shared" si="15"/>
        <v>33.646708458103248</v>
      </c>
      <c r="AA101" s="673">
        <f t="shared" si="15"/>
        <v>34.319642627265317</v>
      </c>
      <c r="AB101" s="674">
        <f t="shared" si="15"/>
        <v>35.006035479810627</v>
      </c>
    </row>
    <row r="102" spans="1:28" ht="15.75" thickBot="1" x14ac:dyDescent="0.3">
      <c r="A102" s="133" t="s">
        <v>282</v>
      </c>
      <c r="B102" s="686" t="s">
        <v>63</v>
      </c>
      <c r="C102" s="662"/>
      <c r="D102" s="21"/>
      <c r="E102" s="134"/>
      <c r="F102" s="50"/>
      <c r="G102" s="35" t="s">
        <v>11</v>
      </c>
      <c r="H102" s="420">
        <f>AVERAGE(K102:Z102)</f>
        <v>39.876116789795923</v>
      </c>
      <c r="I102" s="86"/>
      <c r="J102" s="25"/>
      <c r="K102" s="673">
        <f t="shared" ref="K102:AB102" si="16">+K89-K101</f>
        <v>44</v>
      </c>
      <c r="L102" s="673">
        <f t="shared" si="16"/>
        <v>43.5</v>
      </c>
      <c r="M102" s="673">
        <f t="shared" si="16"/>
        <v>42.989999999999995</v>
      </c>
      <c r="N102" s="673">
        <f t="shared" si="16"/>
        <v>42.469799999999999</v>
      </c>
      <c r="O102" s="673">
        <f t="shared" si="16"/>
        <v>41.939195999999995</v>
      </c>
      <c r="P102" s="673">
        <f t="shared" si="16"/>
        <v>41.397979919999997</v>
      </c>
      <c r="Q102" s="673">
        <f t="shared" si="16"/>
        <v>40.845939518400002</v>
      </c>
      <c r="R102" s="673">
        <f t="shared" si="16"/>
        <v>40.282858308767999</v>
      </c>
      <c r="S102" s="673">
        <f t="shared" si="16"/>
        <v>39.708515474943354</v>
      </c>
      <c r="T102" s="673">
        <f t="shared" si="16"/>
        <v>39.122685784442226</v>
      </c>
      <c r="U102" s="673">
        <f t="shared" si="16"/>
        <v>38.525139500131068</v>
      </c>
      <c r="V102" s="673">
        <f t="shared" si="16"/>
        <v>37.91564229013369</v>
      </c>
      <c r="W102" s="673">
        <f t="shared" si="16"/>
        <v>37.293955135936358</v>
      </c>
      <c r="X102" s="673">
        <f t="shared" si="16"/>
        <v>36.659834238655087</v>
      </c>
      <c r="Y102" s="673">
        <f t="shared" si="16"/>
        <v>36.01303092342819</v>
      </c>
      <c r="Z102" s="673">
        <f t="shared" si="16"/>
        <v>35.353291541896752</v>
      </c>
      <c r="AA102" s="673">
        <f t="shared" si="16"/>
        <v>34.680357372734683</v>
      </c>
      <c r="AB102" s="674">
        <f t="shared" si="16"/>
        <v>33.993964520189373</v>
      </c>
    </row>
    <row r="103" spans="1:28" s="3" customFormat="1" ht="15.75" thickBot="1" x14ac:dyDescent="0.3">
      <c r="A103" s="170"/>
      <c r="B103" s="686" t="s">
        <v>322</v>
      </c>
      <c r="C103" s="687"/>
      <c r="D103" s="25"/>
      <c r="E103" s="134"/>
      <c r="F103" s="131"/>
      <c r="G103" s="35"/>
      <c r="H103" s="420"/>
      <c r="I103" s="86"/>
      <c r="J103" s="25"/>
      <c r="K103" s="673">
        <f>K102*(K25*80%)</f>
        <v>17600</v>
      </c>
      <c r="L103" s="673">
        <f>L102*(L25*80%)+(K25*20%)*K102</f>
        <v>74000</v>
      </c>
      <c r="M103" s="673">
        <f t="shared" ref="M103:AB103" si="17">M102*(M25*80%)+(L25*20%)*L102</f>
        <v>86183.999999999985</v>
      </c>
      <c r="N103" s="673">
        <f t="shared" si="17"/>
        <v>85147.68</v>
      </c>
      <c r="O103" s="673">
        <f t="shared" si="17"/>
        <v>84090.633599999986</v>
      </c>
      <c r="P103" s="673">
        <f t="shared" si="17"/>
        <v>83012.446272000001</v>
      </c>
      <c r="Q103" s="673">
        <f t="shared" si="17"/>
        <v>81912.69519744</v>
      </c>
      <c r="R103" s="673">
        <f t="shared" si="17"/>
        <v>80790.949101388804</v>
      </c>
      <c r="S103" s="673">
        <f t="shared" si="17"/>
        <v>79646.768083416566</v>
      </c>
      <c r="T103" s="673">
        <f t="shared" si="17"/>
        <v>78479.703445084902</v>
      </c>
      <c r="U103" s="673">
        <f t="shared" si="17"/>
        <v>77289.297513986603</v>
      </c>
      <c r="V103" s="673">
        <f t="shared" si="17"/>
        <v>76075.083464266339</v>
      </c>
      <c r="W103" s="673">
        <f t="shared" si="17"/>
        <v>74836.585133551649</v>
      </c>
      <c r="X103" s="673">
        <f t="shared" si="17"/>
        <v>73573.316836222686</v>
      </c>
      <c r="Y103" s="673">
        <f t="shared" si="17"/>
        <v>72284.783172947136</v>
      </c>
      <c r="Z103" s="673">
        <f t="shared" si="17"/>
        <v>56829.162219647384</v>
      </c>
      <c r="AA103" s="673">
        <f t="shared" si="17"/>
        <v>10605.987462569026</v>
      </c>
      <c r="AB103" s="673">
        <f t="shared" si="17"/>
        <v>0</v>
      </c>
    </row>
    <row r="104" spans="1:28" ht="15.75" thickBot="1" x14ac:dyDescent="0.3">
      <c r="A104" s="133" t="s">
        <v>69</v>
      </c>
      <c r="B104" s="686" t="s">
        <v>323</v>
      </c>
      <c r="C104" s="687"/>
      <c r="D104" s="21"/>
      <c r="E104" s="135"/>
      <c r="F104" s="136"/>
      <c r="G104" s="35"/>
      <c r="H104" s="420">
        <f>SUM($K104:$AB104)/$E$18</f>
        <v>0</v>
      </c>
      <c r="I104" s="432">
        <f>NPV($E$85,K104:AB104)*'Hulpberekeningen 1'!$P$32</f>
        <v>0</v>
      </c>
      <c r="J104" s="25"/>
      <c r="K104" s="675">
        <v>0</v>
      </c>
      <c r="L104" s="675">
        <v>0</v>
      </c>
      <c r="M104" s="675">
        <f t="shared" ref="M104:AB104" si="18">L26*L102</f>
        <v>0</v>
      </c>
      <c r="N104" s="675">
        <f t="shared" si="18"/>
        <v>0</v>
      </c>
      <c r="O104" s="675">
        <f t="shared" si="18"/>
        <v>0</v>
      </c>
      <c r="P104" s="675">
        <f t="shared" si="18"/>
        <v>0</v>
      </c>
      <c r="Q104" s="675">
        <f t="shared" si="18"/>
        <v>0</v>
      </c>
      <c r="R104" s="675">
        <f t="shared" si="18"/>
        <v>0</v>
      </c>
      <c r="S104" s="675">
        <f t="shared" si="18"/>
        <v>0</v>
      </c>
      <c r="T104" s="675">
        <f t="shared" si="18"/>
        <v>0</v>
      </c>
      <c r="U104" s="675">
        <f t="shared" si="18"/>
        <v>0</v>
      </c>
      <c r="V104" s="675">
        <f t="shared" si="18"/>
        <v>0</v>
      </c>
      <c r="W104" s="675">
        <f t="shared" si="18"/>
        <v>0</v>
      </c>
      <c r="X104" s="675">
        <f t="shared" si="18"/>
        <v>0</v>
      </c>
      <c r="Y104" s="675">
        <f t="shared" si="18"/>
        <v>0</v>
      </c>
      <c r="Z104" s="675">
        <f t="shared" si="18"/>
        <v>0</v>
      </c>
      <c r="AA104" s="675">
        <f t="shared" si="18"/>
        <v>0</v>
      </c>
      <c r="AB104" s="675">
        <f t="shared" si="18"/>
        <v>0</v>
      </c>
    </row>
    <row r="105" spans="1:28" ht="15.75" thickBot="1" x14ac:dyDescent="0.3">
      <c r="A105" s="133" t="s">
        <v>283</v>
      </c>
      <c r="B105" s="686" t="s">
        <v>324</v>
      </c>
      <c r="C105" s="687"/>
      <c r="D105" s="21"/>
      <c r="E105" s="135"/>
      <c r="F105" s="136"/>
      <c r="G105" s="35"/>
      <c r="H105" s="421">
        <f>SUM($K105:$AB105)/$E$18</f>
        <v>0</v>
      </c>
      <c r="I105" s="432">
        <f>NPV($E$85,K105:AB105)*'Hulpberekeningen 1'!$P$32</f>
        <v>0</v>
      </c>
      <c r="J105" s="25"/>
      <c r="K105" s="674">
        <v>0</v>
      </c>
      <c r="L105" s="674">
        <f>L27*L102*80%</f>
        <v>0</v>
      </c>
      <c r="M105" s="674">
        <f t="shared" ref="M105:AB105" si="19">M27*M102*80%+L27*L102*20%</f>
        <v>0</v>
      </c>
      <c r="N105" s="674">
        <f t="shared" si="19"/>
        <v>0</v>
      </c>
      <c r="O105" s="674">
        <f t="shared" si="19"/>
        <v>0</v>
      </c>
      <c r="P105" s="674">
        <f t="shared" si="19"/>
        <v>0</v>
      </c>
      <c r="Q105" s="674">
        <f t="shared" si="19"/>
        <v>0</v>
      </c>
      <c r="R105" s="674">
        <f t="shared" si="19"/>
        <v>0</v>
      </c>
      <c r="S105" s="674">
        <f t="shared" si="19"/>
        <v>0</v>
      </c>
      <c r="T105" s="674">
        <f t="shared" si="19"/>
        <v>0</v>
      </c>
      <c r="U105" s="674">
        <f t="shared" si="19"/>
        <v>0</v>
      </c>
      <c r="V105" s="674">
        <f t="shared" si="19"/>
        <v>0</v>
      </c>
      <c r="W105" s="674">
        <f t="shared" si="19"/>
        <v>0</v>
      </c>
      <c r="X105" s="674">
        <f t="shared" si="19"/>
        <v>0</v>
      </c>
      <c r="Y105" s="674">
        <f t="shared" si="19"/>
        <v>0</v>
      </c>
      <c r="Z105" s="674">
        <f t="shared" si="19"/>
        <v>0</v>
      </c>
      <c r="AA105" s="674">
        <f t="shared" si="19"/>
        <v>0</v>
      </c>
      <c r="AB105" s="674">
        <f t="shared" si="19"/>
        <v>0</v>
      </c>
    </row>
    <row r="106" spans="1:28" ht="15.75" thickBot="1" x14ac:dyDescent="0.3">
      <c r="A106" s="127">
        <v>55</v>
      </c>
      <c r="B106" s="686" t="s">
        <v>321</v>
      </c>
      <c r="C106" s="687"/>
      <c r="D106" s="21"/>
      <c r="E106" s="135"/>
      <c r="F106" s="136"/>
      <c r="G106" s="35" t="s">
        <v>11</v>
      </c>
      <c r="H106" s="420">
        <f>SUM($K106:$AB106)/$E$18</f>
        <v>79490.606100168065</v>
      </c>
      <c r="I106" s="432">
        <f>NPV($E$85,K106:AB106)*'Hulpberekeningen 1'!$P$32</f>
        <v>1192359.091502521</v>
      </c>
      <c r="J106" s="25"/>
      <c r="K106" s="675">
        <f>SUM(K103:K105)</f>
        <v>17600</v>
      </c>
      <c r="L106" s="675">
        <f t="shared" ref="L106:AB106" si="20">SUM(L103:L105)</f>
        <v>74000</v>
      </c>
      <c r="M106" s="675">
        <f t="shared" si="20"/>
        <v>86183.999999999985</v>
      </c>
      <c r="N106" s="675">
        <f t="shared" si="20"/>
        <v>85147.68</v>
      </c>
      <c r="O106" s="675">
        <f t="shared" si="20"/>
        <v>84090.633599999986</v>
      </c>
      <c r="P106" s="675">
        <f t="shared" si="20"/>
        <v>83012.446272000001</v>
      </c>
      <c r="Q106" s="675">
        <f t="shared" si="20"/>
        <v>81912.69519744</v>
      </c>
      <c r="R106" s="675">
        <f t="shared" si="20"/>
        <v>80790.949101388804</v>
      </c>
      <c r="S106" s="675">
        <f t="shared" si="20"/>
        <v>79646.768083416566</v>
      </c>
      <c r="T106" s="675">
        <f t="shared" si="20"/>
        <v>78479.703445084902</v>
      </c>
      <c r="U106" s="675">
        <f t="shared" si="20"/>
        <v>77289.297513986603</v>
      </c>
      <c r="V106" s="675">
        <f t="shared" si="20"/>
        <v>76075.083464266339</v>
      </c>
      <c r="W106" s="675">
        <f t="shared" si="20"/>
        <v>74836.585133551649</v>
      </c>
      <c r="X106" s="675">
        <f t="shared" si="20"/>
        <v>73573.316836222686</v>
      </c>
      <c r="Y106" s="675">
        <f t="shared" si="20"/>
        <v>72284.783172947136</v>
      </c>
      <c r="Z106" s="675">
        <f t="shared" si="20"/>
        <v>56829.162219647384</v>
      </c>
      <c r="AA106" s="675">
        <f t="shared" si="20"/>
        <v>10605.987462569026</v>
      </c>
      <c r="AB106" s="675">
        <f t="shared" si="20"/>
        <v>0</v>
      </c>
    </row>
    <row r="107" spans="1:28" s="3" customFormat="1" ht="15.75" thickBot="1" x14ac:dyDescent="0.3">
      <c r="A107" s="429"/>
      <c r="B107" s="686" t="s">
        <v>305</v>
      </c>
      <c r="C107" s="662"/>
      <c r="D107" s="25"/>
      <c r="E107" s="135"/>
      <c r="F107" s="136"/>
      <c r="G107" s="35"/>
      <c r="H107" s="441">
        <f>SUM($K107:$AB107)/$E$18</f>
        <v>0</v>
      </c>
      <c r="I107" s="432">
        <f>NPV($E$85,K107:AB107)*'Hulpberekeningen 1'!$P$32</f>
        <v>0</v>
      </c>
      <c r="J107" s="25"/>
      <c r="K107" s="674">
        <f>IF(K94*K25*80%&lt;K106,K94*K25*80%,K106)</f>
        <v>0</v>
      </c>
      <c r="L107" s="674">
        <f>IF(K94*K25*20%+L94*L25*80%&lt;L106,K94*K25*20%+L94*L25*80%,L106)</f>
        <v>0</v>
      </c>
      <c r="M107" s="674">
        <f t="shared" ref="M107:AB107" si="21">IF(L94*L25*20%+M94*M25*80%&lt;M106,L94*L25*20%+M94*M25*80%,M106)</f>
        <v>0</v>
      </c>
      <c r="N107" s="674">
        <f t="shared" si="21"/>
        <v>0</v>
      </c>
      <c r="O107" s="674">
        <f t="shared" si="21"/>
        <v>0</v>
      </c>
      <c r="P107" s="674">
        <f t="shared" si="21"/>
        <v>0</v>
      </c>
      <c r="Q107" s="674">
        <f t="shared" si="21"/>
        <v>0</v>
      </c>
      <c r="R107" s="674">
        <f t="shared" si="21"/>
        <v>0</v>
      </c>
      <c r="S107" s="674">
        <f t="shared" si="21"/>
        <v>0</v>
      </c>
      <c r="T107" s="674">
        <f t="shared" si="21"/>
        <v>0</v>
      </c>
      <c r="U107" s="674">
        <f t="shared" si="21"/>
        <v>0</v>
      </c>
      <c r="V107" s="674">
        <f t="shared" si="21"/>
        <v>0</v>
      </c>
      <c r="W107" s="674">
        <f t="shared" si="21"/>
        <v>0</v>
      </c>
      <c r="X107" s="674">
        <f t="shared" si="21"/>
        <v>0</v>
      </c>
      <c r="Y107" s="674">
        <f t="shared" si="21"/>
        <v>0</v>
      </c>
      <c r="Z107" s="674">
        <f t="shared" si="21"/>
        <v>0</v>
      </c>
      <c r="AA107" s="674">
        <f t="shared" si="21"/>
        <v>0</v>
      </c>
      <c r="AB107" s="674">
        <f t="shared" si="21"/>
        <v>0</v>
      </c>
    </row>
    <row r="108" spans="1:28" ht="15.75" thickBot="1" x14ac:dyDescent="0.3">
      <c r="A108" s="439" t="s">
        <v>294</v>
      </c>
      <c r="B108" s="686" t="s">
        <v>301</v>
      </c>
      <c r="C108" s="662"/>
      <c r="D108" s="21"/>
      <c r="E108" s="413"/>
      <c r="F108" s="136"/>
      <c r="G108" s="52"/>
      <c r="H108" s="442">
        <f ca="1">SUM(K108:AB108)/15</f>
        <v>0</v>
      </c>
      <c r="I108" s="432">
        <f ca="1">NPV($E$85,K108:AB108)*'Hulpberekeningen 1'!$P$32</f>
        <v>0</v>
      </c>
      <c r="J108" s="25"/>
      <c r="K108" s="675">
        <f>IF(K88&lt;$E$35,0,
IF('Overzicht MSK toets'!$E$56*K25*80%+K107&lt;K106,'Overzicht MSK toets'!$E$56*K25*80%,K106-K107))</f>
        <v>0</v>
      </c>
      <c r="L108" s="675">
        <f>IF(L88&lt;$E$35,0,
IF(L88=$E$35,IF('Overzicht MSK toets'!$E$56*(L25+L27)*80%+L107&lt;L106,'Overzicht MSK toets'!$E$56*(L25+L27)*80%,L106-L107),
IF(L88&gt;$E$35,IF('Overzicht MSK toets'!$E$56*K25*20%+(L25+L27)*80%&lt;L106,'Overzicht MSK toets'!$E$56*(K25*20%+(L25+L27)*80%),L106))))</f>
        <v>0</v>
      </c>
      <c r="M108" s="675">
        <f>IF(M88&lt;$E$35,0,
IF(M88=$E$35,IF('Overzicht MSK toets'!$E$56*(M25+M27)*80%+M107&lt;M106,'Overzicht MSK toets'!$E$56*(M25+M27)*80%,M106-M107),
IF(M88&gt;$E$35,IF('Overzicht MSK toets'!$E$56*(L25*20%+L26*100%+(M25+M27)*80%)&lt;M106,'Overzicht MSK toets'!$E$56*(L25*20%+L26*100%+(M25+M27)*80%),M106))))</f>
        <v>0</v>
      </c>
      <c r="N108" s="675">
        <f ca="1">IF(N88&lt;$E$35,0,
IF(N88=$E$35,IF('Overzicht MSK toets'!$E$56*(N25+N27)*80%+N107&lt;N106,'Overzicht MSK toets'!$E$56*(N25+N27)*80%,N106-N107),
IF(N88&gt;$E$35,IF('Overzicht MSK toets'!$E$56*(M25*20%+M26*100%+(N25+N27)*80%)&lt;N106,'Overzicht MSK toets'!$E$56*(M25*20%+M26*100%+(N25+N27)*80%),N106))))</f>
        <v>0</v>
      </c>
      <c r="O108" s="675">
        <f ca="1">IF(O88&lt;$E$35,0,
IF(O88=$E$35,IF('Overzicht MSK toets'!$E$56*(O25+O27)*80%+O107&lt;O106,'Overzicht MSK toets'!$E$56*(O25+O27)*80%,O106-O107),
IF(O88&gt;$E$35,IF('Overzicht MSK toets'!$E$56*(N25*20%+N26*100%+(O25+O27)*80%)&lt;O106,'Overzicht MSK toets'!$E$56*(N25*20%+N26*100%+(O25+O27)*80%),O106))))</f>
        <v>0</v>
      </c>
      <c r="P108" s="675">
        <f ca="1">IF(P88&lt;$E$35,0,
IF(P88=$E$35,IF('Overzicht MSK toets'!$E$56*(P25+P27)*80%+P107&lt;P106,'Overzicht MSK toets'!$E$56*(P25+P27)*80%,P106-P107),
IF(P88&gt;$E$35,IF('Overzicht MSK toets'!$E$56*(O25*20%+O26*100%+(P25+P27)*80%)&lt;P106,'Overzicht MSK toets'!$E$56*(O25*20%+O26*100%+(P25+P27)*80%),P106))))</f>
        <v>0</v>
      </c>
      <c r="Q108" s="675">
        <f ca="1">IF(Q88&lt;$E$35,0,
IF(Q88=$E$35,IF('Overzicht MSK toets'!$E$56*(Q25+Q27)*80%+Q107&lt;Q106,'Overzicht MSK toets'!$E$56*(Q25+Q27)*80%,Q106-Q107),
IF(Q88&gt;$E$35,IF('Overzicht MSK toets'!$E$56*(P25*20%+P26*100%+(Q25+Q27)*80%)&lt;Q106,'Overzicht MSK toets'!$E$56*(P25*20%+P26*100%+(Q25+Q27)*80%),Q106))))</f>
        <v>0</v>
      </c>
      <c r="R108" s="675">
        <f ca="1">IF(R88&lt;$E$35,0,
IF(R88=$E$35,IF('Overzicht MSK toets'!$E$56*(R25+R27)*80%+R107&lt;R106,'Overzicht MSK toets'!$E$56*(R25+R27)*80%,R106-R107),
IF(R88&gt;$E$35,IF('Overzicht MSK toets'!$E$56*(Q25*20%+Q26*100%+(R25+R27)*80%)&lt;R106,'Overzicht MSK toets'!$E$56*(Q25*20%+Q26*100%+(R25+R27)*80%),R106))))</f>
        <v>0</v>
      </c>
      <c r="S108" s="675">
        <f ca="1">IF(S88&lt;$E$35,0,
IF(S88=$E$35,IF('Overzicht MSK toets'!$E$56*(S25+S27)*80%+S107&lt;S106,'Overzicht MSK toets'!$E$56*(S25+S27)*80%,S106-S107),
IF(S88&gt;$E$35,IF('Overzicht MSK toets'!$E$56*(R25*20%+R26*100%+(S25+S27)*80%)&lt;S106,'Overzicht MSK toets'!$E$56*(R25*20%+R26*100%+(S25+S27)*80%),S106))))</f>
        <v>0</v>
      </c>
      <c r="T108" s="675">
        <f ca="1">IF(T88&lt;$E$35,0,
IF(T88=$E$35,IF('Overzicht MSK toets'!$E$56*(T25+T27)*80%+T107&lt;T106,'Overzicht MSK toets'!$E$56*(T25+T27)*80%,T106-T107),
IF(T88&gt;$E$35,IF('Overzicht MSK toets'!$E$56*(S25*20%+S26*100%+(T25+T27)*80%)&lt;T106,'Overzicht MSK toets'!$E$56*(S25*20%+S26*100%+(T25+T27)*80%),T106))))</f>
        <v>0</v>
      </c>
      <c r="U108" s="675">
        <f ca="1">IF(U88&lt;$E$35,0,
IF(U88=$E$35,IF('Overzicht MSK toets'!$E$56*(U25+U27)*80%+U107&lt;U106,'Overzicht MSK toets'!$E$56*(U25+U27)*80%,U106-U107),
IF(U88&gt;$E$35,IF('Overzicht MSK toets'!$E$56*(T25*20%+T26*100%+(U25+U27)*80%)&lt;U106,'Overzicht MSK toets'!$E$56*(T25*20%+T26*100%+(U25+U27)*80%),U106))))</f>
        <v>0</v>
      </c>
      <c r="V108" s="675">
        <f ca="1">IF(V88&lt;$E$35,0,
IF(V88=$E$35,IF('Overzicht MSK toets'!$E$56*(V25+V27)*80%+V107&lt;V106,'Overzicht MSK toets'!$E$56*(V25+V27)*80%,V106-V107),
IF(V88&gt;$E$35,IF('Overzicht MSK toets'!$E$56*(U25*20%+U26*100%+(V25+V27)*80%)&lt;V106,'Overzicht MSK toets'!$E$56*(U25*20%+U26*100%+(V25+V27)*80%),V106))))</f>
        <v>0</v>
      </c>
      <c r="W108" s="675">
        <f ca="1">IF(W88&lt;$E$35,0,
IF(W88=$E$35,IF('Overzicht MSK toets'!$E$56*(W25+W27)*80%+W107&lt;W106,'Overzicht MSK toets'!$E$56*(W25+W27)*80%,W106-W107),
IF(W88&gt;$E$35,IF('Overzicht MSK toets'!$E$56*(V25*20%+V26*100%+(W25+W27)*80%)&lt;W106,'Overzicht MSK toets'!$E$56*(V25*20%+V26*100%+(W25+W27)*80%),W106))))</f>
        <v>0</v>
      </c>
      <c r="X108" s="675">
        <f ca="1">IF(X88&lt;$E$35,0,
IF(X88=$E$35,IF('Overzicht MSK toets'!$E$56*(X25+X27)*80%+X107&lt;X106,'Overzicht MSK toets'!$E$56*(X25+X27)*80%,X106-X107),
IF(X88&gt;$E$35,IF('Overzicht MSK toets'!$E$56*(W25*20%+W26*100%+(X25+X27)*80%)&lt;X106,'Overzicht MSK toets'!$E$56*(W25*20%+W26*100%+(X25+X27)*80%),X106))))</f>
        <v>0</v>
      </c>
      <c r="Y108" s="675">
        <f ca="1">IF(Y88&lt;$E$35,0,
IF(Y88=$E$35,IF('Overzicht MSK toets'!$E$56*(Y25+Y27)*80%+Y107&lt;Y106,'Overzicht MSK toets'!$E$56*(Y25+Y27)*80%,Y106-Y107),
IF(Y88&gt;$E$35,IF('Overzicht MSK toets'!$E$56*(X25*20%+X26*100%+(Y25+Y27)*80%)&lt;Y106,'Overzicht MSK toets'!$E$56*(X25*20%+X26*100%+(Y25+Y27)*80%),Y106))))</f>
        <v>0</v>
      </c>
      <c r="Z108" s="675">
        <f ca="1">IF(Z88&lt;$E$35,0,
IF(Z88=$E$35,IF('Overzicht MSK toets'!$E$56*(Z25+Z27)*80%+Z107&lt;Z106,'Overzicht MSK toets'!$E$56*(Z25+Z27)*80%,Z106-Z107),
IF(Z88&gt;$E$35,IF('Overzicht MSK toets'!$E$56*(Y25*20%+Y26*100%+(Z25+Z27)*80%)&lt;Z106,'Overzicht MSK toets'!$E$56*(Y25*20%+Y26*100%+(Z25+Z27)*80%),Z106))))</f>
        <v>0</v>
      </c>
      <c r="AA108" s="675">
        <f ca="1">IF(AA88&lt;$E$35,0,
IF(AA88=$E$35,IF('Overzicht MSK toets'!$E$56*(AA25+AA27)*80%+AA107&lt;AA106,'Overzicht MSK toets'!$E$56*(AA25+AA27)*80%,AA106-AA107),
IF(AA88&gt;$E$35,IF('Overzicht MSK toets'!$E$56*(Z25*20%+Z26*100%+(AA25+AA27)*80%)&lt;AA106,'Overzicht MSK toets'!$E$56*(Z25*20%+Z26*100%+(AA25+AA27)*80%),AA106))))</f>
        <v>0</v>
      </c>
      <c r="AB108" s="675">
        <f ca="1">IF(AB88&lt;$E$35,0,
IF(AB88=$E$35,IF('Overzicht MSK toets'!$E$56*(AB25+AB27)*80%+AB107&lt;AB106,'Overzicht MSK toets'!$E$56*(AB25+AB27)*80%,AB106-AB107),
IF(AB88&gt;$E$35,IF('Overzicht MSK toets'!$E$56*(AA25*20%+AA26*100%+(AB25+AB27)*80%)&lt;AB106,'Overzicht MSK toets'!$E$56*(AA25*20%+AA26*100%+(AB25+AB27)*80%),AB106))))</f>
        <v>0</v>
      </c>
    </row>
    <row r="109" spans="1:28" s="3" customFormat="1" ht="15.75" thickBot="1" x14ac:dyDescent="0.3">
      <c r="A109" s="439" t="s">
        <v>295</v>
      </c>
      <c r="B109" s="686" t="s">
        <v>293</v>
      </c>
      <c r="C109" s="662"/>
      <c r="D109" s="25"/>
      <c r="E109" s="135"/>
      <c r="F109" s="136"/>
      <c r="G109" s="52"/>
      <c r="H109" s="442">
        <f ca="1">SUM(K109:AB109)/15</f>
        <v>79490.606100168065</v>
      </c>
      <c r="I109" s="432">
        <f ca="1">NPV($E$85,K109:AB109)*'Hulpberekeningen 1'!$P$32</f>
        <v>1192359.091502521</v>
      </c>
      <c r="J109" s="25"/>
      <c r="K109" s="676">
        <f t="shared" ref="K109:AB109" si="22">K106-K107-K108</f>
        <v>17600</v>
      </c>
      <c r="L109" s="676">
        <f t="shared" si="22"/>
        <v>74000</v>
      </c>
      <c r="M109" s="676">
        <f t="shared" si="22"/>
        <v>86183.999999999985</v>
      </c>
      <c r="N109" s="676">
        <f t="shared" ca="1" si="22"/>
        <v>85147.68</v>
      </c>
      <c r="O109" s="676">
        <f t="shared" ca="1" si="22"/>
        <v>84090.633599999986</v>
      </c>
      <c r="P109" s="676">
        <f t="shared" ca="1" si="22"/>
        <v>83012.446272000001</v>
      </c>
      <c r="Q109" s="676">
        <f t="shared" ca="1" si="22"/>
        <v>81912.69519744</v>
      </c>
      <c r="R109" s="676">
        <f t="shared" ca="1" si="22"/>
        <v>80790.949101388804</v>
      </c>
      <c r="S109" s="676">
        <f t="shared" ca="1" si="22"/>
        <v>79646.768083416566</v>
      </c>
      <c r="T109" s="676">
        <f t="shared" ca="1" si="22"/>
        <v>78479.703445084902</v>
      </c>
      <c r="U109" s="676">
        <f t="shared" ca="1" si="22"/>
        <v>77289.297513986603</v>
      </c>
      <c r="V109" s="676">
        <f t="shared" ca="1" si="22"/>
        <v>76075.083464266339</v>
      </c>
      <c r="W109" s="676">
        <f t="shared" ca="1" si="22"/>
        <v>74836.585133551649</v>
      </c>
      <c r="X109" s="676">
        <f t="shared" ca="1" si="22"/>
        <v>73573.316836222686</v>
      </c>
      <c r="Y109" s="676">
        <f t="shared" ca="1" si="22"/>
        <v>72284.783172947136</v>
      </c>
      <c r="Z109" s="676">
        <f t="shared" ca="1" si="22"/>
        <v>56829.162219647384</v>
      </c>
      <c r="AA109" s="676">
        <f t="shared" ca="1" si="22"/>
        <v>10605.987462569026</v>
      </c>
      <c r="AB109" s="676">
        <f t="shared" ca="1" si="22"/>
        <v>0</v>
      </c>
    </row>
    <row r="110" spans="1:28" ht="15" x14ac:dyDescent="0.25">
      <c r="A110" s="127"/>
      <c r="B110" s="459"/>
      <c r="C110" s="64"/>
      <c r="D110" s="21"/>
      <c r="E110" s="135"/>
      <c r="F110" s="51"/>
      <c r="G110" s="52"/>
      <c r="H110" s="443"/>
      <c r="I110" s="444"/>
      <c r="J110" s="25"/>
      <c r="K110" s="496"/>
      <c r="L110" s="496"/>
      <c r="M110" s="496"/>
      <c r="N110" s="496"/>
      <c r="O110" s="496"/>
      <c r="P110" s="496"/>
      <c r="Q110" s="496"/>
      <c r="R110" s="496"/>
      <c r="S110" s="496"/>
      <c r="T110" s="496"/>
      <c r="U110" s="496"/>
      <c r="V110" s="496"/>
      <c r="W110" s="496"/>
      <c r="X110" s="496"/>
      <c r="Y110" s="496"/>
      <c r="Z110" s="496"/>
      <c r="AA110" s="496"/>
      <c r="AB110" s="496"/>
    </row>
    <row r="111" spans="1:28" s="3" customFormat="1" ht="15" x14ac:dyDescent="0.25">
      <c r="A111" s="410"/>
      <c r="B111" s="440" t="s">
        <v>307</v>
      </c>
      <c r="C111" s="54"/>
      <c r="D111" s="25"/>
      <c r="E111" s="135"/>
      <c r="F111" s="51"/>
      <c r="G111" s="52"/>
      <c r="H111" s="446"/>
      <c r="I111" s="448">
        <f>SUM(I106:I106)</f>
        <v>1192359.091502521</v>
      </c>
      <c r="J111" s="25"/>
      <c r="K111" s="409"/>
      <c r="L111" s="409"/>
      <c r="M111" s="409"/>
      <c r="N111" s="409"/>
      <c r="O111" s="409"/>
      <c r="P111" s="409"/>
      <c r="Q111" s="409"/>
      <c r="R111" s="409"/>
      <c r="S111" s="409"/>
      <c r="T111" s="409"/>
      <c r="U111" s="409"/>
      <c r="V111" s="409"/>
      <c r="W111" s="409"/>
      <c r="X111" s="409"/>
      <c r="Y111" s="409"/>
      <c r="Z111" s="409"/>
      <c r="AA111" s="409"/>
      <c r="AB111" s="409"/>
    </row>
    <row r="112" spans="1:28" s="3" customFormat="1" ht="15" x14ac:dyDescent="0.25">
      <c r="A112" s="410"/>
      <c r="B112" s="440" t="s">
        <v>308</v>
      </c>
      <c r="C112" s="54"/>
      <c r="D112" s="25"/>
      <c r="E112" s="135"/>
      <c r="F112" s="51"/>
      <c r="G112" s="52"/>
      <c r="H112" s="446"/>
      <c r="I112" s="447">
        <f ca="1">I107+I108</f>
        <v>0</v>
      </c>
      <c r="J112" s="25"/>
      <c r="K112" s="409"/>
      <c r="L112" s="409"/>
      <c r="M112" s="409"/>
      <c r="N112" s="409"/>
      <c r="O112" s="409"/>
      <c r="P112" s="409"/>
      <c r="Q112" s="409"/>
      <c r="R112" s="409"/>
      <c r="S112" s="409"/>
      <c r="T112" s="409"/>
      <c r="U112" s="409"/>
      <c r="V112" s="409"/>
      <c r="W112" s="409"/>
      <c r="X112" s="409"/>
      <c r="Y112" s="409"/>
      <c r="Z112" s="409"/>
      <c r="AA112" s="409"/>
      <c r="AB112" s="409"/>
    </row>
    <row r="113" spans="1:28" s="3" customFormat="1" ht="15" x14ac:dyDescent="0.25">
      <c r="A113" s="411" t="s">
        <v>297</v>
      </c>
      <c r="B113" s="440" t="s">
        <v>309</v>
      </c>
      <c r="C113" s="54"/>
      <c r="D113" s="25"/>
      <c r="E113" s="135"/>
      <c r="F113" s="51"/>
      <c r="G113" s="52"/>
      <c r="H113" s="443"/>
      <c r="I113" s="448">
        <f ca="1">I111-I112</f>
        <v>1192359.091502521</v>
      </c>
      <c r="J113" s="25"/>
      <c r="K113" s="137"/>
      <c r="L113" s="137"/>
      <c r="M113" s="137"/>
      <c r="N113" s="137"/>
      <c r="O113" s="137"/>
      <c r="P113" s="137"/>
      <c r="Q113" s="137"/>
      <c r="R113" s="137"/>
      <c r="S113" s="137"/>
      <c r="T113" s="137"/>
      <c r="U113" s="137"/>
      <c r="V113" s="137"/>
      <c r="W113" s="137"/>
      <c r="X113" s="137"/>
      <c r="Y113" s="137"/>
      <c r="Z113" s="137"/>
      <c r="AA113" s="137"/>
      <c r="AB113" s="137"/>
    </row>
    <row r="114" spans="1:28" s="3" customFormat="1" ht="15" x14ac:dyDescent="0.25">
      <c r="A114" s="411"/>
      <c r="B114" s="440" t="s">
        <v>310</v>
      </c>
      <c r="C114" s="54"/>
      <c r="D114" s="25"/>
      <c r="E114" s="135"/>
      <c r="F114" s="51"/>
      <c r="G114" s="52"/>
      <c r="H114" s="24"/>
      <c r="I114" s="448">
        <f ca="1">SUM(K109:AB109)</f>
        <v>1192359.091502521</v>
      </c>
      <c r="J114" s="25"/>
      <c r="K114" s="137"/>
      <c r="L114" s="137"/>
      <c r="M114" s="137"/>
      <c r="N114" s="137"/>
      <c r="O114" s="137"/>
      <c r="P114" s="137"/>
      <c r="Q114" s="137"/>
      <c r="R114" s="137"/>
      <c r="S114" s="137"/>
      <c r="T114" s="137"/>
      <c r="U114" s="137"/>
      <c r="V114" s="137"/>
      <c r="W114" s="137"/>
      <c r="X114" s="137"/>
      <c r="Y114" s="137"/>
      <c r="Z114" s="137"/>
      <c r="AA114" s="137"/>
      <c r="AB114" s="137"/>
    </row>
    <row r="115" spans="1:28" ht="15.75" x14ac:dyDescent="0.25">
      <c r="A115" s="72" t="s">
        <v>64</v>
      </c>
      <c r="B115" s="138"/>
      <c r="C115" s="138"/>
      <c r="D115" s="21"/>
      <c r="E115" s="139"/>
      <c r="G115" s="76"/>
      <c r="I115" s="51"/>
      <c r="J115" s="24"/>
      <c r="K115" s="29" t="s">
        <v>65</v>
      </c>
      <c r="L115" s="24"/>
      <c r="M115" s="24"/>
      <c r="N115" s="24"/>
      <c r="O115" s="24"/>
      <c r="P115" s="24"/>
      <c r="Q115" s="24"/>
      <c r="R115" s="24"/>
      <c r="S115" s="24"/>
      <c r="T115" s="24"/>
      <c r="U115" s="24"/>
      <c r="V115" s="24"/>
      <c r="W115" s="24"/>
      <c r="X115" s="24"/>
      <c r="Y115" s="24"/>
      <c r="Z115" s="24"/>
      <c r="AA115" s="24"/>
      <c r="AB115" s="24"/>
    </row>
    <row r="116" spans="1:28" ht="15.75" hidden="1" x14ac:dyDescent="0.25">
      <c r="A116" s="72"/>
      <c r="B116" s="139"/>
      <c r="C116" s="140"/>
      <c r="D116" s="21"/>
      <c r="E116" s="36"/>
      <c r="F116" s="141"/>
      <c r="G116" s="76"/>
      <c r="I116" s="51"/>
      <c r="J116" s="24"/>
      <c r="K116" s="31">
        <v>1</v>
      </c>
      <c r="L116" s="31">
        <v>2</v>
      </c>
      <c r="M116" s="101">
        <v>3</v>
      </c>
      <c r="N116" s="101">
        <v>4</v>
      </c>
      <c r="O116" s="101">
        <v>5</v>
      </c>
      <c r="P116" s="101">
        <v>6</v>
      </c>
      <c r="Q116" s="101">
        <v>7</v>
      </c>
      <c r="R116" s="101">
        <v>8</v>
      </c>
      <c r="S116" s="101">
        <v>9</v>
      </c>
      <c r="T116" s="101">
        <v>10</v>
      </c>
      <c r="U116" s="101">
        <v>11</v>
      </c>
      <c r="V116" s="101">
        <v>12</v>
      </c>
      <c r="W116" s="101">
        <v>13</v>
      </c>
      <c r="X116" s="142">
        <v>14</v>
      </c>
      <c r="Y116" s="142">
        <v>15</v>
      </c>
      <c r="Z116" s="142">
        <v>16</v>
      </c>
      <c r="AA116" s="142"/>
      <c r="AB116" s="142"/>
    </row>
    <row r="117" spans="1:28" ht="15" hidden="1" x14ac:dyDescent="0.25">
      <c r="D117" s="21"/>
      <c r="E117" s="143"/>
      <c r="G117" s="76"/>
      <c r="I117" s="24"/>
      <c r="J117" s="24"/>
      <c r="K117" s="31"/>
      <c r="L117" s="31"/>
      <c r="M117" s="101"/>
      <c r="N117" s="101"/>
      <c r="O117" s="101"/>
      <c r="P117" s="101"/>
      <c r="Q117" s="101"/>
      <c r="R117" s="101"/>
      <c r="S117" s="101"/>
      <c r="T117" s="101"/>
      <c r="U117" s="101"/>
      <c r="V117" s="101"/>
      <c r="W117" s="101"/>
      <c r="X117" s="142"/>
      <c r="Y117" s="142"/>
      <c r="Z117" s="142"/>
      <c r="AA117" s="142"/>
      <c r="AB117" s="142"/>
    </row>
    <row r="118" spans="1:28" ht="15.75" thickBot="1" x14ac:dyDescent="0.3">
      <c r="A118" s="144"/>
      <c r="B118" s="55" t="s">
        <v>66</v>
      </c>
      <c r="C118" s="55"/>
      <c r="D118" s="21"/>
      <c r="E118" s="143"/>
      <c r="G118" s="76"/>
      <c r="I118" s="24"/>
      <c r="J118" s="24"/>
      <c r="K118" s="31">
        <f>K18</f>
        <v>2021</v>
      </c>
      <c r="L118" s="31">
        <f t="shared" ref="L118:Z118" si="23">+K118+1</f>
        <v>2022</v>
      </c>
      <c r="M118" s="31">
        <f t="shared" si="23"/>
        <v>2023</v>
      </c>
      <c r="N118" s="31">
        <f t="shared" si="23"/>
        <v>2024</v>
      </c>
      <c r="O118" s="31">
        <f t="shared" si="23"/>
        <v>2025</v>
      </c>
      <c r="P118" s="31">
        <f t="shared" si="23"/>
        <v>2026</v>
      </c>
      <c r="Q118" s="31">
        <f t="shared" si="23"/>
        <v>2027</v>
      </c>
      <c r="R118" s="31">
        <f t="shared" si="23"/>
        <v>2028</v>
      </c>
      <c r="S118" s="31">
        <f t="shared" si="23"/>
        <v>2029</v>
      </c>
      <c r="T118" s="31">
        <f t="shared" si="23"/>
        <v>2030</v>
      </c>
      <c r="U118" s="31">
        <f t="shared" si="23"/>
        <v>2031</v>
      </c>
      <c r="V118" s="31">
        <f t="shared" si="23"/>
        <v>2032</v>
      </c>
      <c r="W118" s="31">
        <f t="shared" si="23"/>
        <v>2033</v>
      </c>
      <c r="X118" s="31">
        <f t="shared" si="23"/>
        <v>2034</v>
      </c>
      <c r="Y118" s="31">
        <f t="shared" si="23"/>
        <v>2035</v>
      </c>
      <c r="Z118" s="31">
        <f t="shared" si="23"/>
        <v>2036</v>
      </c>
      <c r="AA118" s="31">
        <f t="shared" ref="AA118" si="24">+Z118+1</f>
        <v>2037</v>
      </c>
      <c r="AB118" s="451"/>
    </row>
    <row r="119" spans="1:28" ht="15.75" thickBot="1" x14ac:dyDescent="0.3">
      <c r="A119" s="1">
        <v>56</v>
      </c>
      <c r="B119" s="32" t="s">
        <v>67</v>
      </c>
      <c r="C119" s="54"/>
      <c r="D119" s="21"/>
      <c r="E119" s="143"/>
      <c r="F119" s="50"/>
      <c r="G119" s="35" t="s">
        <v>11</v>
      </c>
      <c r="H119" s="145"/>
      <c r="I119" s="36"/>
      <c r="J119" s="24"/>
      <c r="K119" s="146">
        <f t="shared" ref="K119:AA119" si="25">K24</f>
        <v>500</v>
      </c>
      <c r="L119" s="146">
        <f t="shared" si="25"/>
        <v>2000</v>
      </c>
      <c r="M119" s="146">
        <f t="shared" si="25"/>
        <v>2000</v>
      </c>
      <c r="N119" s="146">
        <f t="shared" si="25"/>
        <v>2000</v>
      </c>
      <c r="O119" s="146">
        <f t="shared" si="25"/>
        <v>2000</v>
      </c>
      <c r="P119" s="146">
        <f t="shared" si="25"/>
        <v>2000</v>
      </c>
      <c r="Q119" s="146">
        <f t="shared" si="25"/>
        <v>2000</v>
      </c>
      <c r="R119" s="146">
        <f t="shared" si="25"/>
        <v>2000</v>
      </c>
      <c r="S119" s="146">
        <f t="shared" si="25"/>
        <v>2000</v>
      </c>
      <c r="T119" s="146">
        <f t="shared" si="25"/>
        <v>2000</v>
      </c>
      <c r="U119" s="146">
        <f t="shared" si="25"/>
        <v>2000</v>
      </c>
      <c r="V119" s="146">
        <f t="shared" si="25"/>
        <v>2000</v>
      </c>
      <c r="W119" s="146">
        <f t="shared" si="25"/>
        <v>2000</v>
      </c>
      <c r="X119" s="146">
        <f t="shared" si="25"/>
        <v>2000</v>
      </c>
      <c r="Y119" s="146">
        <f t="shared" si="25"/>
        <v>2000</v>
      </c>
      <c r="Z119" s="146">
        <f t="shared" si="25"/>
        <v>1500</v>
      </c>
      <c r="AA119" s="150">
        <f t="shared" si="25"/>
        <v>0</v>
      </c>
      <c r="AB119" s="452"/>
    </row>
    <row r="120" spans="1:28" ht="15" x14ac:dyDescent="0.25">
      <c r="B120" s="64"/>
      <c r="C120" s="64"/>
      <c r="D120" s="21"/>
      <c r="G120" s="76"/>
      <c r="I120" s="24"/>
      <c r="J120" s="24"/>
      <c r="K120" s="29"/>
      <c r="L120" s="24"/>
      <c r="M120" s="24"/>
      <c r="N120" s="24"/>
      <c r="O120" s="24"/>
      <c r="P120" s="24"/>
      <c r="Q120" s="24"/>
      <c r="R120" s="24"/>
      <c r="S120" s="24"/>
      <c r="T120" s="24"/>
      <c r="U120" s="24"/>
      <c r="V120" s="24"/>
      <c r="W120" s="24"/>
      <c r="X120" s="24"/>
      <c r="Y120" s="24"/>
      <c r="Z120" s="24"/>
      <c r="AA120" s="24"/>
      <c r="AB120" s="436"/>
    </row>
    <row r="121" spans="1:28" ht="15.75" thickBot="1" x14ac:dyDescent="0.3">
      <c r="B121" s="16" t="s">
        <v>68</v>
      </c>
      <c r="C121" s="16"/>
      <c r="D121" s="21"/>
      <c r="F121" s="58"/>
      <c r="G121" s="78"/>
      <c r="H121" s="63"/>
      <c r="I121" s="24"/>
      <c r="J121" s="24"/>
      <c r="K121" s="31"/>
      <c r="L121" s="31"/>
      <c r="M121" s="31"/>
      <c r="N121" s="31"/>
      <c r="O121" s="31"/>
      <c r="P121" s="31"/>
      <c r="Q121" s="31"/>
      <c r="R121" s="31"/>
      <c r="S121" s="31"/>
      <c r="T121" s="31"/>
      <c r="U121" s="31"/>
      <c r="V121" s="31"/>
      <c r="W121" s="31"/>
      <c r="X121" s="31"/>
      <c r="Y121" s="31"/>
      <c r="Z121" s="31"/>
      <c r="AA121" s="31"/>
      <c r="AB121" s="451"/>
    </row>
    <row r="122" spans="1:28" ht="15.75" thickBot="1" x14ac:dyDescent="0.3">
      <c r="A122" s="147">
        <v>57</v>
      </c>
      <c r="B122" s="375" t="s">
        <v>453</v>
      </c>
      <c r="C122" s="688"/>
      <c r="D122" s="25"/>
      <c r="E122" s="126"/>
      <c r="F122" s="64"/>
      <c r="G122" s="149"/>
      <c r="H122" s="445">
        <f>AVERAGE(K122:Z122)</f>
        <v>29.123883210204081</v>
      </c>
      <c r="I122" s="24"/>
      <c r="J122" s="24"/>
      <c r="K122" s="672">
        <f t="shared" ref="K122:AA122" si="26">K101</f>
        <v>25</v>
      </c>
      <c r="L122" s="672">
        <f t="shared" si="26"/>
        <v>25.5</v>
      </c>
      <c r="M122" s="672">
        <f t="shared" si="26"/>
        <v>26.01</v>
      </c>
      <c r="N122" s="672">
        <f t="shared" si="26"/>
        <v>26.530200000000001</v>
      </c>
      <c r="O122" s="672">
        <f t="shared" si="26"/>
        <v>27.060804000000001</v>
      </c>
      <c r="P122" s="672">
        <f t="shared" si="26"/>
        <v>27.602020080000003</v>
      </c>
      <c r="Q122" s="672">
        <f t="shared" si="26"/>
        <v>28.154060481600002</v>
      </c>
      <c r="R122" s="672">
        <f t="shared" si="26"/>
        <v>28.717141691232001</v>
      </c>
      <c r="S122" s="672">
        <f t="shared" si="26"/>
        <v>29.291484525056642</v>
      </c>
      <c r="T122" s="672">
        <f t="shared" si="26"/>
        <v>29.877314215557774</v>
      </c>
      <c r="U122" s="672">
        <f t="shared" si="26"/>
        <v>30.474860499868932</v>
      </c>
      <c r="V122" s="672">
        <f t="shared" si="26"/>
        <v>31.08435770986631</v>
      </c>
      <c r="W122" s="672">
        <f t="shared" si="26"/>
        <v>31.706044864063639</v>
      </c>
      <c r="X122" s="672">
        <f t="shared" si="26"/>
        <v>32.340165761344913</v>
      </c>
      <c r="Y122" s="672">
        <f t="shared" si="26"/>
        <v>32.98696907657181</v>
      </c>
      <c r="Z122" s="672">
        <f t="shared" si="26"/>
        <v>33.646708458103248</v>
      </c>
      <c r="AA122" s="672">
        <f t="shared" si="26"/>
        <v>34.319642627265317</v>
      </c>
      <c r="AB122" s="452"/>
    </row>
    <row r="123" spans="1:28" ht="15.75" thickBot="1" x14ac:dyDescent="0.3">
      <c r="A123" s="127">
        <v>58</v>
      </c>
      <c r="B123" s="32"/>
      <c r="C123" s="662"/>
      <c r="D123" s="21"/>
      <c r="E123" s="151"/>
      <c r="F123" s="50"/>
      <c r="G123" s="35" t="s">
        <v>11</v>
      </c>
      <c r="H123" s="128"/>
      <c r="I123" s="24"/>
      <c r="J123" s="24"/>
      <c r="K123" s="150"/>
      <c r="L123" s="150"/>
      <c r="M123" s="150"/>
      <c r="N123" s="150"/>
      <c r="O123" s="150"/>
      <c r="P123" s="150"/>
      <c r="Q123" s="150"/>
      <c r="R123" s="150"/>
      <c r="S123" s="150"/>
      <c r="T123" s="150"/>
      <c r="U123" s="150"/>
      <c r="V123" s="150"/>
      <c r="W123" s="150"/>
      <c r="X123" s="150"/>
      <c r="Y123" s="150"/>
      <c r="Z123" s="150"/>
      <c r="AA123" s="150"/>
      <c r="AB123" s="452"/>
    </row>
    <row r="124" spans="1:28" ht="15" x14ac:dyDescent="0.25">
      <c r="B124" s="29"/>
      <c r="C124" s="689"/>
      <c r="D124" s="21"/>
      <c r="E124" s="24"/>
      <c r="G124" s="76"/>
      <c r="H124" s="58"/>
      <c r="I124" s="29"/>
      <c r="J124" s="24"/>
      <c r="K124" s="31"/>
      <c r="L124" s="31"/>
      <c r="M124" s="31"/>
      <c r="N124" s="31"/>
      <c r="O124" s="31"/>
      <c r="P124" s="31"/>
      <c r="Q124" s="31"/>
      <c r="R124" s="31"/>
      <c r="S124" s="31"/>
      <c r="T124" s="31"/>
      <c r="U124" s="31"/>
      <c r="V124" s="31"/>
      <c r="W124" s="31"/>
      <c r="X124" s="31"/>
      <c r="Y124" s="31"/>
      <c r="Z124" s="31"/>
      <c r="AA124" s="31"/>
      <c r="AB124" s="451"/>
    </row>
    <row r="125" spans="1:28" ht="15.75" thickBot="1" x14ac:dyDescent="0.3">
      <c r="B125" s="29" t="s">
        <v>70</v>
      </c>
      <c r="C125" s="689"/>
      <c r="D125" s="21"/>
      <c r="E125" s="24"/>
      <c r="F125" s="58"/>
      <c r="G125" s="78"/>
      <c r="I125" s="24"/>
      <c r="J125" s="24"/>
      <c r="K125" s="31"/>
      <c r="L125" s="31"/>
      <c r="M125" s="31"/>
      <c r="N125" s="31"/>
      <c r="O125" s="31"/>
      <c r="P125" s="31"/>
      <c r="Q125" s="31"/>
      <c r="R125" s="31"/>
      <c r="S125" s="31"/>
      <c r="T125" s="31"/>
      <c r="U125" s="31"/>
      <c r="V125" s="31"/>
      <c r="W125" s="31"/>
      <c r="X125" s="31"/>
      <c r="Y125" s="31"/>
      <c r="Z125" s="31"/>
      <c r="AA125" s="31"/>
      <c r="AB125" s="451"/>
    </row>
    <row r="126" spans="1:28" ht="15.75" thickBot="1" x14ac:dyDescent="0.3">
      <c r="A126" s="152">
        <v>59</v>
      </c>
      <c r="B126" s="375" t="s">
        <v>454</v>
      </c>
      <c r="C126" s="662"/>
      <c r="D126" s="21"/>
      <c r="E126" s="126"/>
      <c r="F126" s="58"/>
      <c r="G126" s="35" t="s">
        <v>11</v>
      </c>
      <c r="H126" s="445">
        <f>SUM($K126:$AB126)/$E$18</f>
        <v>58509.393899831921</v>
      </c>
      <c r="I126" s="315">
        <f>NPV($E$85,K126:AA126)*'Hulpberekeningen 1'!$P$32</f>
        <v>877640.90849747881</v>
      </c>
      <c r="J126" s="122"/>
      <c r="K126" s="672">
        <f>K119*K122</f>
        <v>12500</v>
      </c>
      <c r="L126" s="672">
        <f t="shared" ref="L126:AA126" si="27">L119*L122</f>
        <v>51000</v>
      </c>
      <c r="M126" s="672">
        <f t="shared" si="27"/>
        <v>52020</v>
      </c>
      <c r="N126" s="672">
        <f t="shared" si="27"/>
        <v>53060.4</v>
      </c>
      <c r="O126" s="672">
        <f t="shared" si="27"/>
        <v>54121.608</v>
      </c>
      <c r="P126" s="672">
        <f t="shared" si="27"/>
        <v>55204.040160000004</v>
      </c>
      <c r="Q126" s="672">
        <f t="shared" si="27"/>
        <v>56308.120963200003</v>
      </c>
      <c r="R126" s="672">
        <f t="shared" si="27"/>
        <v>57434.283382464004</v>
      </c>
      <c r="S126" s="672">
        <f t="shared" si="27"/>
        <v>58582.969050113286</v>
      </c>
      <c r="T126" s="672">
        <f t="shared" si="27"/>
        <v>59754.628431115547</v>
      </c>
      <c r="U126" s="672">
        <f t="shared" si="27"/>
        <v>60949.720999737867</v>
      </c>
      <c r="V126" s="672">
        <f t="shared" si="27"/>
        <v>62168.715419732624</v>
      </c>
      <c r="W126" s="672">
        <f t="shared" si="27"/>
        <v>63412.089728127277</v>
      </c>
      <c r="X126" s="672">
        <f t="shared" si="27"/>
        <v>64680.331522689827</v>
      </c>
      <c r="Y126" s="672">
        <f t="shared" si="27"/>
        <v>65973.938153143623</v>
      </c>
      <c r="Z126" s="672">
        <f t="shared" si="27"/>
        <v>50470.062687154874</v>
      </c>
      <c r="AA126" s="672">
        <f t="shared" si="27"/>
        <v>0</v>
      </c>
      <c r="AB126" s="452"/>
    </row>
    <row r="127" spans="1:28" ht="15.75" thickBot="1" x14ac:dyDescent="0.3">
      <c r="A127" s="153"/>
      <c r="B127" s="16" t="s">
        <v>71</v>
      </c>
      <c r="C127" s="414"/>
      <c r="D127" s="21"/>
      <c r="E127" s="24"/>
      <c r="F127" s="24"/>
      <c r="G127" s="52"/>
      <c r="H127" s="24"/>
      <c r="I127" s="315"/>
      <c r="J127" s="24"/>
      <c r="K127" s="49"/>
      <c r="L127" s="49"/>
      <c r="AB127" s="343"/>
    </row>
    <row r="128" spans="1:28" ht="15.75" thickBot="1" x14ac:dyDescent="0.3">
      <c r="A128" s="152">
        <v>61</v>
      </c>
      <c r="B128" s="32" t="s">
        <v>72</v>
      </c>
      <c r="C128" s="33"/>
      <c r="D128" s="21"/>
      <c r="E128" s="151"/>
      <c r="F128" s="50"/>
      <c r="G128" s="35" t="s">
        <v>11</v>
      </c>
      <c r="H128" s="445">
        <f>SUM($K128:$AB128)/$E$18</f>
        <v>12933.522400660693</v>
      </c>
      <c r="I128" s="315">
        <f>NPV($E$85,K128:AA128)*'Hulpberekeningen 1'!$P$32</f>
        <v>194002.83600991039</v>
      </c>
      <c r="J128" s="24"/>
      <c r="K128" s="316" cm="1">
        <f t="array" ref="K128">IF(YEAR($E$32)&gt;K18,0,
IF(AND(YEAR($E$32)=K18,$E$32&gt;$E$33),(1-(MONTH($E$32)-1)/12)*SUMPRODUCT((Stamblad!$A$3:$A$6=Invoerblad!$E$14)*(Stamblad!$B$2:$I$2=LEFT(Invoerblad!$E$13,5))*Stamblad!$B$3:$I$6)*$E$16,
'Hulpberekeningen 1'!E24*SUMPRODUCT((Stamblad!$A$3:$A$6=Invoerblad!$E$14)*(Stamblad!$B$2:$I$2=LEFT(Invoerblad!$E$13,5))*Stamblad!$B$3:$I$6)*$E$16))</f>
        <v>2875</v>
      </c>
      <c r="L128" s="316" cm="1">
        <f t="array" ref="L128">IF(YEAR($E$32)&gt;L18,0,
IF(AND(YEAR($E$32)=L18,$E$32&gt;$E$33),(1-(MONTH($E$32)-1)/12)*SUMPRODUCT((Stamblad!$A$3:$A$6=Invoerblad!$E$14)*(Stamblad!$B$2:$I$2=LEFT(Invoerblad!$E$13,5))*Stamblad!$B$3:$I$6)*$E$16*POWER(1+SUMPRODUCT((Stamblad!$B$14:$I$14=LEFT(Invoerblad!$E$13,5))*Stamblad!$B$21:$I$21),1),
'Hulpberekeningen 1'!F24*SUMPRODUCT((Stamblad!$A$3:$A$6=Invoerblad!$E$14)*(Stamblad!$B$2:$I$2=LEFT(Invoerblad!$E$13,5))*Stamblad!$B$3:$I$6)*$E$16*POWER(1+SUMPRODUCT((Stamblad!$B$14:$I$14=LEFT(Invoerblad!$E$13,5))*Stamblad!$B$21:$I$21),1)))</f>
        <v>11672.499999999998</v>
      </c>
      <c r="M128" s="316" cm="1">
        <f t="array" ref="M128">IF(YEAR($E$32)&gt;M18,0,
IF(AND(YEAR($E$32)=M18,$E$32&gt;$E$33),(1-(MONTH($E$32)-1)/12)*SUMPRODUCT((Stamblad!$A$3:$A$6=Invoerblad!$E$14)*(Stamblad!$B$2:$I$2=LEFT(Invoerblad!$E$13,5))*Stamblad!$B$3:$I$6)*$E$16*POWER(1+SUMPRODUCT((Stamblad!$B$14:$I$14=LEFT(Invoerblad!$E$13,5))*Stamblad!$B$21:$I$21),2),
'Hulpberekeningen 1'!G24*SUMPRODUCT((Stamblad!$A$3:$A$6=Invoerblad!$E$14)*(Stamblad!$B$2:$I$2=LEFT(Invoerblad!$E$13,5))*Stamblad!$B$3:$I$6)*$E$16*POWER(1+SUMPRODUCT((Stamblad!$B$14:$I$14=LEFT(Invoerblad!$E$13,5))*Stamblad!$B$21:$I$21),2)))</f>
        <v>11847.587499999996</v>
      </c>
      <c r="N128" s="316" cm="1">
        <f t="array" ref="N128">SUMPRODUCT((Stamblad!$A$3:$A$6=Invoerblad!$E$14)*(Stamblad!$B$2:$I$2=LEFT(Invoerblad!$E$13,5))*Stamblad!$B$3:$I$6)*$E$16*POWER(1+SUMPRODUCT((Stamblad!$B$14:$I$14=LEFT(Invoerblad!$E$13,5))*Stamblad!$B$21:$I$21),3)</f>
        <v>12025.301312499996</v>
      </c>
      <c r="O128" s="316" cm="1">
        <f t="array" ref="O128">SUMPRODUCT((Stamblad!$A$3:$A$6=Invoerblad!$E$14)*(Stamblad!$B$2:$I$2=LEFT(Invoerblad!$E$13,5))*Stamblad!$B$3:$I$6)*$E$16*POWER(1+SUMPRODUCT((Stamblad!$B$14:$I$14=LEFT(Invoerblad!$E$13,5))*Stamblad!$B$21:$I$21),4)</f>
        <v>12205.680832187494</v>
      </c>
      <c r="P128" s="316" cm="1">
        <f t="array" ref="P128">SUMPRODUCT((Stamblad!$A$3:$A$6=Invoerblad!$E$14)*(Stamblad!$B$2:$I$2=LEFT(Invoerblad!$E$13,5))*Stamblad!$B$3:$I$6)*$E$16*POWER(1+SUMPRODUCT((Stamblad!$B$14:$I$14=LEFT(Invoerblad!$E$13,5))*Stamblad!$B$21:$I$21),5)</f>
        <v>12388.766044670305</v>
      </c>
      <c r="Q128" s="316" cm="1">
        <f t="array" ref="Q128">SUMPRODUCT((Stamblad!$A$3:$A$6=Invoerblad!$E$14)*(Stamblad!$B$2:$I$2=LEFT(Invoerblad!$E$13,5))*Stamblad!$B$3:$I$6)*$E$16*POWER(1+SUMPRODUCT((Stamblad!$B$14:$I$14=LEFT(Invoerblad!$E$13,5))*Stamblad!$B$21:$I$21),6)</f>
        <v>12574.597535340356</v>
      </c>
      <c r="R128" s="316" cm="1">
        <f t="array" ref="R128">SUMPRODUCT((Stamblad!$A$3:$A$6=Invoerblad!$E$14)*(Stamblad!$B$2:$I$2=LEFT(Invoerblad!$E$13,5))*Stamblad!$B$3:$I$6)*$E$16*POWER(1+SUMPRODUCT((Stamblad!$B$14:$I$14=LEFT(Invoerblad!$E$13,5))*Stamblad!$B$21:$I$21),7)</f>
        <v>12763.216498370461</v>
      </c>
      <c r="S128" s="316" cm="1">
        <f t="array" ref="S128">SUMPRODUCT((Stamblad!$A$3:$A$6=Invoerblad!$E$14)*(Stamblad!$B$2:$I$2=LEFT(Invoerblad!$E$13,5))*Stamblad!$B$3:$I$6)*$E$16*POWER(1+SUMPRODUCT((Stamblad!$B$14:$I$14=LEFT(Invoerblad!$E$13,5))*Stamblad!$B$21:$I$21),8)</f>
        <v>12954.664745846016</v>
      </c>
      <c r="T128" s="316" cm="1">
        <f t="array" ref="T128">SUMPRODUCT((Stamblad!$A$3:$A$6=Invoerblad!$E$14)*(Stamblad!$B$2:$I$2=LEFT(Invoerblad!$E$13,5))*Stamblad!$B$3:$I$6)*$E$16*POWER(1+SUMPRODUCT((Stamblad!$B$14:$I$14=LEFT(Invoerblad!$E$13,5))*Stamblad!$B$21:$I$21),9)</f>
        <v>13148.984717033703</v>
      </c>
      <c r="U128" s="316" cm="1">
        <f t="array" ref="U128">SUMPRODUCT((Stamblad!$A$3:$A$6=Invoerblad!$E$14)*(Stamblad!$B$2:$I$2=LEFT(Invoerblad!$E$13,5))*Stamblad!$B$3:$I$6)*$E$16*POWER(1+SUMPRODUCT((Stamblad!$B$14:$I$14=LEFT(Invoerblad!$E$13,5))*Stamblad!$B$21:$I$21),10)</f>
        <v>13346.219487789209</v>
      </c>
      <c r="V128" s="316" cm="1">
        <f t="array" ref="V128">SUMPRODUCT((Stamblad!$A$3:$A$6=Invoerblad!$E$14)*(Stamblad!$B$2:$I$2=LEFT(Invoerblad!$E$13,5))*Stamblad!$B$3:$I$6)*$E$16*POWER(1+SUMPRODUCT((Stamblad!$B$14:$I$14=LEFT(Invoerblad!$E$13,5))*Stamblad!$B$21:$I$21),11)</f>
        <v>13546.412780106044</v>
      </c>
      <c r="W128" s="316" cm="1">
        <f t="array" ref="W128">SUMPRODUCT((Stamblad!$A$3:$A$6=Invoerblad!$E$14)*(Stamblad!$B$2:$I$2=LEFT(Invoerblad!$E$13,5))*Stamblad!$B$3:$I$6)*$E$16*POWER(1+SUMPRODUCT((Stamblad!$B$14:$I$14=LEFT(Invoerblad!$E$13,5))*Stamblad!$B$21:$I$21),12)</f>
        <v>13749.608971807633</v>
      </c>
      <c r="X128" s="316" cm="1">
        <f t="array" ref="X128">SUMPRODUCT((Stamblad!$A$3:$A$6=Invoerblad!$E$14)*(Stamblad!$B$2:$I$2=LEFT(Invoerblad!$E$13,5))*Stamblad!$B$3:$I$6)*$E$16*POWER(1+SUMPRODUCT((Stamblad!$B$14:$I$14=LEFT(Invoerblad!$E$13,5))*Stamblad!$B$21:$I$21),13)</f>
        <v>13955.853106384746</v>
      </c>
      <c r="Y128" s="316" cm="1">
        <f t="array" ref="Y128">SUMPRODUCT((Stamblad!$A$3:$A$6=Invoerblad!$E$14)*(Stamblad!$B$2:$I$2=LEFT(Invoerblad!$E$13,5))*Stamblad!$B$3:$I$6)*$E$16*POWER(1+SUMPRODUCT((Stamblad!$B$14:$I$14=LEFT(Invoerblad!$E$13,5))*Stamblad!$B$21:$I$21),14)</f>
        <v>14165.190902980514</v>
      </c>
      <c r="Z128" s="316" cm="1">
        <f t="array" ref="Z128">SUMPRODUCT((Stamblad!$A$3:$A$6=Invoerblad!$E$14)*(Stamblad!$B$2:$I$2=LEFT(Invoerblad!$E$13,5))*Stamblad!$B$3:$I$6)*$E$16*(Z19/$E$19)*POWER(1+SUMPRODUCT((Stamblad!$B$14:$I$14=LEFT(Invoerblad!$E$13,5))*Stamblad!$B$21:$I$21),15)</f>
        <v>10783.251574893915</v>
      </c>
      <c r="AA128" s="316" cm="1">
        <f t="array" ref="AA128">SUMPRODUCT((Stamblad!$A$3:$A$6=Invoerblad!$E$14)*(Stamblad!$B$2:$I$2=LEFT(Invoerblad!$E$13,5))*Stamblad!$B$3:$I$6)*$E$16*(AA19/$E$19)*POWER(1+SUMPRODUCT((Stamblad!$B$14:$I$14=LEFT(Invoerblad!$E$13,5))*Stamblad!$B$21:$I$21),16)</f>
        <v>0</v>
      </c>
      <c r="AB128" s="453"/>
    </row>
    <row r="129" spans="1:28" ht="15.75" thickBot="1" x14ac:dyDescent="0.3">
      <c r="A129" s="152">
        <v>62</v>
      </c>
      <c r="B129" s="32" t="s">
        <v>73</v>
      </c>
      <c r="C129" s="33"/>
      <c r="D129" s="21"/>
      <c r="E129" s="151"/>
      <c r="F129" s="50"/>
      <c r="G129" s="35" t="s">
        <v>11</v>
      </c>
      <c r="H129" s="445">
        <f>SUM($K129:$AB129)/$E$18</f>
        <v>26766.76809875865</v>
      </c>
      <c r="I129" s="315">
        <f>NPV($E$85,K129:AA129)*'Hulpberekeningen 1'!$P$32</f>
        <v>401501.52148137975</v>
      </c>
      <c r="J129" s="24"/>
      <c r="K129" s="316">
        <f>SUMPRODUCT((Stamblad!$A$9:$A$12=Invoerblad!$E$14)*(Stamblad!$B$8:$I$8=LEFT(Invoerblad!$E$13,5))*Stamblad!$B$9:$I$12)*K119</f>
        <v>5950</v>
      </c>
      <c r="L129" s="316" cm="1">
        <f t="array" ref="L129">SUMPRODUCT((Stamblad!$A$9:$A$12=Invoerblad!$E$14)*(Stamblad!$B$8:$I$8=LEFT(Invoerblad!$E$13,5))*Stamblad!$B$9:$I$12)*L119*POWER(1+SUMPRODUCT((Stamblad!$B$14:$I$14=LEFT(Invoerblad!$E$13,5))*Stamblad!$B$21:$I$21),1)</f>
        <v>24156.999999999996</v>
      </c>
      <c r="M129" s="316" cm="1">
        <f t="array" ref="M129">SUMPRODUCT((Stamblad!$A$9:$A$12=Invoerblad!$E$14)*(Stamblad!$B$8:$I$8=LEFT(Invoerblad!$E$13,5))*Stamblad!$B$9:$I$12)*M119*POWER(1+SUMPRODUCT((Stamblad!$B$14:$I$14=LEFT(Invoerblad!$E$13,5))*Stamblad!$B$21:$I$21),2)</f>
        <v>24519.354999999992</v>
      </c>
      <c r="N129" s="316" cm="1">
        <f t="array" ref="N129">SUMPRODUCT((Stamblad!$A$9:$A$12=Invoerblad!$E$14)*(Stamblad!$B$8:$I$8=LEFT(Invoerblad!$E$13,5))*Stamblad!$B$9:$I$12)*N119*POWER(1+SUMPRODUCT((Stamblad!$B$14:$I$14=LEFT(Invoerblad!$E$13,5))*Stamblad!$B$21:$I$21),3)</f>
        <v>24887.14532499999</v>
      </c>
      <c r="O129" s="316" cm="1">
        <f t="array" ref="O129">SUMPRODUCT((Stamblad!$A$9:$A$12=Invoerblad!$E$14)*(Stamblad!$B$8:$I$8=LEFT(Invoerblad!$E$13,5))*Stamblad!$B$9:$I$12)*O119*POWER(1+SUMPRODUCT((Stamblad!$B$14:$I$14=LEFT(Invoerblad!$E$13,5))*Stamblad!$B$21:$I$21),4)</f>
        <v>25260.452504874986</v>
      </c>
      <c r="P129" s="316" cm="1">
        <f t="array" ref="P129">SUMPRODUCT((Stamblad!$A$9:$A$12=Invoerblad!$E$14)*(Stamblad!$B$8:$I$8=LEFT(Invoerblad!$E$13,5))*Stamblad!$B$9:$I$12)*P119*POWER(1+SUMPRODUCT((Stamblad!$B$14:$I$14=LEFT(Invoerblad!$E$13,5))*Stamblad!$B$21:$I$21),5)</f>
        <v>25639.359292448109</v>
      </c>
      <c r="Q129" s="316" cm="1">
        <f t="array" ref="Q129">SUMPRODUCT((Stamblad!$A$9:$A$12=Invoerblad!$E$14)*(Stamblad!$B$8:$I$8=LEFT(Invoerblad!$E$13,5))*Stamblad!$B$9:$I$12)*Q119*POWER(1+SUMPRODUCT((Stamblad!$B$14:$I$14=LEFT(Invoerblad!$E$13,5))*Stamblad!$B$21:$I$21),6)</f>
        <v>26023.949681834823</v>
      </c>
      <c r="R129" s="316" cm="1">
        <f t="array" ref="R129">SUMPRODUCT((Stamblad!$A$9:$A$12=Invoerblad!$E$14)*(Stamblad!$B$8:$I$8=LEFT(Invoerblad!$E$13,5))*Stamblad!$B$9:$I$12)*R119*POWER(1+SUMPRODUCT((Stamblad!$B$14:$I$14=LEFT(Invoerblad!$E$13,5))*Stamblad!$B$21:$I$21),7)</f>
        <v>26414.308927062342</v>
      </c>
      <c r="S129" s="316" cm="1">
        <f t="array" ref="S129">SUMPRODUCT((Stamblad!$A$9:$A$12=Invoerblad!$E$14)*(Stamblad!$B$8:$I$8=LEFT(Invoerblad!$E$13,5))*Stamblad!$B$9:$I$12)*S119*POWER(1+SUMPRODUCT((Stamblad!$B$14:$I$14=LEFT(Invoerblad!$E$13,5))*Stamblad!$B$21:$I$21),8)</f>
        <v>26810.523560968275</v>
      </c>
      <c r="T129" s="316" cm="1">
        <f t="array" ref="T129">SUMPRODUCT((Stamblad!$A$9:$A$12=Invoerblad!$E$14)*(Stamblad!$B$8:$I$8=LEFT(Invoerblad!$E$13,5))*Stamblad!$B$9:$I$12)*T119*POWER(1+SUMPRODUCT((Stamblad!$B$14:$I$14=LEFT(Invoerblad!$E$13,5))*Stamblad!$B$21:$I$21),9)</f>
        <v>27212.681414382798</v>
      </c>
      <c r="U129" s="316" cm="1">
        <f t="array" ref="U129">SUMPRODUCT((Stamblad!$A$9:$A$12=Invoerblad!$E$14)*(Stamblad!$B$8:$I$8=LEFT(Invoerblad!$E$13,5))*Stamblad!$B$9:$I$12)*U119*POWER(1+SUMPRODUCT((Stamblad!$B$14:$I$14=LEFT(Invoerblad!$E$13,5))*Stamblad!$B$21:$I$21),10)</f>
        <v>27620.871635598534</v>
      </c>
      <c r="V129" s="316" cm="1">
        <f t="array" ref="V129">SUMPRODUCT((Stamblad!$A$9:$A$12=Invoerblad!$E$14)*(Stamblad!$B$8:$I$8=LEFT(Invoerblad!$E$13,5))*Stamblad!$B$9:$I$12)*V119*POWER(1+SUMPRODUCT((Stamblad!$B$14:$I$14=LEFT(Invoerblad!$E$13,5))*Stamblad!$B$21:$I$21),11)</f>
        <v>28035.184710132511</v>
      </c>
      <c r="W129" s="316" cm="1">
        <f t="array" ref="W129">SUMPRODUCT((Stamblad!$A$9:$A$12=Invoerblad!$E$14)*(Stamblad!$B$8:$I$8=LEFT(Invoerblad!$E$13,5))*Stamblad!$B$9:$I$12)*W119*POWER(1+SUMPRODUCT((Stamblad!$B$14:$I$14=LEFT(Invoerblad!$E$13,5))*Stamblad!$B$21:$I$21),12)</f>
        <v>28455.712480784492</v>
      </c>
      <c r="X129" s="316" cm="1">
        <f t="array" ref="X129">SUMPRODUCT((Stamblad!$A$9:$A$12=Invoerblad!$E$14)*(Stamblad!$B$8:$I$8=LEFT(Invoerblad!$E$13,5))*Stamblad!$B$9:$I$12)*X119*POWER(1+SUMPRODUCT((Stamblad!$B$14:$I$14=LEFT(Invoerblad!$E$13,5))*Stamblad!$B$21:$I$21),13)</f>
        <v>28882.548167996258</v>
      </c>
      <c r="Y129" s="316" cm="1">
        <f t="array" ref="Y129">SUMPRODUCT((Stamblad!$A$9:$A$12=Invoerblad!$E$14)*(Stamblad!$B$8:$I$8=LEFT(Invoerblad!$E$13,5))*Stamblad!$B$9:$I$12)*Y119*POWER(1+SUMPRODUCT((Stamblad!$B$14:$I$14=LEFT(Invoerblad!$E$13,5))*Stamblad!$B$21:$I$21),14)</f>
        <v>29315.786390516194</v>
      </c>
      <c r="Z129" s="316" cm="1">
        <f t="array" ref="Z129">SUMPRODUCT((Stamblad!$A$9:$A$12=Invoerblad!$E$14)*(Stamblad!$B$8:$I$8=LEFT(Invoerblad!$E$13,5))*Stamblad!$B$9:$I$12)*Z119*POWER(1+SUMPRODUCT((Stamblad!$B$14:$I$14=LEFT(Invoerblad!$E$13,5))*Stamblad!$B$21:$I$21),15)</f>
        <v>22316.642389780449</v>
      </c>
      <c r="AA129" s="316" cm="1">
        <f t="array" ref="AA129">SUMPRODUCT((Stamblad!$A$9:$A$12=Invoerblad!$E$14)*(Stamblad!$B$8:$I$8=LEFT(Invoerblad!$E$13,5))*Stamblad!$B$9:$I$12)*AA119*POWER(1+SUMPRODUCT((Stamblad!$B$14:$I$14=LEFT(Invoerblad!$E$13,5))*Stamblad!$B$21:$I$21),16)</f>
        <v>0</v>
      </c>
      <c r="AB129" s="453"/>
    </row>
    <row r="130" spans="1:28" ht="15.75" thickBot="1" x14ac:dyDescent="0.3">
      <c r="A130" s="152">
        <v>64</v>
      </c>
      <c r="B130" s="32"/>
      <c r="C130" s="33"/>
      <c r="D130" s="21"/>
      <c r="E130" s="151"/>
      <c r="F130" s="50"/>
      <c r="G130" s="35" t="s">
        <v>11</v>
      </c>
      <c r="H130" s="24"/>
      <c r="I130" s="150">
        <f>NPV($E$85,K130:AA130)*'Hulpberekeningen 1'!$P$32</f>
        <v>0</v>
      </c>
      <c r="J130" s="24"/>
      <c r="K130" s="154"/>
      <c r="L130" s="154"/>
      <c r="M130" s="154"/>
      <c r="N130" s="154"/>
      <c r="O130" s="154"/>
      <c r="P130" s="154"/>
      <c r="Q130" s="154"/>
      <c r="R130" s="154"/>
      <c r="S130" s="154"/>
      <c r="T130" s="154"/>
      <c r="U130" s="154"/>
      <c r="V130" s="154"/>
      <c r="W130" s="154"/>
      <c r="X130" s="154"/>
      <c r="Y130" s="154"/>
      <c r="Z130" s="154"/>
      <c r="AA130" s="154"/>
      <c r="AB130" s="454"/>
    </row>
    <row r="131" spans="1:28" ht="15.75" customHeight="1" x14ac:dyDescent="0.25">
      <c r="B131" s="64"/>
      <c r="C131" s="64"/>
      <c r="D131" s="64"/>
      <c r="E131" s="143"/>
      <c r="F131" s="24"/>
      <c r="G131" s="52"/>
      <c r="H131" s="24"/>
      <c r="I131" s="24"/>
      <c r="J131" s="24"/>
      <c r="K131" s="24"/>
      <c r="L131" s="25"/>
      <c r="AB131" s="343"/>
    </row>
    <row r="132" spans="1:28" ht="15.75" thickBot="1" x14ac:dyDescent="0.3">
      <c r="B132" s="460" t="s">
        <v>335</v>
      </c>
      <c r="C132" s="64"/>
      <c r="D132" s="64"/>
      <c r="E132" s="143"/>
      <c r="F132" s="24"/>
      <c r="G132" s="52"/>
      <c r="H132" s="24"/>
      <c r="I132" s="24"/>
      <c r="J132" s="24"/>
      <c r="K132" s="24"/>
      <c r="L132" s="25"/>
      <c r="M132" s="155"/>
      <c r="AB132" s="343"/>
    </row>
    <row r="133" spans="1:28" ht="15.75" thickBot="1" x14ac:dyDescent="0.3">
      <c r="B133" s="589" t="str">
        <f ca="1">IF(ROUND('Overzicht MSK toets'!E56,3)&gt;=Invoerblad!E89,"Uitbetaalde subsidie (nominaal in euro/jaar en totaal NCW)","N.v.t.")</f>
        <v>N.v.t.</v>
      </c>
      <c r="C133" s="487"/>
      <c r="E133" s="334"/>
      <c r="F133" s="24"/>
      <c r="G133" s="52"/>
      <c r="H133" s="24"/>
      <c r="I133" s="505" t="str">
        <f ca="1">IF(ROUND('Overzicht MSK toets'!E56,3)&gt;=Invoerblad!E89,NPV($E$85,K133:AA133)*'Hulpberekeningen 1'!$P$32,"N.v.t.")</f>
        <v>N.v.t.</v>
      </c>
      <c r="J133" s="25"/>
      <c r="K133" s="316">
        <f>K109</f>
        <v>17600</v>
      </c>
      <c r="L133" s="316">
        <f t="shared" ref="L133:AA133" si="28">L109</f>
        <v>74000</v>
      </c>
      <c r="M133" s="316">
        <f t="shared" si="28"/>
        <v>86183.999999999985</v>
      </c>
      <c r="N133" s="316">
        <f t="shared" ca="1" si="28"/>
        <v>85147.68</v>
      </c>
      <c r="O133" s="316">
        <f t="shared" ca="1" si="28"/>
        <v>84090.633599999986</v>
      </c>
      <c r="P133" s="316">
        <f t="shared" ca="1" si="28"/>
        <v>83012.446272000001</v>
      </c>
      <c r="Q133" s="316">
        <f t="shared" ca="1" si="28"/>
        <v>81912.69519744</v>
      </c>
      <c r="R133" s="316">
        <f t="shared" ca="1" si="28"/>
        <v>80790.949101388804</v>
      </c>
      <c r="S133" s="316">
        <f t="shared" ca="1" si="28"/>
        <v>79646.768083416566</v>
      </c>
      <c r="T133" s="316">
        <f t="shared" ca="1" si="28"/>
        <v>78479.703445084902</v>
      </c>
      <c r="U133" s="316">
        <f t="shared" ca="1" si="28"/>
        <v>77289.297513986603</v>
      </c>
      <c r="V133" s="316">
        <f t="shared" ca="1" si="28"/>
        <v>76075.083464266339</v>
      </c>
      <c r="W133" s="316">
        <f t="shared" ca="1" si="28"/>
        <v>74836.585133551649</v>
      </c>
      <c r="X133" s="316">
        <f t="shared" ca="1" si="28"/>
        <v>73573.316836222686</v>
      </c>
      <c r="Y133" s="316">
        <f t="shared" ca="1" si="28"/>
        <v>72284.783172947136</v>
      </c>
      <c r="Z133" s="316">
        <f t="shared" ca="1" si="28"/>
        <v>56829.162219647384</v>
      </c>
      <c r="AA133" s="316">
        <f t="shared" ca="1" si="28"/>
        <v>10605.987462569026</v>
      </c>
      <c r="AB133" s="343"/>
    </row>
    <row r="134" spans="1:28" ht="15.75" thickBot="1" x14ac:dyDescent="0.3">
      <c r="B134" s="331" t="str">
        <f ca="1">IF(ROUND('Overzicht MSK toets'!E56,3)&gt;=Invoerblad!E89,"Toegestane SDE-inkomsten (NCW)","N.v.t.")</f>
        <v>N.v.t.</v>
      </c>
      <c r="C134" s="488"/>
      <c r="F134" s="24"/>
      <c r="G134" s="52"/>
      <c r="H134" s="24"/>
      <c r="I134" s="505" t="str">
        <f ca="1">IF(ROUND('Overzicht MSK toets'!E56,3)&gt;=Invoerblad!E89,'Overzicht MSK toets'!E60,"N.v.t.")</f>
        <v>N.v.t.</v>
      </c>
      <c r="J134" s="25"/>
      <c r="K134" s="7"/>
      <c r="L134" s="7"/>
      <c r="M134" s="7"/>
      <c r="N134" s="7"/>
      <c r="O134" s="7"/>
      <c r="P134" s="7"/>
      <c r="T134" s="135"/>
      <c r="AB134" s="343"/>
    </row>
    <row r="135" spans="1:28" ht="15.75" thickBot="1" x14ac:dyDescent="0.3">
      <c r="B135" s="331" t="str">
        <f ca="1">IF(ROUND('Overzicht MSK toets'!E56,3)&gt;=Invoerblad!E89,"Teveel uitbetaalde subsidie (NCW)","N.v.t.")</f>
        <v>N.v.t.</v>
      </c>
      <c r="C135" s="488"/>
      <c r="E135" s="156"/>
      <c r="F135" s="24"/>
      <c r="G135" s="52"/>
      <c r="H135" s="24"/>
      <c r="I135" s="505" t="str">
        <f ca="1">IF(ROUND('Overzicht MSK toets'!E56,3)&gt;=Invoerblad!E89,I133-I134,"N.v.t.")</f>
        <v>N.v.t.</v>
      </c>
      <c r="J135" s="25"/>
      <c r="K135" s="157"/>
      <c r="L135" s="7"/>
      <c r="M135" s="7"/>
      <c r="N135" s="7"/>
      <c r="O135" s="7"/>
      <c r="P135" s="7"/>
      <c r="T135" s="135"/>
      <c r="AB135" s="343"/>
    </row>
    <row r="136" spans="1:28" s="3" customFormat="1" ht="15.75" thickBot="1" x14ac:dyDescent="0.3">
      <c r="A136" s="132"/>
      <c r="B136" s="331" t="str">
        <f ca="1">IF(ROUND('Overzicht MSK toets'!E56,3)&gt;=Invoerblad!E89,"Maand midden van bouwperiode voor berekening netto contante waarde (NCW)","N.v.t.")</f>
        <v>N.v.t.</v>
      </c>
      <c r="C136" s="488"/>
      <c r="E136" s="156"/>
      <c r="F136" s="24"/>
      <c r="G136" s="52"/>
      <c r="H136" s="24"/>
      <c r="I136" s="591">
        <f>E34</f>
        <v>44166</v>
      </c>
      <c r="J136" s="25"/>
      <c r="K136" s="507" t="str">
        <f>IF(AND(ISEVEN(E43)=FALSE,E43&gt;12),"Berekening midden bouwtijd wordt bij oneven aantal maanden bouwtijd &gt; 12 afgerond naar eerste dag van de volgende maand","")</f>
        <v/>
      </c>
      <c r="L136" s="506"/>
      <c r="M136" s="506"/>
      <c r="N136" s="7"/>
      <c r="O136" s="7"/>
      <c r="P136" s="7"/>
      <c r="T136" s="135"/>
      <c r="AB136" s="343"/>
    </row>
    <row r="137" spans="1:28" s="3" customFormat="1" ht="15.75" thickBot="1" x14ac:dyDescent="0.3">
      <c r="A137" s="132"/>
      <c r="B137" s="331" t="str">
        <f ca="1">IF(ROUND('Overzicht MSK toets'!E56,3)&gt;=Invoerblad!E89,"Maand waarin wordt teruggevorderd","N.v.t.")</f>
        <v>N.v.t.</v>
      </c>
      <c r="C137" s="488"/>
      <c r="E137" s="517"/>
      <c r="G137" s="52"/>
      <c r="I137" s="592">
        <v>44562</v>
      </c>
      <c r="J137" s="25"/>
      <c r="K137" s="157"/>
      <c r="L137" s="7"/>
      <c r="M137" s="7"/>
      <c r="N137" s="7"/>
      <c r="O137" s="7"/>
      <c r="P137" s="7"/>
      <c r="T137" s="135"/>
      <c r="AB137" s="343"/>
    </row>
    <row r="138" spans="1:28" s="3" customFormat="1" ht="15.75" thickBot="1" x14ac:dyDescent="0.3">
      <c r="A138" s="132"/>
      <c r="B138" s="331" t="str">
        <f ca="1">IF(ROUND('Overzicht MSK toets'!E56,3)&gt;=Invoerblad!E89,"Indexatieperiode tussen NCW en terugvordering (maanden)","N.v.t.")</f>
        <v>N.v.t.</v>
      </c>
      <c r="C138" s="488"/>
      <c r="D138" s="342"/>
      <c r="E138" s="516"/>
      <c r="F138" s="24"/>
      <c r="G138" s="52"/>
      <c r="H138" s="24"/>
      <c r="I138" s="593" t="str">
        <f ca="1">IF(ROUND('Overzicht MSK toets'!E56,3)&gt;=Invoerblad!E89,DATEDIF(I136,I137,"m"),"N.v.t.")</f>
        <v>N.v.t.</v>
      </c>
      <c r="J138" s="25"/>
      <c r="K138" s="502"/>
      <c r="L138" s="7"/>
      <c r="M138" s="7"/>
      <c r="N138" s="7"/>
      <c r="O138" s="7"/>
      <c r="P138" s="7"/>
      <c r="T138" s="135"/>
      <c r="AB138" s="343"/>
    </row>
    <row r="139" spans="1:28" ht="15.75" thickBot="1" x14ac:dyDescent="0.3">
      <c r="B139" s="590" t="str">
        <f ca="1">IF(ROUND('Overzicht MSK toets'!E56,3)&gt;=Invoerblad!E89,"Subsidie geïndexeerd naar maand van terugvordering","N.v.t.")</f>
        <v>N.v.t.</v>
      </c>
      <c r="C139" s="486"/>
      <c r="E139" s="519"/>
      <c r="F139" s="24"/>
      <c r="G139" s="52"/>
      <c r="H139" s="24"/>
      <c r="I139" s="505" t="str">
        <f ca="1">IF(ROUND('Overzicht MSK toets'!E56,3)&gt;=Invoerblad!E89,I135*POWER(1+E85,I138/12),"N.v.t.")</f>
        <v>N.v.t.</v>
      </c>
      <c r="J139" s="25"/>
      <c r="K139" s="504" t="str">
        <f ca="1">IF(AND(ROUND('Overzicht MSK toets'!E56,4)&gt;=Invoerblad!E89,I139&gt;SUM(K133:AA133)),"Geïndexeerde bedrag is groter dan nominaal uitbetaalde subsidie van € "&amp;ROUND(SUM(K133:AA133),0)&amp;"",
"")</f>
        <v/>
      </c>
      <c r="AB139" s="343"/>
    </row>
    <row r="140" spans="1:28" ht="15.75" customHeight="1" thickBot="1" x14ac:dyDescent="0.3">
      <c r="B140" s="331" t="str">
        <f ca="1">IF(ROUND('Overzicht MSK toets'!E56,3)&gt;=Invoerblad!E89,"Terug te vorderen bedrag (gemaximeerd op nominaal uitbetaalde subsidie)","N.v.t.")</f>
        <v>N.v.t.</v>
      </c>
      <c r="C140" s="486"/>
      <c r="E140" s="7"/>
      <c r="F140" s="24"/>
      <c r="G140" s="52"/>
      <c r="H140" s="24"/>
      <c r="I140" s="594" t="str">
        <f ca="1">IF(ROUND('Overzicht MSK toets'!E56,3)&gt;=Invoerblad!E89,MIN(I139,SUM(K133:AA133)),"N.v.t.")</f>
        <v>N.v.t.</v>
      </c>
      <c r="J140" s="25"/>
      <c r="AB140" s="343"/>
    </row>
    <row r="141" spans="1:28" s="3" customFormat="1" ht="15" x14ac:dyDescent="0.25">
      <c r="A141" s="132"/>
      <c r="E141" s="7"/>
      <c r="F141" s="24"/>
      <c r="G141" s="52"/>
      <c r="H141" s="24"/>
      <c r="I141" s="152"/>
      <c r="J141" s="25"/>
      <c r="AB141" s="343"/>
    </row>
    <row r="142" spans="1:28" x14ac:dyDescent="0.2">
      <c r="AB142" s="343"/>
    </row>
    <row r="143" spans="1:28" x14ac:dyDescent="0.2">
      <c r="K143" s="135"/>
    </row>
    <row r="144" spans="1:28" x14ac:dyDescent="0.2">
      <c r="B144" s="378" t="str">
        <f>"Categorieën "&amp;LEFT($E$13,5)&amp;""</f>
        <v>Categorieën SDE20</v>
      </c>
      <c r="K144" s="135"/>
    </row>
    <row r="145" spans="2:11" x14ac:dyDescent="0.2">
      <c r="B145" s="379" t="str">
        <f>IF(LEFT($E$13,5)="SDE20",Stamblad!A25,IF(LEFT($E$13,5)="SDE21",Stamblad!A31,IF(LEFT($E$13,5)="SDE22",Stamblad!A37,IF(LEFT($E$13,5)="SDE23",Stamblad!A43,""))))</f>
        <v>Wind op land</v>
      </c>
      <c r="K145" s="135"/>
    </row>
    <row r="146" spans="2:11" x14ac:dyDescent="0.2">
      <c r="B146" s="379" t="str">
        <f>IF(LEFT($E$13,5)="SDE20",Stamblad!A26,IF(LEFT($E$13,5)="SDE21",Stamblad!A32,IF(LEFT($E$13,5)="SDE22",Stamblad!A38,IF(LEFT($E$13,5)="SDE23",Stamblad!A44,""))))</f>
        <v>Wind op waterkering</v>
      </c>
      <c r="K146" s="514"/>
    </row>
    <row r="147" spans="2:11" ht="15" x14ac:dyDescent="0.25">
      <c r="B147" s="379" t="str">
        <f>IF(LEFT($E$13,5)="SDE20",Stamblad!A27,IF(LEFT($E$13,5)="SDE21",Stamblad!A33,IF(LEFT($E$13,5)="SDE22",Stamblad!A39,IF(LEFT($E$13,5)="SDE23",Stamblad!A45,""))))</f>
        <v>Wind hoogtebeperkt</v>
      </c>
      <c r="E147" s="9"/>
      <c r="I147" s="503"/>
    </row>
    <row r="148" spans="2:11" x14ac:dyDescent="0.2">
      <c r="B148" s="379" t="str">
        <f>IF(LEFT($E$13,5)="SDE20",Stamblad!A28,IF(LEFT($E$13,5)="SDE21",Stamblad!A34,IF(LEFT($E$13,5)="SDE22",Stamblad!A40,"")))</f>
        <v>Wind in meer</v>
      </c>
      <c r="E148" s="9"/>
      <c r="I148" s="156"/>
    </row>
    <row r="149" spans="2:11" x14ac:dyDescent="0.2">
      <c r="B149" s="370"/>
      <c r="E149" s="9"/>
    </row>
    <row r="150" spans="2:11" x14ac:dyDescent="0.2">
      <c r="B150" s="370"/>
      <c r="E150" s="9"/>
    </row>
    <row r="151" spans="2:11" x14ac:dyDescent="0.2">
      <c r="B151" s="370"/>
      <c r="E151" s="9"/>
    </row>
    <row r="152" spans="2:11" x14ac:dyDescent="0.2">
      <c r="E152" s="9"/>
    </row>
    <row r="153" spans="2:11" x14ac:dyDescent="0.2">
      <c r="E153" s="9"/>
    </row>
    <row r="154" spans="2:11" x14ac:dyDescent="0.2">
      <c r="E154" s="9"/>
    </row>
    <row r="155" spans="2:11" x14ac:dyDescent="0.2">
      <c r="B155" s="158"/>
      <c r="E155" s="9"/>
    </row>
    <row r="156" spans="2:11" x14ac:dyDescent="0.2">
      <c r="B156" s="159"/>
      <c r="E156" s="9"/>
    </row>
    <row r="157" spans="2:11" x14ac:dyDescent="0.2">
      <c r="B157" s="159"/>
      <c r="E157" s="9"/>
    </row>
    <row r="158" spans="2:11" x14ac:dyDescent="0.2">
      <c r="B158" s="159"/>
      <c r="E158" s="9"/>
    </row>
    <row r="159" spans="2:11" x14ac:dyDescent="0.2">
      <c r="B159" s="159"/>
      <c r="E159" s="9"/>
    </row>
    <row r="160" spans="2:11" x14ac:dyDescent="0.2">
      <c r="B160" s="159"/>
      <c r="E160" s="9"/>
    </row>
    <row r="161" spans="2:2" x14ac:dyDescent="0.2">
      <c r="B161" s="159"/>
    </row>
    <row r="162" spans="2:2" x14ac:dyDescent="0.2">
      <c r="B162" s="159"/>
    </row>
    <row r="163" spans="2:2" x14ac:dyDescent="0.2"/>
    <row r="164" spans="2:2" x14ac:dyDescent="0.2"/>
    <row r="165" spans="2:2" x14ac:dyDescent="0.2"/>
    <row r="166" spans="2:2" x14ac:dyDescent="0.2"/>
    <row r="167" spans="2:2" x14ac:dyDescent="0.2"/>
    <row r="168" spans="2:2" x14ac:dyDescent="0.2"/>
    <row r="169" spans="2:2" x14ac:dyDescent="0.2"/>
    <row r="170" spans="2:2" x14ac:dyDescent="0.2"/>
    <row r="171" spans="2:2" x14ac:dyDescent="0.2"/>
    <row r="172" spans="2:2" x14ac:dyDescent="0.2"/>
    <row r="173" spans="2:2" x14ac:dyDescent="0.2"/>
    <row r="174" spans="2:2" x14ac:dyDescent="0.2"/>
    <row r="175" spans="2:2" x14ac:dyDescent="0.2"/>
    <row r="176" spans="2:2"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sheetData>
  <mergeCells count="3">
    <mergeCell ref="A3:E6"/>
    <mergeCell ref="B34:C34"/>
    <mergeCell ref="B35:C35"/>
  </mergeCells>
  <conditionalFormatting sqref="K91:AB91">
    <cfRule type="expression" dxfId="0" priority="2">
      <formula>K91 &gt;$E$89</formula>
    </cfRule>
  </conditionalFormatting>
  <dataValidations count="8">
    <dataValidation allowBlank="1" showInputMessage="1" showErrorMessage="1" prompt="De onkostenvergoeding OV MEP hoeft niet opgevoerd te worden. Deze dient terugbetaald te worden bij verkrijging van SDE." sqref="E49" xr:uid="{F0846687-A732-4CB8-8B63-241C5860EE15}">
      <formula1>0</formula1>
      <formula2>0</formula2>
    </dataValidation>
    <dataValidation allowBlank="1" showErrorMessage="1" prompt="Let op MIA kan niet in combinatie met EIA op dezelfde voorziening" sqref="E65" xr:uid="{2413515A-9735-40C3-98FF-492E9AFCE831}">
      <formula1>0</formula1>
      <formula2>0</formula2>
    </dataValidation>
    <dataValidation type="decimal" operator="greaterThan" allowBlank="1" showInputMessage="1" showErrorMessage="1" sqref="E16:E17" xr:uid="{FF4594CA-908A-41F7-B285-7E0F04951CF2}">
      <formula1>0</formula1>
      <formula2>0</formula2>
    </dataValidation>
    <dataValidation type="custom" allowBlank="1" showErrorMessage="1" error="draaiuren / vollasturen kunnen niet meer dan 8760 bedragen (zie regel 4)_x000a_" prompt="vul in hoeveel produktie er is in het eerste  kalenderjaar voor dat deel dat in de SDE periode valt." sqref="K24:AB24" xr:uid="{CA2EE760-53A6-42CF-BDBC-1726FDD295A5}">
      <formula1>IF(VALUE($E17)=0,0,K24/$E17)&lt;8761</formula1>
      <formula2>0</formula2>
    </dataValidation>
    <dataValidation type="custom" allowBlank="1" showErrorMessage="1" error="de draaiuren / vollasturen kunnen niet hoger zijn dan 8760 per jaar. pas de produktie (regel 5) of het vermogen aan (regel 2)" sqref="AB19:AB23 K19:Y21 Z20:AA21" xr:uid="{383983D6-DA39-4CCB-8E4F-0EFA5967E431}">
      <formula1>K19&lt;8761</formula1>
      <formula2>0</formula2>
    </dataValidation>
    <dataValidation allowBlank="1" showErrorMessage="1" error="de draaiuren / vollasturen kunnen niet hoger zijn dan 8760 per jaar. pas de produktie (regel 5) of het vermogen aan (regel 2)" sqref="Z19:AA19" xr:uid="{8CAE5530-0D1B-47A2-9C8B-541E283D15C2}"/>
    <dataValidation type="decimal" operator="greaterThanOrEqual" showInputMessage="1" showErrorMessage="1" error="Invoeren negatieve indexatie is niet mogelijk. Voer de correctiebedragen met de hand in." sqref="I91" xr:uid="{499CBDF2-C9E6-4910-9280-1B3E9BE97F7C}">
      <formula1>0</formula1>
    </dataValidation>
    <dataValidation type="list" allowBlank="1" showInputMessage="1" showErrorMessage="1" sqref="E14" xr:uid="{7BE8370A-6F33-473B-972F-6F8230935723}">
      <formula1>$B$145:$B$151</formula1>
    </dataValidation>
  </dataValidations>
  <hyperlinks>
    <hyperlink ref="B9" location="Toelichting!A1" display="Lees ook de toelichting." xr:uid="{00000000-0004-0000-0000-000000000000}"/>
    <hyperlink ref="G13" location="Toelichting!A25" display="Info" xr:uid="{00000000-0004-0000-0000-000001000000}"/>
    <hyperlink ref="G16" location="Toelichting!A29" display="Info" xr:uid="{00000000-0004-0000-0000-000002000000}"/>
    <hyperlink ref="G17" location="Toelichting!A29" display="Info" xr:uid="{00000000-0004-0000-0000-000003000000}"/>
    <hyperlink ref="G31" location="Toelichting!A31" display="Info" xr:uid="{00000000-0004-0000-0000-000004000000}"/>
    <hyperlink ref="G32" location="Toelichting!A32" display="Info" xr:uid="{00000000-0004-0000-0000-000005000000}"/>
    <hyperlink ref="G33" location="Toelichting!A33" display="Info" xr:uid="{00000000-0004-0000-0000-000006000000}"/>
    <hyperlink ref="G38" location="Toelichting!A34" display="Info" xr:uid="{00000000-0004-0000-0000-000007000000}"/>
    <hyperlink ref="G42" location="Toelichting!A35" display="Info" xr:uid="{00000000-0004-0000-0000-000008000000}"/>
    <hyperlink ref="G43" location="Toelichting!A45" display="Info" xr:uid="{00000000-0004-0000-0000-000009000000}"/>
    <hyperlink ref="G47" location="Toelichting!A54" display="Info" xr:uid="{00000000-0004-0000-0000-00000A000000}"/>
    <hyperlink ref="G48" location="Toelichting!A54" display="Info" xr:uid="{00000000-0004-0000-0000-00000B000000}"/>
    <hyperlink ref="G49" location="Toelichting!A54" display="Info" xr:uid="{00000000-0004-0000-0000-00000C000000}"/>
    <hyperlink ref="G50" location="Toelichting!A54" display="Info" xr:uid="{00000000-0004-0000-0000-00000D000000}"/>
    <hyperlink ref="G51" location="Toelichting!A54" display="Info" xr:uid="{00000000-0004-0000-0000-00000E000000}"/>
    <hyperlink ref="G56" location="Toelichting!A60" display="Info" xr:uid="{00000000-0004-0000-0000-00000F000000}"/>
    <hyperlink ref="G57" location="Toelichting!A69" display="Info" xr:uid="{00000000-0004-0000-0000-000010000000}"/>
    <hyperlink ref="G58" location="Toelichting!A70" display="Info" xr:uid="{00000000-0004-0000-0000-000011000000}"/>
    <hyperlink ref="G59" location="Toelichting!A72" display="Info" xr:uid="{00000000-0004-0000-0000-000012000000}"/>
    <hyperlink ref="G60" location="Toelichting!A72" display="Info" xr:uid="{00000000-0004-0000-0000-000013000000}"/>
    <hyperlink ref="G62" location="Toelichting!A70" display="Info" xr:uid="{00000000-0004-0000-0000-000014000000}"/>
    <hyperlink ref="G63" location="Toelichting!A76" display="Info" xr:uid="{00000000-0004-0000-0000-000015000000}"/>
    <hyperlink ref="G65" location="Toelichting!A70" display="Info" xr:uid="{00000000-0004-0000-0000-000016000000}"/>
    <hyperlink ref="G66" location="Toelichting!A81" display="Info" xr:uid="{00000000-0004-0000-0000-000017000000}"/>
    <hyperlink ref="G67" location="Toelichting!A82" display="Info" xr:uid="{00000000-0004-0000-0000-000018000000}"/>
    <hyperlink ref="G68" location="Toelichting!A82" display="Info" xr:uid="{00000000-0004-0000-0000-000019000000}"/>
    <hyperlink ref="G73" location="Toelichting!A86" display="Info" xr:uid="{00000000-0004-0000-0000-00001A000000}"/>
    <hyperlink ref="G74" location="Toelichting!A87" display="Info" xr:uid="{00000000-0004-0000-0000-00001B000000}"/>
    <hyperlink ref="G75" location="Toelichting!A89" display="Info" xr:uid="{00000000-0004-0000-0000-00001C000000}"/>
    <hyperlink ref="G76" location="Toelichting!A89" display="Info" xr:uid="{00000000-0004-0000-0000-00001D000000}"/>
    <hyperlink ref="G79" location="Toelichting!A98" display="Info" xr:uid="{00000000-0004-0000-0000-00001E000000}"/>
    <hyperlink ref="G81" location="Toelichting!A98" display="Info" xr:uid="{00000000-0004-0000-0000-00001F000000}"/>
    <hyperlink ref="G82" location="Toelichting!A110" display="Info" xr:uid="{00000000-0004-0000-0000-000020000000}"/>
    <hyperlink ref="G84" location="Toelichting!A111" display="Info" xr:uid="{00000000-0004-0000-0000-000021000000}"/>
    <hyperlink ref="G88" location="Toelichting!A141" display="Info" xr:uid="{00000000-0004-0000-0000-000023000000}"/>
    <hyperlink ref="G101" location="Toelichting!A142" display="Info" xr:uid="{00000000-0004-0000-0000-000025000000}"/>
    <hyperlink ref="G102" location="Toelichting!A144" display="Info" xr:uid="{00000000-0004-0000-0000-000026000000}"/>
    <hyperlink ref="G106" location="Toelichting!A145" display="Info" xr:uid="{00000000-0004-0000-0000-000027000000}"/>
    <hyperlink ref="G119" location="Toelichting!A150" display="Info" xr:uid="{00000000-0004-0000-0000-00002B000000}"/>
    <hyperlink ref="G123" location="Toelichting!A152" display="Info" xr:uid="{00000000-0004-0000-0000-00002C000000}"/>
    <hyperlink ref="G126" location="Toelichting!A155" display="Info" xr:uid="{00000000-0004-0000-0000-00002D000000}"/>
    <hyperlink ref="G128" location="Toelichting!A161" display="Info" xr:uid="{00000000-0004-0000-0000-00002E000000}"/>
    <hyperlink ref="G129" location="Toelichting!A162" display="Info" xr:uid="{00000000-0004-0000-0000-00002F000000}"/>
    <hyperlink ref="G85" location="Toelichting!A112" display="Info" xr:uid="{00000000-0004-0000-0000-000022000000}"/>
  </hyperlinks>
  <pageMargins left="0.35416666666666702" right="0.39374999999999999" top="0.43333333333333302" bottom="0.66944444444444395" header="0.51180555555555496" footer="0.51180555555555496"/>
  <pageSetup paperSize="8" scale="32" firstPageNumber="0" orientation="landscape" horizontalDpi="300" verticalDpi="300" r:id="rId1"/>
  <headerFooter>
    <oddHeader>&amp;L&amp;"Calibri"&amp;10&amp;K000000 Vertrouwelijk&amp;1#_x000D_</oddHeader>
    <oddFooter>&amp;L&amp;D,&amp;T,&amp;Z&amp;F,&amp;F,&amp;A</oddFooter>
  </headerFooter>
  <rowBreaks count="1" manualBreakCount="1">
    <brk id="131" max="16383" man="1"/>
  </rowBreaks>
  <ignoredErrors>
    <ignoredError sqref="K59:M59 K65:M65 L62:N62 K62 Y62:AA62 O62:X62 K24:AA24 K25:AA25" unlockedFormula="1"/>
    <ignoredError sqref="I112"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30"/>
  <sheetViews>
    <sheetView showGridLines="0" zoomScaleNormal="100" workbookViewId="0">
      <selection activeCell="E56" sqref="E56"/>
    </sheetView>
  </sheetViews>
  <sheetFormatPr defaultRowHeight="12.75" x14ac:dyDescent="0.2"/>
  <cols>
    <col min="1" max="1" width="20" customWidth="1"/>
    <col min="2" max="2" width="9.33203125" customWidth="1"/>
    <col min="3" max="3" width="39.6640625" customWidth="1"/>
    <col min="4" max="4" width="36" customWidth="1"/>
    <col min="5" max="5" width="22.6640625" customWidth="1"/>
    <col min="6" max="6" width="9.33203125" customWidth="1"/>
    <col min="7" max="7" width="23.6640625" customWidth="1"/>
    <col min="8" max="8" width="13.1640625" customWidth="1"/>
    <col min="9" max="9" width="19.83203125" customWidth="1"/>
    <col min="10" max="10" width="44.6640625" customWidth="1"/>
    <col min="11" max="11" width="20" customWidth="1"/>
    <col min="12" max="12" width="21.83203125" customWidth="1"/>
    <col min="13" max="13" width="15.1640625" customWidth="1"/>
    <col min="14" max="14" width="12.83203125" customWidth="1"/>
    <col min="15" max="17" width="9.33203125" customWidth="1"/>
    <col min="18" max="18" width="37.83203125" customWidth="1"/>
    <col min="19" max="1025" width="9.33203125" customWidth="1"/>
  </cols>
  <sheetData>
    <row r="1" spans="1:34" ht="20.25" x14ac:dyDescent="0.3">
      <c r="A1" s="4" t="s">
        <v>75</v>
      </c>
      <c r="F1" s="160" t="s">
        <v>11</v>
      </c>
      <c r="G1" s="161"/>
    </row>
    <row r="2" spans="1:34" ht="20.25" x14ac:dyDescent="0.3">
      <c r="A2" s="4"/>
      <c r="F2" s="110"/>
      <c r="N2" s="326"/>
    </row>
    <row r="3" spans="1:34" x14ac:dyDescent="0.2">
      <c r="F3" s="110"/>
      <c r="N3" s="326"/>
    </row>
    <row r="4" spans="1:34" x14ac:dyDescent="0.2">
      <c r="F4" s="110"/>
      <c r="N4" s="3"/>
    </row>
    <row r="5" spans="1:34" x14ac:dyDescent="0.2">
      <c r="A5" s="162" t="s">
        <v>76</v>
      </c>
      <c r="B5" s="163"/>
      <c r="C5" s="163"/>
      <c r="D5" s="163"/>
      <c r="E5" s="164"/>
      <c r="F5" s="165"/>
      <c r="H5" s="101" t="s">
        <v>77</v>
      </c>
      <c r="L5" s="135"/>
      <c r="M5" s="135"/>
      <c r="N5" s="324"/>
    </row>
    <row r="6" spans="1:34" x14ac:dyDescent="0.2">
      <c r="A6" s="166"/>
      <c r="B6" s="9"/>
      <c r="C6" s="9"/>
      <c r="D6" s="9"/>
      <c r="E6" s="167"/>
      <c r="F6" s="110"/>
      <c r="L6" s="135"/>
      <c r="M6" s="135"/>
      <c r="N6" s="628"/>
    </row>
    <row r="7" spans="1:34" x14ac:dyDescent="0.2">
      <c r="A7" s="166" t="s">
        <v>78</v>
      </c>
      <c r="B7" s="9" t="s">
        <v>79</v>
      </c>
      <c r="C7" s="9"/>
      <c r="D7" s="49"/>
      <c r="E7" s="167">
        <f>+Invoerblad!E42</f>
        <v>0</v>
      </c>
      <c r="F7" s="110"/>
      <c r="K7" s="564" t="s">
        <v>155</v>
      </c>
      <c r="L7" s="629" t="s">
        <v>407</v>
      </c>
      <c r="M7" s="135"/>
      <c r="N7" s="628"/>
    </row>
    <row r="8" spans="1:34" x14ac:dyDescent="0.2">
      <c r="A8" s="166"/>
      <c r="B8" s="9"/>
      <c r="C8" s="9"/>
      <c r="D8" s="49"/>
      <c r="E8" s="167"/>
      <c r="F8" s="110"/>
      <c r="H8" s="404"/>
      <c r="I8" s="405" t="s">
        <v>165</v>
      </c>
      <c r="J8" s="639" t="s">
        <v>441</v>
      </c>
      <c r="K8" s="564" t="s">
        <v>409</v>
      </c>
      <c r="L8" s="564" t="s">
        <v>408</v>
      </c>
      <c r="N8" s="325"/>
    </row>
    <row r="9" spans="1:34" x14ac:dyDescent="0.2">
      <c r="A9" s="166" t="s">
        <v>81</v>
      </c>
      <c r="B9" s="9" t="s">
        <v>82</v>
      </c>
      <c r="C9" s="9"/>
      <c r="D9" s="49"/>
      <c r="E9" s="167"/>
      <c r="F9" s="110"/>
      <c r="I9" s="405">
        <v>1</v>
      </c>
      <c r="J9" s="49">
        <f>'Hulpberekeningen 3 '!C$6</f>
        <v>17600</v>
      </c>
      <c r="K9" s="49">
        <f>+E34</f>
        <v>-282136.55100618862</v>
      </c>
      <c r="L9" s="135">
        <f>+K9+D23</f>
        <v>-282136.55100618862</v>
      </c>
      <c r="M9" s="135"/>
      <c r="N9" s="327"/>
      <c r="O9" s="327"/>
      <c r="P9" s="327"/>
      <c r="Q9" s="327"/>
      <c r="R9" s="327"/>
      <c r="S9" s="327"/>
      <c r="T9" s="327"/>
      <c r="U9" s="327"/>
      <c r="V9" s="327"/>
      <c r="W9" s="327"/>
      <c r="X9" s="327"/>
      <c r="Y9" s="327"/>
      <c r="Z9" s="327"/>
      <c r="AA9" s="327"/>
      <c r="AB9" s="327"/>
      <c r="AC9" s="327"/>
      <c r="AD9" s="327"/>
      <c r="AE9" s="325"/>
      <c r="AF9" s="325"/>
      <c r="AG9" s="325"/>
      <c r="AH9" s="325"/>
    </row>
    <row r="10" spans="1:34" x14ac:dyDescent="0.2">
      <c r="A10" s="166"/>
      <c r="B10" s="9"/>
      <c r="C10" s="9"/>
      <c r="D10" s="49"/>
      <c r="E10" s="167"/>
      <c r="F10" s="110"/>
      <c r="I10" s="405">
        <v>2</v>
      </c>
      <c r="J10" s="49">
        <f>'Hulpberekeningen 3 '!D$6</f>
        <v>91600</v>
      </c>
      <c r="K10" s="49">
        <f t="shared" ref="K10:K26" si="0">+K9</f>
        <v>-282136.55100618862</v>
      </c>
      <c r="L10" s="135">
        <f t="shared" ref="L10:L26" si="1">+L9</f>
        <v>-282136.55100618862</v>
      </c>
      <c r="M10" s="135"/>
      <c r="N10" s="327"/>
      <c r="O10" s="326"/>
      <c r="P10" s="326"/>
      <c r="Q10" s="326"/>
      <c r="R10" s="326"/>
    </row>
    <row r="11" spans="1:34" x14ac:dyDescent="0.2">
      <c r="A11" s="166"/>
      <c r="B11" s="9"/>
      <c r="C11" s="9" t="s">
        <v>83</v>
      </c>
      <c r="D11" s="49">
        <f>IF(LEFT(Invoerblad!F18,5)="apr09",0,'Rendement geinv. vermogen'!$B$30)</f>
        <v>0</v>
      </c>
      <c r="E11" s="167"/>
      <c r="F11" s="110"/>
      <c r="I11" s="405">
        <v>3</v>
      </c>
      <c r="J11" s="49">
        <f>'Hulpberekeningen 3 '!E$6</f>
        <v>177784</v>
      </c>
      <c r="K11" s="49">
        <f t="shared" si="0"/>
        <v>-282136.55100618862</v>
      </c>
      <c r="L11" s="135">
        <f t="shared" si="1"/>
        <v>-282136.55100618862</v>
      </c>
      <c r="M11" s="135"/>
      <c r="N11" s="327"/>
      <c r="O11" s="326"/>
      <c r="P11" s="326"/>
      <c r="Q11" s="326"/>
      <c r="R11" s="598"/>
      <c r="V11" s="326"/>
    </row>
    <row r="12" spans="1:34" x14ac:dyDescent="0.2">
      <c r="A12" s="166"/>
      <c r="B12" s="9"/>
      <c r="C12" s="9" t="s">
        <v>84</v>
      </c>
      <c r="D12" s="49">
        <f>+Invoerblad!E60</f>
        <v>0</v>
      </c>
      <c r="E12" s="167"/>
      <c r="F12" s="66"/>
      <c r="I12" s="405">
        <v>4</v>
      </c>
      <c r="J12" s="49">
        <f>'Hulpberekeningen 3 '!F$6</f>
        <v>262931.68</v>
      </c>
      <c r="K12" s="49">
        <f t="shared" si="0"/>
        <v>-282136.55100618862</v>
      </c>
      <c r="L12" s="135">
        <f t="shared" si="1"/>
        <v>-282136.55100618862</v>
      </c>
      <c r="M12" s="135"/>
      <c r="N12" s="327"/>
      <c r="O12" s="326"/>
      <c r="P12" s="326"/>
      <c r="Q12" s="326"/>
      <c r="R12" s="327"/>
      <c r="V12" s="327"/>
    </row>
    <row r="13" spans="1:34" x14ac:dyDescent="0.2">
      <c r="A13" s="166"/>
      <c r="B13" s="9"/>
      <c r="C13" s="9"/>
      <c r="D13" s="168"/>
      <c r="E13" s="167"/>
      <c r="F13" s="110"/>
      <c r="I13" s="405">
        <v>5</v>
      </c>
      <c r="J13" s="49">
        <f>'Hulpberekeningen 3 '!G$6</f>
        <v>347022.31359999999</v>
      </c>
      <c r="K13" s="49">
        <f t="shared" si="0"/>
        <v>-282136.55100618862</v>
      </c>
      <c r="L13" s="135">
        <f t="shared" si="1"/>
        <v>-282136.55100618862</v>
      </c>
      <c r="M13" s="135"/>
      <c r="N13" s="327"/>
      <c r="V13" s="327"/>
    </row>
    <row r="14" spans="1:34" x14ac:dyDescent="0.2">
      <c r="A14" s="166"/>
      <c r="B14" s="9" t="s">
        <v>85</v>
      </c>
      <c r="C14" s="158" t="s">
        <v>86</v>
      </c>
      <c r="D14" s="153">
        <f>SUM(D11:D12)</f>
        <v>0</v>
      </c>
      <c r="E14" s="167"/>
      <c r="F14" s="110"/>
      <c r="I14" s="405">
        <v>6</v>
      </c>
      <c r="J14" s="49">
        <f>'Hulpberekeningen 3 '!H$6</f>
        <v>430034.75987199997</v>
      </c>
      <c r="K14" s="49">
        <f t="shared" si="0"/>
        <v>-282136.55100618862</v>
      </c>
      <c r="L14" s="135">
        <f t="shared" si="1"/>
        <v>-282136.55100618862</v>
      </c>
      <c r="M14" s="135"/>
      <c r="N14" s="327"/>
      <c r="R14" s="135"/>
      <c r="V14" s="327"/>
    </row>
    <row r="15" spans="1:34" x14ac:dyDescent="0.2">
      <c r="A15" s="166"/>
      <c r="B15" s="9"/>
      <c r="C15" s="158"/>
      <c r="D15" s="49"/>
      <c r="E15" s="167"/>
      <c r="F15" s="110"/>
      <c r="I15" s="405">
        <v>7</v>
      </c>
      <c r="J15" s="49">
        <f>'Hulpberekeningen 3 '!I$6</f>
        <v>511947.45506943995</v>
      </c>
      <c r="K15" s="49">
        <f t="shared" si="0"/>
        <v>-282136.55100618862</v>
      </c>
      <c r="L15" s="135">
        <f t="shared" si="1"/>
        <v>-282136.55100618862</v>
      </c>
      <c r="M15" s="135"/>
      <c r="N15" s="327"/>
      <c r="R15" s="135"/>
      <c r="V15" s="327"/>
    </row>
    <row r="16" spans="1:34" x14ac:dyDescent="0.2">
      <c r="A16" s="166"/>
      <c r="B16" s="9"/>
      <c r="C16" s="85" t="str">
        <f>Invoerblad!B47</f>
        <v>…. subsidie (euro's)</v>
      </c>
      <c r="D16" s="49">
        <f>+Invoerblad!E47</f>
        <v>0</v>
      </c>
      <c r="E16" s="167"/>
      <c r="F16" s="110"/>
      <c r="I16" s="405">
        <v>8</v>
      </c>
      <c r="J16" s="49">
        <f>'Hulpberekeningen 3 '!J$6</f>
        <v>592738.40417082876</v>
      </c>
      <c r="K16" s="49">
        <f t="shared" si="0"/>
        <v>-282136.55100618862</v>
      </c>
      <c r="L16" s="135">
        <f t="shared" si="1"/>
        <v>-282136.55100618862</v>
      </c>
      <c r="M16" s="135"/>
      <c r="N16" s="327"/>
      <c r="R16" s="135"/>
      <c r="V16" s="327"/>
    </row>
    <row r="17" spans="1:22" ht="15" x14ac:dyDescent="0.25">
      <c r="A17" s="166"/>
      <c r="B17" s="9"/>
      <c r="C17" s="64" t="str">
        <f>Invoerblad!B48</f>
        <v>…. subsidie (euro's)</v>
      </c>
      <c r="D17" s="49">
        <f>+Invoerblad!E48</f>
        <v>0</v>
      </c>
      <c r="E17" s="167"/>
      <c r="F17" s="110"/>
      <c r="I17" s="405">
        <v>9</v>
      </c>
      <c r="J17" s="49">
        <f>'Hulpberekeningen 3 '!K$6</f>
        <v>672385.17225424526</v>
      </c>
      <c r="K17" s="49">
        <f t="shared" si="0"/>
        <v>-282136.55100618862</v>
      </c>
      <c r="L17" s="135">
        <f t="shared" si="1"/>
        <v>-282136.55100618862</v>
      </c>
      <c r="M17" s="135"/>
      <c r="N17" s="327"/>
      <c r="R17" s="135"/>
      <c r="V17" s="327"/>
    </row>
    <row r="18" spans="1:22" ht="15" x14ac:dyDescent="0.25">
      <c r="A18" s="166"/>
      <c r="B18" s="9"/>
      <c r="C18" s="64" t="str">
        <f>Invoerblad!B49</f>
        <v>…. subsidies (euro's)</v>
      </c>
      <c r="D18" s="49">
        <f>+Invoerblad!E49</f>
        <v>0</v>
      </c>
      <c r="E18" s="167"/>
      <c r="F18" s="110"/>
      <c r="I18" s="405">
        <v>10</v>
      </c>
      <c r="J18" s="49">
        <f>'Hulpberekeningen 3 '!L$6</f>
        <v>750864.87569933012</v>
      </c>
      <c r="K18" s="49">
        <f t="shared" si="0"/>
        <v>-282136.55100618862</v>
      </c>
      <c r="L18" s="135">
        <f t="shared" si="1"/>
        <v>-282136.55100618862</v>
      </c>
      <c r="M18" s="135"/>
      <c r="N18" s="327"/>
      <c r="R18" s="135"/>
      <c r="V18" s="327"/>
    </row>
    <row r="19" spans="1:22" ht="15" x14ac:dyDescent="0.25">
      <c r="A19" s="166"/>
      <c r="B19" s="9"/>
      <c r="C19" s="64" t="s">
        <v>87</v>
      </c>
      <c r="D19" s="49">
        <f>SUM(Invoerblad!E50)</f>
        <v>0</v>
      </c>
      <c r="E19" s="167"/>
      <c r="F19" s="110"/>
      <c r="I19" s="405">
        <v>11</v>
      </c>
      <c r="J19" s="49">
        <f>'Hulpberekeningen 3 '!M$6</f>
        <v>828154.17321331671</v>
      </c>
      <c r="K19" s="49">
        <f t="shared" si="0"/>
        <v>-282136.55100618862</v>
      </c>
      <c r="L19" s="135">
        <f t="shared" si="1"/>
        <v>-282136.55100618862</v>
      </c>
      <c r="M19" s="135"/>
      <c r="N19" s="327"/>
      <c r="R19" s="135"/>
      <c r="V19" s="327"/>
    </row>
    <row r="20" spans="1:22" ht="15" x14ac:dyDescent="0.25">
      <c r="A20" s="166"/>
      <c r="B20" s="9"/>
      <c r="C20" s="64" t="s">
        <v>33</v>
      </c>
      <c r="D20" s="49">
        <f>Invoerblad!E51</f>
        <v>0</v>
      </c>
      <c r="E20" s="167"/>
      <c r="F20" s="110"/>
      <c r="I20" s="405">
        <v>12</v>
      </c>
      <c r="J20" s="49">
        <f>'Hulpberekeningen 3 '!N$6</f>
        <v>904229.25667758309</v>
      </c>
      <c r="K20" s="49">
        <f t="shared" si="0"/>
        <v>-282136.55100618862</v>
      </c>
      <c r="L20" s="135">
        <f t="shared" si="1"/>
        <v>-282136.55100618862</v>
      </c>
      <c r="M20" s="135"/>
      <c r="N20" s="327"/>
      <c r="R20" s="135"/>
      <c r="V20" s="327"/>
    </row>
    <row r="21" spans="1:22" x14ac:dyDescent="0.2">
      <c r="A21" s="166"/>
      <c r="B21" s="9"/>
      <c r="C21" s="9" t="s">
        <v>88</v>
      </c>
      <c r="D21" s="49">
        <f>+Invoerblad!E68</f>
        <v>0</v>
      </c>
      <c r="E21" s="167"/>
      <c r="F21" s="110"/>
      <c r="I21" s="405">
        <v>13</v>
      </c>
      <c r="J21" s="49">
        <f>'Hulpberekeningen 3 '!O$6</f>
        <v>979065.84181113471</v>
      </c>
      <c r="K21" s="49">
        <f t="shared" si="0"/>
        <v>-282136.55100618862</v>
      </c>
      <c r="L21" s="135">
        <f t="shared" si="1"/>
        <v>-282136.55100618862</v>
      </c>
      <c r="M21" s="135"/>
      <c r="N21" s="327"/>
      <c r="R21" s="135"/>
      <c r="V21" s="327"/>
    </row>
    <row r="22" spans="1:22" x14ac:dyDescent="0.2">
      <c r="A22" s="166"/>
      <c r="B22" s="9"/>
      <c r="C22" s="9" t="s">
        <v>89</v>
      </c>
      <c r="D22" s="168">
        <f>+Invoerblad!E63</f>
        <v>0</v>
      </c>
      <c r="E22" s="167"/>
      <c r="F22" s="169"/>
      <c r="I22" s="405">
        <v>14</v>
      </c>
      <c r="J22" s="49">
        <f>'Hulpberekeningen 3 '!P$6</f>
        <v>1052639.1586473575</v>
      </c>
      <c r="K22" s="49">
        <f t="shared" si="0"/>
        <v>-282136.55100618862</v>
      </c>
      <c r="L22" s="135">
        <f t="shared" si="1"/>
        <v>-282136.55100618862</v>
      </c>
      <c r="M22" s="135"/>
      <c r="N22" s="327"/>
      <c r="V22" s="327"/>
    </row>
    <row r="23" spans="1:22" x14ac:dyDescent="0.2">
      <c r="A23" s="166"/>
      <c r="B23" s="9" t="s">
        <v>90</v>
      </c>
      <c r="C23" s="170" t="s">
        <v>86</v>
      </c>
      <c r="D23" s="153">
        <f>SUM(D16:D22)</f>
        <v>0</v>
      </c>
      <c r="E23" s="167"/>
      <c r="F23" s="169"/>
      <c r="I23" s="405">
        <v>15</v>
      </c>
      <c r="J23" s="49">
        <f>'Hulpberekeningen 3 '!Q$6</f>
        <v>1124923.9418203046</v>
      </c>
      <c r="K23" s="49">
        <f t="shared" si="0"/>
        <v>-282136.55100618862</v>
      </c>
      <c r="L23" s="135">
        <f t="shared" si="1"/>
        <v>-282136.55100618862</v>
      </c>
      <c r="M23" s="135"/>
      <c r="N23" s="327"/>
      <c r="R23" s="49"/>
      <c r="V23" s="327"/>
    </row>
    <row r="24" spans="1:22" x14ac:dyDescent="0.2">
      <c r="A24" s="166"/>
      <c r="B24" s="9" t="s">
        <v>91</v>
      </c>
      <c r="C24" s="170"/>
      <c r="D24" s="153"/>
      <c r="E24" s="167">
        <f>+D23+D14</f>
        <v>0</v>
      </c>
      <c r="F24" s="110"/>
      <c r="I24" s="405">
        <v>16</v>
      </c>
      <c r="J24" s="49">
        <f>'Hulpberekeningen 3 '!R$6</f>
        <v>1181753.1040399519</v>
      </c>
      <c r="K24" s="49">
        <f t="shared" si="0"/>
        <v>-282136.55100618862</v>
      </c>
      <c r="L24" s="135">
        <f t="shared" si="1"/>
        <v>-282136.55100618862</v>
      </c>
      <c r="M24" s="135"/>
      <c r="N24" s="327"/>
      <c r="R24" s="135"/>
      <c r="V24" s="327"/>
    </row>
    <row r="25" spans="1:22" x14ac:dyDescent="0.2">
      <c r="A25" s="166"/>
      <c r="B25" s="9"/>
      <c r="C25" s="9"/>
      <c r="D25" s="49"/>
      <c r="E25" s="167"/>
      <c r="F25" s="110"/>
      <c r="I25" s="405">
        <v>17</v>
      </c>
      <c r="J25" s="49">
        <f>'Hulpberekeningen 3 '!S$6</f>
        <v>1192359.091502521</v>
      </c>
      <c r="K25" s="49">
        <f t="shared" si="0"/>
        <v>-282136.55100618862</v>
      </c>
      <c r="L25" s="135">
        <f t="shared" si="1"/>
        <v>-282136.55100618862</v>
      </c>
      <c r="M25" s="135"/>
      <c r="N25" s="327"/>
      <c r="Q25" s="171"/>
      <c r="R25" s="49"/>
      <c r="V25" s="327"/>
    </row>
    <row r="26" spans="1:22" x14ac:dyDescent="0.2">
      <c r="A26" s="166" t="s">
        <v>92</v>
      </c>
      <c r="B26" s="85" t="s">
        <v>93</v>
      </c>
      <c r="C26" s="85"/>
      <c r="D26" s="153"/>
      <c r="E26" s="167">
        <f>+E7-E24</f>
        <v>0</v>
      </c>
      <c r="F26" s="110"/>
      <c r="I26" s="405">
        <v>18</v>
      </c>
      <c r="J26" s="49">
        <f>'Hulpberekeningen 3 '!T$6</f>
        <v>1192359.091502521</v>
      </c>
      <c r="K26" s="49">
        <f t="shared" si="0"/>
        <v>-282136.55100618862</v>
      </c>
      <c r="L26" s="135">
        <f t="shared" si="1"/>
        <v>-282136.55100618862</v>
      </c>
      <c r="M26" s="135"/>
      <c r="N26" s="324"/>
      <c r="V26" s="327"/>
    </row>
    <row r="27" spans="1:22" x14ac:dyDescent="0.2">
      <c r="A27" s="166"/>
      <c r="B27" s="9"/>
      <c r="C27" s="9"/>
      <c r="D27" s="49"/>
      <c r="E27" s="167"/>
      <c r="F27" s="110"/>
      <c r="J27" s="49"/>
      <c r="K27" s="49"/>
      <c r="L27" s="135"/>
      <c r="M27" s="135"/>
      <c r="N27" s="3"/>
      <c r="V27" s="327"/>
    </row>
    <row r="28" spans="1:22" ht="15" x14ac:dyDescent="0.25">
      <c r="A28" s="166" t="s">
        <v>94</v>
      </c>
      <c r="B28" s="9" t="s">
        <v>95</v>
      </c>
      <c r="C28" s="9"/>
      <c r="D28" s="49"/>
      <c r="E28" s="167">
        <f>+'Rendement geinv. vermogen'!B21</f>
        <v>0</v>
      </c>
      <c r="F28" s="160" t="s">
        <v>11</v>
      </c>
      <c r="J28" s="49"/>
      <c r="K28" s="49"/>
      <c r="L28" s="135"/>
      <c r="M28" s="135"/>
      <c r="N28" s="324"/>
      <c r="V28" s="327"/>
    </row>
    <row r="29" spans="1:22" x14ac:dyDescent="0.2">
      <c r="A29" s="166"/>
      <c r="B29" s="9"/>
      <c r="C29" s="9"/>
      <c r="D29" s="49"/>
      <c r="E29" s="167"/>
      <c r="V29" s="326"/>
    </row>
    <row r="30" spans="1:22" x14ac:dyDescent="0.2">
      <c r="A30" s="166" t="s">
        <v>96</v>
      </c>
      <c r="B30" s="85" t="s">
        <v>97</v>
      </c>
      <c r="C30" s="9"/>
      <c r="D30" s="49"/>
      <c r="E30" s="167">
        <f>Invoerblad!I126</f>
        <v>877640.90849747881</v>
      </c>
      <c r="V30" s="326"/>
    </row>
    <row r="31" spans="1:22" x14ac:dyDescent="0.2">
      <c r="A31" s="166"/>
      <c r="B31" s="9"/>
      <c r="C31" s="9"/>
      <c r="D31" s="49"/>
      <c r="E31" s="167"/>
      <c r="V31" s="326"/>
    </row>
    <row r="32" spans="1:22" x14ac:dyDescent="0.2">
      <c r="A32" s="166" t="s">
        <v>80</v>
      </c>
      <c r="B32" s="9" t="s">
        <v>98</v>
      </c>
      <c r="C32" s="9"/>
      <c r="D32" s="49"/>
      <c r="E32" s="172">
        <f>SUM(Invoerblad!I128:I130)</f>
        <v>595504.3574912902</v>
      </c>
    </row>
    <row r="33" spans="1:7" x14ac:dyDescent="0.2">
      <c r="A33" s="166"/>
      <c r="B33" s="9"/>
      <c r="C33" s="9"/>
      <c r="D33" s="49"/>
      <c r="E33" s="167"/>
    </row>
    <row r="34" spans="1:7" x14ac:dyDescent="0.2">
      <c r="A34" s="166" t="s">
        <v>99</v>
      </c>
      <c r="B34" s="9" t="s">
        <v>100</v>
      </c>
      <c r="C34" s="9"/>
      <c r="D34" s="49"/>
      <c r="E34" s="167">
        <f>+E26+E28-E30+E32</f>
        <v>-282136.55100618862</v>
      </c>
      <c r="F34" s="110"/>
    </row>
    <row r="35" spans="1:7" x14ac:dyDescent="0.2">
      <c r="A35" s="166"/>
      <c r="B35" s="9"/>
      <c r="C35" s="9"/>
      <c r="D35" s="49"/>
      <c r="E35" s="167"/>
      <c r="F35" s="110"/>
    </row>
    <row r="36" spans="1:7" ht="15" x14ac:dyDescent="0.25">
      <c r="A36" s="166" t="s">
        <v>101</v>
      </c>
      <c r="B36" s="9" t="s">
        <v>102</v>
      </c>
      <c r="C36" s="9"/>
      <c r="D36" s="49"/>
      <c r="E36" s="167">
        <f>Invoerblad!I38+Invoerblad!I106</f>
        <v>1192359.091502521</v>
      </c>
      <c r="F36" s="160" t="s">
        <v>11</v>
      </c>
    </row>
    <row r="37" spans="1:7" x14ac:dyDescent="0.2">
      <c r="A37" s="166"/>
      <c r="B37" s="9"/>
      <c r="C37" s="9"/>
      <c r="D37" s="49"/>
      <c r="E37" s="167"/>
    </row>
    <row r="38" spans="1:7" x14ac:dyDescent="0.2">
      <c r="A38" s="166" t="s">
        <v>103</v>
      </c>
      <c r="B38" s="47" t="s">
        <v>104</v>
      </c>
      <c r="C38" s="9"/>
      <c r="D38" s="49"/>
      <c r="E38" s="167">
        <f>E34-E36</f>
        <v>-1474495.6425087096</v>
      </c>
      <c r="F38" s="110"/>
    </row>
    <row r="39" spans="1:7" x14ac:dyDescent="0.2">
      <c r="A39" s="166" t="s">
        <v>105</v>
      </c>
      <c r="B39" s="47" t="s">
        <v>106</v>
      </c>
      <c r="C39" s="9"/>
      <c r="D39" s="49"/>
      <c r="E39" s="167">
        <f>E26+E28-E36</f>
        <v>-1192359.091502521</v>
      </c>
      <c r="F39" s="110"/>
    </row>
    <row r="40" spans="1:7" x14ac:dyDescent="0.2">
      <c r="B40" s="47"/>
      <c r="C40" s="9"/>
      <c r="D40" s="49"/>
      <c r="E40" s="173"/>
      <c r="F40" s="110"/>
    </row>
    <row r="41" spans="1:7" x14ac:dyDescent="0.2">
      <c r="A41" s="166" t="s">
        <v>107</v>
      </c>
      <c r="B41" s="47" t="s">
        <v>108</v>
      </c>
      <c r="C41" s="9"/>
      <c r="D41" s="49"/>
      <c r="E41" s="173">
        <f>IF(E38&lt;0,-E38,0)</f>
        <v>1474495.6425087096</v>
      </c>
      <c r="F41" s="110"/>
    </row>
    <row r="42" spans="1:7" x14ac:dyDescent="0.2">
      <c r="A42" s="166" t="s">
        <v>109</v>
      </c>
      <c r="B42" s="47" t="s">
        <v>110</v>
      </c>
      <c r="C42" s="9"/>
      <c r="D42" s="49"/>
      <c r="E42" s="173">
        <f>IF(E39&lt;0,-E39,0)</f>
        <v>1192359.091502521</v>
      </c>
      <c r="F42" s="110"/>
    </row>
    <row r="43" spans="1:7" x14ac:dyDescent="0.2">
      <c r="A43" s="174"/>
      <c r="B43" s="175"/>
      <c r="C43" s="175"/>
      <c r="D43" s="168"/>
      <c r="E43" s="176"/>
      <c r="F43" s="110"/>
      <c r="G43" s="66"/>
    </row>
    <row r="44" spans="1:7" x14ac:dyDescent="0.2">
      <c r="D44" s="49"/>
      <c r="E44" s="49"/>
      <c r="F44" s="110"/>
      <c r="G44" s="66"/>
    </row>
    <row r="45" spans="1:7" x14ac:dyDescent="0.2">
      <c r="D45" s="49"/>
      <c r="E45" s="49"/>
      <c r="G45" s="177"/>
    </row>
    <row r="46" spans="1:7" ht="15.75" x14ac:dyDescent="0.25">
      <c r="A46" s="178" t="s">
        <v>111</v>
      </c>
      <c r="B46" s="163"/>
      <c r="C46" s="163"/>
      <c r="D46" s="179"/>
      <c r="E46" s="164"/>
      <c r="F46" s="110"/>
      <c r="G46" s="177"/>
    </row>
    <row r="47" spans="1:7" x14ac:dyDescent="0.2">
      <c r="A47" s="286"/>
      <c r="B47" s="27"/>
      <c r="C47" s="27"/>
      <c r="D47" s="49"/>
      <c r="E47" s="167"/>
      <c r="F47" s="110"/>
      <c r="G47" s="177"/>
    </row>
    <row r="48" spans="1:7" x14ac:dyDescent="0.2">
      <c r="A48" s="180" t="s">
        <v>112</v>
      </c>
      <c r="B48" s="27"/>
      <c r="C48" s="27"/>
      <c r="D48" s="49"/>
      <c r="E48" s="167"/>
      <c r="F48" s="110"/>
      <c r="G48" s="177"/>
    </row>
    <row r="49" spans="1:17" x14ac:dyDescent="0.2">
      <c r="A49" s="181"/>
      <c r="B49" s="27"/>
      <c r="C49" s="27"/>
      <c r="D49" s="49"/>
      <c r="E49" s="167"/>
      <c r="F49" s="110"/>
      <c r="G49" s="177"/>
      <c r="P49" s="3"/>
      <c r="Q49" s="3"/>
    </row>
    <row r="50" spans="1:17" x14ac:dyDescent="0.2">
      <c r="A50" s="181"/>
      <c r="B50" s="27"/>
      <c r="C50" s="27"/>
      <c r="D50" s="49"/>
      <c r="E50" s="167"/>
      <c r="F50" s="110"/>
      <c r="G50" s="177"/>
      <c r="P50" s="3"/>
      <c r="Q50" s="3"/>
    </row>
    <row r="51" spans="1:17" ht="15" x14ac:dyDescent="0.25">
      <c r="A51" s="181" t="s">
        <v>113</v>
      </c>
      <c r="B51" s="47" t="s">
        <v>114</v>
      </c>
      <c r="C51" s="27"/>
      <c r="D51" s="49"/>
      <c r="E51" s="328">
        <f>IF('hulpberekeningen 2'!D58&lt;=10000,0,SMALL('hulpberekeningen 2'!D56:D57,1))</f>
        <v>0</v>
      </c>
      <c r="F51" s="160" t="s">
        <v>11</v>
      </c>
      <c r="G51" s="177"/>
      <c r="P51" s="3"/>
      <c r="Q51" s="3"/>
    </row>
    <row r="52" spans="1:17" s="3" customFormat="1" ht="15" x14ac:dyDescent="0.25">
      <c r="A52" s="181"/>
      <c r="B52" s="47"/>
      <c r="C52" s="27"/>
      <c r="D52" s="49"/>
      <c r="E52" s="173"/>
      <c r="F52" s="160"/>
      <c r="G52" s="177"/>
      <c r="O52" s="135"/>
    </row>
    <row r="53" spans="1:17" x14ac:dyDescent="0.2">
      <c r="A53" s="400" t="s">
        <v>290</v>
      </c>
      <c r="B53" s="424" t="s">
        <v>252</v>
      </c>
      <c r="C53" s="424"/>
      <c r="D53" s="425"/>
      <c r="E53" s="426">
        <f>'hulpberekeningen 2'!A37</f>
        <v>2024</v>
      </c>
      <c r="F53" s="182"/>
      <c r="G53" s="177"/>
    </row>
    <row r="54" spans="1:17" ht="15" x14ac:dyDescent="0.25">
      <c r="A54" s="400" t="s">
        <v>291</v>
      </c>
      <c r="B54" s="424" t="str">
        <f>"Begrote productie vanaf kortingsjaar "&amp;E53&amp;" (MWh)"</f>
        <v>Begrote productie vanaf kortingsjaar 2024 (MWh)</v>
      </c>
      <c r="C54" s="424"/>
      <c r="D54" s="425"/>
      <c r="E54" s="427">
        <f>'hulpberekeningen 2'!A33</f>
        <v>25500</v>
      </c>
      <c r="F54" s="160" t="s">
        <v>11</v>
      </c>
      <c r="G54" s="177"/>
    </row>
    <row r="55" spans="1:17" ht="15" x14ac:dyDescent="0.25">
      <c r="A55" s="400" t="s">
        <v>292</v>
      </c>
      <c r="B55" s="424" t="str">
        <f>"Totaal NCW productie (uitbetaling) vanaf kortingjaar "&amp;E53&amp;" (MWh)"</f>
        <v>Totaal NCW productie (uitbetaling) vanaf kortingjaar 2024 (MWh)</v>
      </c>
      <c r="C55" s="424"/>
      <c r="D55" s="425"/>
      <c r="E55" s="427">
        <f>'hulpberekeningen 2'!A29</f>
        <v>25500</v>
      </c>
      <c r="F55" s="160" t="s">
        <v>11</v>
      </c>
      <c r="G55" s="177"/>
    </row>
    <row r="56" spans="1:17" s="3" customFormat="1" x14ac:dyDescent="0.2">
      <c r="A56" s="400" t="s">
        <v>363</v>
      </c>
      <c r="B56" s="428" t="str">
        <f>"MSK-kortingtarief vanaf kortingsjaar "&amp;E53&amp;" (€/MWh)"</f>
        <v>MSK-kortingtarief vanaf kortingsjaar 2024 (€/MWh)</v>
      </c>
      <c r="C56" s="428"/>
      <c r="D56" s="425"/>
      <c r="E56" s="566">
        <f ca="1">IF('hulpberekeningen 2'!A41=1,0,'hulpberekeningen 2'!A42)</f>
        <v>0</v>
      </c>
      <c r="F56" s="110"/>
      <c r="G56" s="177"/>
    </row>
    <row r="57" spans="1:17" x14ac:dyDescent="0.2">
      <c r="A57" s="286"/>
      <c r="B57" s="425"/>
      <c r="C57" s="425"/>
      <c r="D57" s="429"/>
      <c r="E57" s="430"/>
      <c r="F57" s="110"/>
      <c r="G57" s="177"/>
    </row>
    <row r="58" spans="1:17" x14ac:dyDescent="0.2">
      <c r="A58" s="607" t="s">
        <v>285</v>
      </c>
      <c r="B58" s="425" t="s">
        <v>255</v>
      </c>
      <c r="C58" s="425"/>
      <c r="D58" s="425"/>
      <c r="E58" s="431">
        <f>Invoerblad!I111</f>
        <v>1192359.091502521</v>
      </c>
      <c r="F58" s="110"/>
      <c r="G58" s="177"/>
    </row>
    <row r="59" spans="1:17" s="3" customFormat="1" x14ac:dyDescent="0.2">
      <c r="A59" s="607" t="s">
        <v>365</v>
      </c>
      <c r="B59" s="425" t="s">
        <v>284</v>
      </c>
      <c r="C59" s="425"/>
      <c r="D59" s="425"/>
      <c r="E59" s="431">
        <f>MIN(E51,E58)</f>
        <v>0</v>
      </c>
      <c r="F59" s="110"/>
      <c r="G59" s="177"/>
    </row>
    <row r="60" spans="1:17" ht="15" x14ac:dyDescent="0.25">
      <c r="A60" s="607" t="s">
        <v>286</v>
      </c>
      <c r="B60" s="425" t="s">
        <v>296</v>
      </c>
      <c r="C60" s="425"/>
      <c r="D60" s="425"/>
      <c r="E60" s="431">
        <f>E58-E59</f>
        <v>1192359.091502521</v>
      </c>
      <c r="F60" s="160" t="s">
        <v>11</v>
      </c>
      <c r="G60" s="177"/>
    </row>
    <row r="61" spans="1:17" s="3" customFormat="1" x14ac:dyDescent="0.2">
      <c r="A61" s="607" t="s">
        <v>250</v>
      </c>
      <c r="B61" s="425" t="s">
        <v>298</v>
      </c>
      <c r="C61" s="425"/>
      <c r="D61" s="425"/>
      <c r="E61" s="431">
        <f ca="1">Invoerblad!I113</f>
        <v>1192359.091502521</v>
      </c>
      <c r="F61" s="110"/>
      <c r="G61" s="177"/>
    </row>
    <row r="62" spans="1:17" s="3" customFormat="1" ht="15" customHeight="1" x14ac:dyDescent="0.25">
      <c r="A62" s="607" t="s">
        <v>368</v>
      </c>
      <c r="B62" s="712" t="s">
        <v>336</v>
      </c>
      <c r="C62" s="713"/>
      <c r="D62" s="713"/>
      <c r="E62" s="431">
        <f ca="1">MIN(E61-E60,E61)</f>
        <v>0</v>
      </c>
      <c r="F62" s="160"/>
      <c r="G62" s="177"/>
    </row>
    <row r="63" spans="1:17" s="3" customFormat="1" ht="15" customHeight="1" x14ac:dyDescent="0.25">
      <c r="A63" s="607" t="s">
        <v>370</v>
      </c>
      <c r="B63" s="428" t="s">
        <v>345</v>
      </c>
      <c r="C63" s="530"/>
      <c r="D63" s="530"/>
      <c r="E63" s="431" t="str">
        <f ca="1">Invoerblad!I139</f>
        <v>N.v.t.</v>
      </c>
      <c r="F63" s="160"/>
      <c r="G63" s="177"/>
    </row>
    <row r="64" spans="1:17" x14ac:dyDescent="0.2">
      <c r="A64" s="401"/>
      <c r="B64" s="402"/>
      <c r="C64" s="402"/>
      <c r="D64" s="402"/>
      <c r="E64" s="403"/>
      <c r="F64" s="110"/>
      <c r="G64" s="177"/>
    </row>
    <row r="65" spans="1:14" s="3" customFormat="1" ht="15.75" x14ac:dyDescent="0.25">
      <c r="A65" s="184"/>
      <c r="B65" s="185"/>
      <c r="C65" s="85"/>
      <c r="D65" s="85"/>
      <c r="E65" s="186"/>
      <c r="F65" s="110"/>
      <c r="G65" s="177"/>
    </row>
    <row r="66" spans="1:14" s="3" customFormat="1" x14ac:dyDescent="0.2">
      <c r="A66" s="110"/>
      <c r="B66" s="177"/>
    </row>
    <row r="67" spans="1:14" ht="15" x14ac:dyDescent="0.25">
      <c r="A67" s="160" t="s">
        <v>11</v>
      </c>
      <c r="B67" s="66"/>
    </row>
    <row r="68" spans="1:14" x14ac:dyDescent="0.2">
      <c r="A68" s="110"/>
      <c r="B68" s="66"/>
      <c r="E68" s="423"/>
    </row>
    <row r="69" spans="1:14" x14ac:dyDescent="0.2">
      <c r="A69" s="110"/>
    </row>
    <row r="70" spans="1:14" x14ac:dyDescent="0.2">
      <c r="B70" s="187"/>
      <c r="C70" s="188"/>
      <c r="D70" s="135"/>
    </row>
    <row r="71" spans="1:14" x14ac:dyDescent="0.2">
      <c r="A71" s="110"/>
      <c r="B71" s="152"/>
      <c r="C71" s="110"/>
    </row>
    <row r="72" spans="1:14" x14ac:dyDescent="0.2">
      <c r="A72" s="110"/>
      <c r="B72" s="152"/>
      <c r="C72" s="110"/>
    </row>
    <row r="73" spans="1:14" x14ac:dyDescent="0.2">
      <c r="A73" s="110"/>
      <c r="B73" s="189"/>
      <c r="C73" s="110"/>
    </row>
    <row r="74" spans="1:14" x14ac:dyDescent="0.2">
      <c r="A74" s="110"/>
      <c r="B74" s="189"/>
      <c r="C74" s="110"/>
    </row>
    <row r="75" spans="1:14" x14ac:dyDescent="0.2">
      <c r="B75" s="189"/>
      <c r="C75" s="110"/>
    </row>
    <row r="76" spans="1:14" x14ac:dyDescent="0.2">
      <c r="B76" s="190"/>
      <c r="C76" s="110"/>
    </row>
    <row r="77" spans="1:14" ht="15.75" x14ac:dyDescent="0.25">
      <c r="B77" s="191"/>
      <c r="C77" s="185"/>
      <c r="D77" s="85"/>
      <c r="E77" s="85"/>
      <c r="F77" s="186"/>
    </row>
    <row r="78" spans="1:14" ht="15.75" x14ac:dyDescent="0.25">
      <c r="B78" s="184"/>
      <c r="C78" s="185"/>
      <c r="D78" s="85"/>
      <c r="E78" s="85"/>
      <c r="F78" s="186"/>
    </row>
    <row r="79" spans="1:14" ht="15.75" hidden="1" x14ac:dyDescent="0.25">
      <c r="E79" s="49"/>
      <c r="G79" s="184"/>
      <c r="H79" s="185"/>
      <c r="I79" s="85"/>
      <c r="J79" s="85"/>
      <c r="K79" s="186"/>
    </row>
    <row r="80" spans="1:14" ht="15.75" x14ac:dyDescent="0.25">
      <c r="E80" s="49"/>
      <c r="G80" s="191"/>
      <c r="H80" s="85"/>
      <c r="I80" s="85"/>
      <c r="J80" s="85"/>
      <c r="K80" s="152"/>
      <c r="L80" s="9"/>
      <c r="M80" s="9"/>
      <c r="N80" s="9"/>
    </row>
    <row r="81" spans="5:14" ht="15.75" x14ac:dyDescent="0.25">
      <c r="E81" s="49"/>
      <c r="G81" s="192"/>
      <c r="H81" s="193"/>
      <c r="I81" s="194"/>
      <c r="J81" s="194"/>
      <c r="K81" s="195"/>
      <c r="L81" s="194"/>
      <c r="M81" s="194"/>
      <c r="N81" s="9"/>
    </row>
    <row r="82" spans="5:14" ht="15.75" hidden="1" x14ac:dyDescent="0.25">
      <c r="E82" s="49"/>
      <c r="G82" s="192"/>
      <c r="H82" s="192"/>
      <c r="I82" s="194"/>
      <c r="J82" s="194"/>
      <c r="K82" s="195"/>
      <c r="L82" s="194"/>
      <c r="M82" s="194"/>
      <c r="N82" s="9"/>
    </row>
    <row r="83" spans="5:14" ht="15.75" x14ac:dyDescent="0.25">
      <c r="E83" s="49"/>
      <c r="G83" s="192"/>
      <c r="H83" s="192"/>
      <c r="I83" s="196"/>
      <c r="J83" s="197"/>
      <c r="K83" s="198"/>
      <c r="L83" s="194"/>
      <c r="M83" s="194"/>
      <c r="N83" s="9"/>
    </row>
    <row r="84" spans="5:14" ht="15.75" x14ac:dyDescent="0.25">
      <c r="E84" s="49"/>
      <c r="G84" s="192"/>
      <c r="H84" s="192"/>
      <c r="I84" s="194"/>
      <c r="J84" s="194"/>
      <c r="K84" s="195"/>
      <c r="L84" s="194"/>
      <c r="M84" s="194"/>
      <c r="N84" s="9"/>
    </row>
    <row r="85" spans="5:14" ht="15.75" x14ac:dyDescent="0.25">
      <c r="E85" s="49"/>
      <c r="G85" s="192"/>
      <c r="H85" s="192"/>
      <c r="I85" s="194"/>
      <c r="J85" s="194"/>
      <c r="K85" s="195"/>
      <c r="L85" s="194"/>
      <c r="M85" s="194"/>
      <c r="N85" s="9"/>
    </row>
    <row r="86" spans="5:14" ht="15.75" x14ac:dyDescent="0.25">
      <c r="E86" s="49"/>
      <c r="G86" s="192"/>
      <c r="H86" s="192"/>
      <c r="I86" s="194"/>
      <c r="J86" s="194"/>
      <c r="K86" s="199"/>
      <c r="L86" s="194"/>
      <c r="M86" s="194"/>
      <c r="N86" s="9"/>
    </row>
    <row r="87" spans="5:14" ht="15.75" x14ac:dyDescent="0.25">
      <c r="E87" s="49"/>
      <c r="G87" s="192"/>
      <c r="H87" s="192"/>
      <c r="I87" s="194"/>
      <c r="J87" s="194"/>
      <c r="K87" s="194"/>
      <c r="L87" s="194"/>
      <c r="M87" s="194"/>
      <c r="N87" s="9"/>
    </row>
    <row r="88" spans="5:14" ht="20.25" customHeight="1" x14ac:dyDescent="0.25">
      <c r="E88" s="49"/>
      <c r="G88" s="192"/>
      <c r="H88" s="192"/>
      <c r="I88" s="194"/>
      <c r="J88" s="194"/>
      <c r="K88" s="194"/>
      <c r="L88" s="194"/>
      <c r="M88" s="194"/>
      <c r="N88" s="9"/>
    </row>
    <row r="89" spans="5:14" ht="17.25" customHeight="1" x14ac:dyDescent="0.25">
      <c r="E89" s="49"/>
      <c r="G89" s="200"/>
      <c r="H89" s="200"/>
      <c r="I89" s="194"/>
      <c r="J89" s="194"/>
      <c r="K89" s="194"/>
      <c r="L89" s="194"/>
      <c r="M89" s="194"/>
      <c r="N89" s="9"/>
    </row>
    <row r="90" spans="5:14" ht="17.25" customHeight="1" x14ac:dyDescent="0.2">
      <c r="E90" s="49"/>
      <c r="G90" s="9"/>
      <c r="H90" s="49"/>
      <c r="I90" s="9"/>
      <c r="J90" s="9"/>
      <c r="K90" s="9"/>
      <c r="L90" s="9"/>
      <c r="M90" s="9"/>
      <c r="N90" s="9"/>
    </row>
    <row r="91" spans="5:14" ht="17.25" customHeight="1" x14ac:dyDescent="0.2">
      <c r="E91" s="49"/>
      <c r="H91" s="49"/>
    </row>
    <row r="92" spans="5:14" ht="17.25" customHeight="1" x14ac:dyDescent="0.2">
      <c r="E92" s="49"/>
      <c r="H92" s="49"/>
    </row>
    <row r="93" spans="5:14" ht="17.25" customHeight="1" x14ac:dyDescent="0.2">
      <c r="E93" s="49"/>
      <c r="H93" s="49"/>
    </row>
    <row r="94" spans="5:14" ht="17.25" customHeight="1" x14ac:dyDescent="0.2">
      <c r="E94" s="49"/>
      <c r="H94" s="49"/>
    </row>
    <row r="95" spans="5:14" ht="17.25" customHeight="1" x14ac:dyDescent="0.2">
      <c r="E95" s="49"/>
      <c r="H95" s="49"/>
    </row>
    <row r="96" spans="5:14" ht="17.25" customHeight="1" x14ac:dyDescent="0.2">
      <c r="E96" s="49"/>
      <c r="H96" s="49"/>
    </row>
    <row r="97" spans="5:5" x14ac:dyDescent="0.2">
      <c r="E97" s="49"/>
    </row>
    <row r="98" spans="5:5" x14ac:dyDescent="0.2">
      <c r="E98" s="49"/>
    </row>
    <row r="99" spans="5:5" x14ac:dyDescent="0.2">
      <c r="E99" s="49"/>
    </row>
    <row r="100" spans="5:5" x14ac:dyDescent="0.2">
      <c r="E100" s="49"/>
    </row>
    <row r="101" spans="5:5" x14ac:dyDescent="0.2">
      <c r="E101" s="49"/>
    </row>
    <row r="102" spans="5:5" x14ac:dyDescent="0.2">
      <c r="E102" s="49"/>
    </row>
    <row r="103" spans="5:5" x14ac:dyDescent="0.2">
      <c r="E103" s="49"/>
    </row>
    <row r="104" spans="5:5" x14ac:dyDescent="0.2">
      <c r="E104" s="49"/>
    </row>
    <row r="105" spans="5:5" x14ac:dyDescent="0.2">
      <c r="E105" s="49"/>
    </row>
    <row r="106" spans="5:5" x14ac:dyDescent="0.2">
      <c r="E106" s="49"/>
    </row>
    <row r="107" spans="5:5" x14ac:dyDescent="0.2">
      <c r="E107" s="49"/>
    </row>
    <row r="108" spans="5:5" x14ac:dyDescent="0.2">
      <c r="E108" s="49"/>
    </row>
    <row r="109" spans="5:5" x14ac:dyDescent="0.2">
      <c r="E109" s="49"/>
    </row>
    <row r="110" spans="5:5" x14ac:dyDescent="0.2">
      <c r="E110" s="49"/>
    </row>
    <row r="111" spans="5:5" x14ac:dyDescent="0.2">
      <c r="E111" s="49"/>
    </row>
    <row r="112" spans="5:5" x14ac:dyDescent="0.2">
      <c r="E112" s="49"/>
    </row>
    <row r="113" spans="5:5" x14ac:dyDescent="0.2">
      <c r="E113" s="49"/>
    </row>
    <row r="114" spans="5:5" x14ac:dyDescent="0.2">
      <c r="E114" s="49"/>
    </row>
    <row r="115" spans="5:5" x14ac:dyDescent="0.2">
      <c r="E115" s="49"/>
    </row>
    <row r="116" spans="5:5" x14ac:dyDescent="0.2">
      <c r="E116" s="49"/>
    </row>
    <row r="117" spans="5:5" x14ac:dyDescent="0.2">
      <c r="E117" s="49"/>
    </row>
    <row r="118" spans="5:5" x14ac:dyDescent="0.2">
      <c r="E118" s="49"/>
    </row>
    <row r="119" spans="5:5" x14ac:dyDescent="0.2">
      <c r="E119" s="49"/>
    </row>
    <row r="120" spans="5:5" x14ac:dyDescent="0.2">
      <c r="E120" s="49"/>
    </row>
    <row r="121" spans="5:5" x14ac:dyDescent="0.2">
      <c r="E121" s="49"/>
    </row>
    <row r="122" spans="5:5" x14ac:dyDescent="0.2">
      <c r="E122" s="49"/>
    </row>
    <row r="123" spans="5:5" x14ac:dyDescent="0.2">
      <c r="E123" s="49"/>
    </row>
    <row r="124" spans="5:5" x14ac:dyDescent="0.2">
      <c r="E124" s="49"/>
    </row>
    <row r="125" spans="5:5" x14ac:dyDescent="0.2">
      <c r="E125" s="49"/>
    </row>
    <row r="126" spans="5:5" x14ac:dyDescent="0.2">
      <c r="E126" s="49"/>
    </row>
    <row r="127" spans="5:5" x14ac:dyDescent="0.2">
      <c r="E127" s="49"/>
    </row>
    <row r="128" spans="5:5" x14ac:dyDescent="0.2">
      <c r="E128" s="49"/>
    </row>
    <row r="129" spans="5:5" x14ac:dyDescent="0.2">
      <c r="E129" s="49"/>
    </row>
    <row r="130" spans="5:5" x14ac:dyDescent="0.2">
      <c r="E130" s="49"/>
    </row>
  </sheetData>
  <mergeCells count="1">
    <mergeCell ref="B62:D62"/>
  </mergeCells>
  <phoneticPr fontId="56" type="noConversion"/>
  <hyperlinks>
    <hyperlink ref="F1" location="Toelichting!A169" display="Info" xr:uid="{00000000-0004-0000-0200-000000000000}"/>
    <hyperlink ref="F28" location="Toelichting!A183" display="Info" xr:uid="{00000000-0004-0000-0200-000001000000}"/>
    <hyperlink ref="F36" location="Toelichting!A187" display="Info" xr:uid="{00000000-0004-0000-0200-000002000000}"/>
    <hyperlink ref="F51" location="Toelichting!A198" display="Info" xr:uid="{00000000-0004-0000-0200-000003000000}"/>
    <hyperlink ref="F54" location="Toelichting!A200" display="Info" xr:uid="{00000000-0004-0000-0200-000004000000}"/>
    <hyperlink ref="F55" location="Toelichting!A201" display="Info" xr:uid="{00000000-0004-0000-0200-000005000000}"/>
    <hyperlink ref="F60" location="Toelichting!A203" display="Info" xr:uid="{00000000-0004-0000-0200-000006000000}"/>
    <hyperlink ref="A67" location="Toelichting!A204" display="Info" xr:uid="{00000000-0004-0000-0200-000007000000}"/>
  </hyperlinks>
  <pageMargins left="0.78749999999999998" right="0.78749999999999998" top="0.196527777777778" bottom="0.196527777777778" header="0.51180555555555496" footer="0.51180555555555496"/>
  <pageSetup paperSize="8" firstPageNumber="0" orientation="landscape" horizontalDpi="300" verticalDpi="300" r:id="rId1"/>
  <headerFooter>
    <oddHeader>&amp;L&amp;"Calibri"&amp;10&amp;K000000 Vertrouwelijk&amp;1#_x000D_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4CD8-7F0B-4BD4-851C-85C3D59D3381}">
  <dimension ref="A1:AB58"/>
  <sheetViews>
    <sheetView topLeftCell="A3" zoomScale="80" zoomScaleNormal="80" workbookViewId="0">
      <selection activeCell="A41" sqref="A41"/>
    </sheetView>
  </sheetViews>
  <sheetFormatPr defaultRowHeight="12.75" x14ac:dyDescent="0.2"/>
  <cols>
    <col min="1" max="1" width="80.83203125" customWidth="1"/>
    <col min="2" max="2" width="12.6640625" style="3" customWidth="1"/>
    <col min="3" max="3" width="25.1640625" customWidth="1"/>
    <col min="4" max="20" width="15.83203125" customWidth="1"/>
    <col min="21" max="21" width="10.5" customWidth="1"/>
  </cols>
  <sheetData>
    <row r="1" spans="1:28" ht="18.75" x14ac:dyDescent="0.3">
      <c r="A1" s="333" t="s">
        <v>331</v>
      </c>
      <c r="B1" s="333"/>
    </row>
    <row r="2" spans="1:28" s="3" customFormat="1" ht="12.75" customHeight="1" x14ac:dyDescent="0.3">
      <c r="A2" s="333"/>
      <c r="B2" s="333"/>
    </row>
    <row r="3" spans="1:28" s="3" customFormat="1" ht="15.75" customHeight="1" x14ac:dyDescent="0.25">
      <c r="A3" s="479" t="s">
        <v>337</v>
      </c>
      <c r="B3" s="479">
        <f>Invoerblad!E16</f>
        <v>1</v>
      </c>
    </row>
    <row r="4" spans="1:28" s="3" customFormat="1" ht="15.75" customHeight="1" x14ac:dyDescent="0.25">
      <c r="A4" s="479" t="s">
        <v>338</v>
      </c>
      <c r="B4" s="479">
        <f>Invoerblad!E17</f>
        <v>1</v>
      </c>
      <c r="D4" s="321">
        <f>Invoerblad!K17</f>
        <v>1</v>
      </c>
      <c r="E4" s="321">
        <f>Invoerblad!L17</f>
        <v>2</v>
      </c>
      <c r="F4" s="321">
        <f>Invoerblad!M17</f>
        <v>3</v>
      </c>
      <c r="G4" s="321">
        <f>Invoerblad!N17</f>
        <v>4</v>
      </c>
      <c r="H4" s="321">
        <f>Invoerblad!O17</f>
        <v>5</v>
      </c>
      <c r="I4" s="321">
        <f>Invoerblad!P17</f>
        <v>6</v>
      </c>
      <c r="J4" s="321">
        <f>Invoerblad!Q17</f>
        <v>7</v>
      </c>
      <c r="K4" s="321">
        <f>Invoerblad!R17</f>
        <v>8</v>
      </c>
      <c r="L4" s="321">
        <f>Invoerblad!S17</f>
        <v>9</v>
      </c>
      <c r="M4" s="321">
        <f>Invoerblad!T17</f>
        <v>10</v>
      </c>
      <c r="N4" s="321">
        <f>Invoerblad!U17</f>
        <v>11</v>
      </c>
      <c r="O4" s="321">
        <f>Invoerblad!V17</f>
        <v>12</v>
      </c>
      <c r="P4" s="321">
        <f>Invoerblad!W17</f>
        <v>13</v>
      </c>
      <c r="Q4" s="321">
        <f>Invoerblad!X17</f>
        <v>14</v>
      </c>
      <c r="R4" s="321">
        <f>Invoerblad!Y17</f>
        <v>15</v>
      </c>
      <c r="S4" s="321">
        <f>Invoerblad!Z17</f>
        <v>16</v>
      </c>
      <c r="T4" s="321">
        <f>Invoerblad!AA17</f>
        <v>17</v>
      </c>
    </row>
    <row r="5" spans="1:28" s="3" customFormat="1" ht="15.75" customHeight="1" thickBot="1" x14ac:dyDescent="0.3">
      <c r="A5" s="479" t="s">
        <v>17</v>
      </c>
      <c r="B5" s="479">
        <f>Invoerblad!E18</f>
        <v>15</v>
      </c>
      <c r="D5" s="321">
        <f>Invoerblad!K18</f>
        <v>2021</v>
      </c>
      <c r="E5" s="321">
        <f>Invoerblad!L18</f>
        <v>2022</v>
      </c>
      <c r="F5" s="321">
        <f>Invoerblad!M18</f>
        <v>2023</v>
      </c>
      <c r="G5" s="321">
        <f>Invoerblad!N18</f>
        <v>2024</v>
      </c>
      <c r="H5" s="321">
        <f>Invoerblad!O18</f>
        <v>2025</v>
      </c>
      <c r="I5" s="321">
        <f>Invoerblad!P18</f>
        <v>2026</v>
      </c>
      <c r="J5" s="321">
        <f>Invoerblad!Q18</f>
        <v>2027</v>
      </c>
      <c r="K5" s="321">
        <f>Invoerblad!R18</f>
        <v>2028</v>
      </c>
      <c r="L5" s="321">
        <f>Invoerblad!S18</f>
        <v>2029</v>
      </c>
      <c r="M5" s="321">
        <f>Invoerblad!T18</f>
        <v>2030</v>
      </c>
      <c r="N5" s="321">
        <f>Invoerblad!U18</f>
        <v>2031</v>
      </c>
      <c r="O5" s="321">
        <f>Invoerblad!V18</f>
        <v>2032</v>
      </c>
      <c r="P5" s="321">
        <f>Invoerblad!W18</f>
        <v>2033</v>
      </c>
      <c r="Q5" s="321">
        <f>Invoerblad!X18</f>
        <v>2034</v>
      </c>
      <c r="R5" s="321">
        <f>Invoerblad!Y18</f>
        <v>2035</v>
      </c>
      <c r="S5" s="321">
        <f>Invoerblad!Z18</f>
        <v>2036</v>
      </c>
      <c r="T5" s="321">
        <f>Invoerblad!AA18</f>
        <v>2037</v>
      </c>
    </row>
    <row r="6" spans="1:28" s="3" customFormat="1" ht="15.75" customHeight="1" thickBot="1" x14ac:dyDescent="0.3">
      <c r="A6" s="479" t="s">
        <v>313</v>
      </c>
      <c r="B6" s="479">
        <f>Invoerblad!E19</f>
        <v>2000</v>
      </c>
      <c r="D6" s="489">
        <f>Invoerblad!K19</f>
        <v>500</v>
      </c>
      <c r="E6" s="489">
        <f>Invoerblad!L19</f>
        <v>2000</v>
      </c>
      <c r="F6" s="489">
        <f>Invoerblad!M19</f>
        <v>2000</v>
      </c>
      <c r="G6" s="489">
        <f>Invoerblad!N19</f>
        <v>2000</v>
      </c>
      <c r="H6" s="489">
        <f>Invoerblad!O19</f>
        <v>2000</v>
      </c>
      <c r="I6" s="489">
        <f>Invoerblad!P19</f>
        <v>2000</v>
      </c>
      <c r="J6" s="489">
        <f>Invoerblad!Q19</f>
        <v>2000</v>
      </c>
      <c r="K6" s="489">
        <f>Invoerblad!R19</f>
        <v>2000</v>
      </c>
      <c r="L6" s="489">
        <f>Invoerblad!S19</f>
        <v>2000</v>
      </c>
      <c r="M6" s="489">
        <f>Invoerblad!T19</f>
        <v>2000</v>
      </c>
      <c r="N6" s="489">
        <f>Invoerblad!U19</f>
        <v>2000</v>
      </c>
      <c r="O6" s="489">
        <f>Invoerblad!V19</f>
        <v>2000</v>
      </c>
      <c r="P6" s="489">
        <f>Invoerblad!W19</f>
        <v>2000</v>
      </c>
      <c r="Q6" s="489">
        <f>Invoerblad!X19</f>
        <v>2000</v>
      </c>
      <c r="R6" s="489">
        <f>Invoerblad!Y19</f>
        <v>2000</v>
      </c>
      <c r="S6" s="489">
        <f>Invoerblad!Z19</f>
        <v>1500</v>
      </c>
      <c r="T6" s="489">
        <f>Invoerblad!AA19</f>
        <v>0</v>
      </c>
    </row>
    <row r="7" spans="1:28" s="3" customFormat="1" ht="15.75" customHeight="1" thickBot="1" x14ac:dyDescent="0.3">
      <c r="A7" s="479" t="s">
        <v>311</v>
      </c>
      <c r="B7" s="479">
        <f>Invoerblad!E20</f>
        <v>2000</v>
      </c>
      <c r="D7" s="489">
        <f>$B$7*'Hulpberekeningen 1'!E24</f>
        <v>500</v>
      </c>
      <c r="E7" s="489">
        <f>$B$7*'Hulpberekeningen 1'!F24</f>
        <v>2000</v>
      </c>
      <c r="F7" s="489">
        <f>$B$7*'Hulpberekeningen 1'!G24</f>
        <v>2000</v>
      </c>
      <c r="G7" s="489">
        <f>$B$7*'Hulpberekeningen 1'!H24</f>
        <v>2000</v>
      </c>
      <c r="H7" s="489">
        <f>$B$7*'Hulpberekeningen 1'!I24</f>
        <v>2000</v>
      </c>
      <c r="I7" s="489">
        <f>$B$7*'Hulpberekeningen 1'!J24</f>
        <v>2000</v>
      </c>
      <c r="J7" s="489">
        <f>$B$7*'Hulpberekeningen 1'!K24</f>
        <v>2000</v>
      </c>
      <c r="K7" s="489">
        <f>$B$7*'Hulpberekeningen 1'!L24</f>
        <v>2000</v>
      </c>
      <c r="L7" s="489">
        <f>$B$7*'Hulpberekeningen 1'!M24</f>
        <v>2000</v>
      </c>
      <c r="M7" s="489">
        <f>$B$7*'Hulpberekeningen 1'!N24</f>
        <v>2000</v>
      </c>
      <c r="N7" s="489">
        <f>$B$7*'Hulpberekeningen 1'!O24</f>
        <v>2000</v>
      </c>
      <c r="O7" s="489">
        <f>$B$7*'Hulpberekeningen 1'!P24</f>
        <v>2000</v>
      </c>
      <c r="P7" s="489">
        <f>$B$7*'Hulpberekeningen 1'!Q24</f>
        <v>2000</v>
      </c>
      <c r="Q7" s="489">
        <f>$B$7*'Hulpberekeningen 1'!R24</f>
        <v>2000</v>
      </c>
      <c r="R7" s="489">
        <f>$B$7*'Hulpberekeningen 1'!S24</f>
        <v>2000</v>
      </c>
      <c r="S7" s="489">
        <f>$B$7*'Hulpberekeningen 1'!T24</f>
        <v>1500</v>
      </c>
      <c r="T7" s="489">
        <f>$B$7*'Hulpberekeningen 1'!U24</f>
        <v>0</v>
      </c>
    </row>
    <row r="8" spans="1:28" s="3" customFormat="1" ht="15.75" customHeight="1" thickBot="1" x14ac:dyDescent="0.3">
      <c r="A8" s="479" t="s">
        <v>314</v>
      </c>
      <c r="D8" s="489">
        <f>D6*$B$3/$B$4</f>
        <v>500</v>
      </c>
      <c r="E8" s="489">
        <f t="shared" ref="E8:T8" si="0">E6*$B$3/$B$4</f>
        <v>2000</v>
      </c>
      <c r="F8" s="489">
        <f t="shared" si="0"/>
        <v>2000</v>
      </c>
      <c r="G8" s="489">
        <f t="shared" si="0"/>
        <v>2000</v>
      </c>
      <c r="H8" s="489">
        <f t="shared" si="0"/>
        <v>2000</v>
      </c>
      <c r="I8" s="489">
        <f t="shared" si="0"/>
        <v>2000</v>
      </c>
      <c r="J8" s="489">
        <f t="shared" si="0"/>
        <v>2000</v>
      </c>
      <c r="K8" s="489">
        <f t="shared" si="0"/>
        <v>2000</v>
      </c>
      <c r="L8" s="489">
        <f t="shared" si="0"/>
        <v>2000</v>
      </c>
      <c r="M8" s="489">
        <f t="shared" si="0"/>
        <v>2000</v>
      </c>
      <c r="N8" s="489">
        <f t="shared" si="0"/>
        <v>2000</v>
      </c>
      <c r="O8" s="489">
        <f t="shared" si="0"/>
        <v>2000</v>
      </c>
      <c r="P8" s="489">
        <f t="shared" si="0"/>
        <v>2000</v>
      </c>
      <c r="Q8" s="489">
        <f t="shared" si="0"/>
        <v>2000</v>
      </c>
      <c r="R8" s="489">
        <f t="shared" si="0"/>
        <v>2000</v>
      </c>
      <c r="S8" s="489">
        <f t="shared" si="0"/>
        <v>1500</v>
      </c>
      <c r="T8" s="489">
        <f t="shared" si="0"/>
        <v>0</v>
      </c>
    </row>
    <row r="9" spans="1:28" s="3" customFormat="1" ht="15.75" customHeight="1" thickBot="1" x14ac:dyDescent="0.3">
      <c r="A9" s="479" t="s">
        <v>312</v>
      </c>
      <c r="D9" s="489">
        <f>MIN(D7,D6*$B$3/$B$4)</f>
        <v>500</v>
      </c>
      <c r="E9" s="489">
        <f t="shared" ref="E9:T9" si="1">MIN(E7,E6*$B$3/$B$4)</f>
        <v>2000</v>
      </c>
      <c r="F9" s="489">
        <f t="shared" si="1"/>
        <v>2000</v>
      </c>
      <c r="G9" s="489">
        <f t="shared" si="1"/>
        <v>2000</v>
      </c>
      <c r="H9" s="489">
        <f>MIN(H7,H6*$B$3/$B$4)</f>
        <v>2000</v>
      </c>
      <c r="I9" s="489">
        <f t="shared" si="1"/>
        <v>2000</v>
      </c>
      <c r="J9" s="489">
        <f t="shared" si="1"/>
        <v>2000</v>
      </c>
      <c r="K9" s="489">
        <f t="shared" si="1"/>
        <v>2000</v>
      </c>
      <c r="L9" s="489">
        <f t="shared" si="1"/>
        <v>2000</v>
      </c>
      <c r="M9" s="489">
        <f t="shared" si="1"/>
        <v>2000</v>
      </c>
      <c r="N9" s="489">
        <f t="shared" si="1"/>
        <v>2000</v>
      </c>
      <c r="O9" s="489">
        <f t="shared" si="1"/>
        <v>2000</v>
      </c>
      <c r="P9" s="489">
        <f t="shared" si="1"/>
        <v>2000</v>
      </c>
      <c r="Q9" s="489">
        <f t="shared" si="1"/>
        <v>2000</v>
      </c>
      <c r="R9" s="489">
        <f t="shared" si="1"/>
        <v>2000</v>
      </c>
      <c r="S9" s="489">
        <f t="shared" si="1"/>
        <v>1500</v>
      </c>
      <c r="T9" s="489">
        <f t="shared" si="1"/>
        <v>0</v>
      </c>
    </row>
    <row r="10" spans="1:28" s="3" customFormat="1" ht="15.75" customHeight="1" thickBot="1" x14ac:dyDescent="0.3">
      <c r="A10" s="479"/>
      <c r="D10" s="334"/>
      <c r="E10" s="334"/>
      <c r="F10" s="334"/>
      <c r="G10" s="334"/>
      <c r="H10" s="334"/>
      <c r="I10" s="334"/>
      <c r="J10" s="334"/>
      <c r="K10" s="334"/>
      <c r="L10" s="334"/>
      <c r="M10" s="334"/>
      <c r="N10" s="334"/>
      <c r="O10" s="334"/>
      <c r="P10" s="334"/>
      <c r="Q10" s="334"/>
      <c r="R10" s="334"/>
      <c r="S10" s="334"/>
      <c r="T10" s="334"/>
    </row>
    <row r="11" spans="1:28" s="3" customFormat="1" ht="15.75" customHeight="1" thickBot="1" x14ac:dyDescent="0.3">
      <c r="A11" s="655" t="s">
        <v>316</v>
      </c>
      <c r="D11" s="481"/>
      <c r="E11" s="490">
        <f>IF(E8-E9&gt;0,MIN(D13,E8-E9),0)</f>
        <v>0</v>
      </c>
      <c r="F11" s="490">
        <f t="shared" ref="F11:S11" si="2">IF(F8-F9&gt;0,MIN(E13,F8-F9),0)</f>
        <v>0</v>
      </c>
      <c r="G11" s="490">
        <f t="shared" si="2"/>
        <v>0</v>
      </c>
      <c r="H11" s="490">
        <f t="shared" si="2"/>
        <v>0</v>
      </c>
      <c r="I11" s="490">
        <f t="shared" si="2"/>
        <v>0</v>
      </c>
      <c r="J11" s="490">
        <f t="shared" si="2"/>
        <v>0</v>
      </c>
      <c r="K11" s="490">
        <f t="shared" si="2"/>
        <v>0</v>
      </c>
      <c r="L11" s="490">
        <f t="shared" si="2"/>
        <v>0</v>
      </c>
      <c r="M11" s="490">
        <f t="shared" si="2"/>
        <v>0</v>
      </c>
      <c r="N11" s="490">
        <f t="shared" si="2"/>
        <v>0</v>
      </c>
      <c r="O11" s="490">
        <f t="shared" si="2"/>
        <v>0</v>
      </c>
      <c r="P11" s="490">
        <f t="shared" si="2"/>
        <v>0</v>
      </c>
      <c r="Q11" s="490">
        <f t="shared" si="2"/>
        <v>0</v>
      </c>
      <c r="R11" s="490">
        <f t="shared" si="2"/>
        <v>0</v>
      </c>
      <c r="S11" s="490">
        <f t="shared" si="2"/>
        <v>0</v>
      </c>
      <c r="T11" s="490">
        <f>MIN(S13,B7-D7)</f>
        <v>0</v>
      </c>
    </row>
    <row r="12" spans="1:28" s="3" customFormat="1" ht="15.75" customHeight="1" thickBot="1" x14ac:dyDescent="0.3">
      <c r="A12" s="654" t="s">
        <v>315</v>
      </c>
      <c r="D12" s="481"/>
      <c r="E12" s="491">
        <f t="shared" ref="E12:S12" si="3">IF(E8&lt;E7,MIN(D14,E7-E8),0)</f>
        <v>0</v>
      </c>
      <c r="F12" s="491">
        <f t="shared" si="3"/>
        <v>0</v>
      </c>
      <c r="G12" s="491">
        <f t="shared" si="3"/>
        <v>0</v>
      </c>
      <c r="H12" s="491">
        <f t="shared" si="3"/>
        <v>0</v>
      </c>
      <c r="I12" s="491">
        <f t="shared" si="3"/>
        <v>0</v>
      </c>
      <c r="J12" s="491">
        <f t="shared" si="3"/>
        <v>0</v>
      </c>
      <c r="K12" s="491">
        <f t="shared" si="3"/>
        <v>0</v>
      </c>
      <c r="L12" s="491">
        <f t="shared" si="3"/>
        <v>0</v>
      </c>
      <c r="M12" s="491">
        <f t="shared" si="3"/>
        <v>0</v>
      </c>
      <c r="N12" s="491">
        <f t="shared" si="3"/>
        <v>0</v>
      </c>
      <c r="O12" s="491">
        <f t="shared" si="3"/>
        <v>0</v>
      </c>
      <c r="P12" s="491">
        <f t="shared" si="3"/>
        <v>0</v>
      </c>
      <c r="Q12" s="491">
        <f t="shared" si="3"/>
        <v>0</v>
      </c>
      <c r="R12" s="491">
        <f t="shared" si="3"/>
        <v>0</v>
      </c>
      <c r="S12" s="491">
        <f t="shared" si="3"/>
        <v>0</v>
      </c>
      <c r="T12" s="492"/>
    </row>
    <row r="13" spans="1:28" s="3" customFormat="1" ht="15.75" customHeight="1" thickBot="1" x14ac:dyDescent="0.3">
      <c r="A13" s="655" t="s">
        <v>317</v>
      </c>
      <c r="D13" s="490">
        <f>D7-D9</f>
        <v>0</v>
      </c>
      <c r="E13" s="490">
        <f t="shared" ref="E13:S13" si="4">(D13-E11)+(E7-E9)-E12</f>
        <v>0</v>
      </c>
      <c r="F13" s="490">
        <f t="shared" si="4"/>
        <v>0</v>
      </c>
      <c r="G13" s="490">
        <f t="shared" si="4"/>
        <v>0</v>
      </c>
      <c r="H13" s="490">
        <f>(G13-H11)+(H7-H9)-H12</f>
        <v>0</v>
      </c>
      <c r="I13" s="490">
        <f t="shared" si="4"/>
        <v>0</v>
      </c>
      <c r="J13" s="490">
        <f t="shared" si="4"/>
        <v>0</v>
      </c>
      <c r="K13" s="490">
        <f t="shared" si="4"/>
        <v>0</v>
      </c>
      <c r="L13" s="490">
        <f t="shared" si="4"/>
        <v>0</v>
      </c>
      <c r="M13" s="490">
        <f t="shared" si="4"/>
        <v>0</v>
      </c>
      <c r="N13" s="490">
        <f t="shared" si="4"/>
        <v>0</v>
      </c>
      <c r="O13" s="490">
        <f t="shared" si="4"/>
        <v>0</v>
      </c>
      <c r="P13" s="490">
        <f t="shared" si="4"/>
        <v>0</v>
      </c>
      <c r="Q13" s="490">
        <f t="shared" si="4"/>
        <v>0</v>
      </c>
      <c r="R13" s="490">
        <f t="shared" si="4"/>
        <v>0</v>
      </c>
      <c r="S13" s="490">
        <f t="shared" si="4"/>
        <v>0</v>
      </c>
      <c r="T13" s="481"/>
    </row>
    <row r="14" spans="1:28" s="3" customFormat="1" ht="15.75" customHeight="1" thickBot="1" x14ac:dyDescent="0.3">
      <c r="A14" s="654" t="s">
        <v>318</v>
      </c>
      <c r="D14" s="491">
        <f>IF(D7&gt;D8,0,MIN(D8-D7,$B$7*0.25))</f>
        <v>0</v>
      </c>
      <c r="E14" s="491">
        <f>IF(E7&gt;E8,D14-E12,MIN((D14+E8-E7-E11),$B$7*0.25))</f>
        <v>0</v>
      </c>
      <c r="F14" s="491">
        <f t="shared" ref="F14:S14" si="5">IF(F7&gt;F8,E14-F12,MIN((E14+F8-F7-F11),$B$7*0.25))</f>
        <v>0</v>
      </c>
      <c r="G14" s="491">
        <f t="shared" si="5"/>
        <v>0</v>
      </c>
      <c r="H14" s="491">
        <f t="shared" si="5"/>
        <v>0</v>
      </c>
      <c r="I14" s="491">
        <f t="shared" si="5"/>
        <v>0</v>
      </c>
      <c r="J14" s="491">
        <f t="shared" si="5"/>
        <v>0</v>
      </c>
      <c r="K14" s="491">
        <f t="shared" si="5"/>
        <v>0</v>
      </c>
      <c r="L14" s="491">
        <f t="shared" si="5"/>
        <v>0</v>
      </c>
      <c r="M14" s="491">
        <f t="shared" si="5"/>
        <v>0</v>
      </c>
      <c r="N14" s="491">
        <f t="shared" si="5"/>
        <v>0</v>
      </c>
      <c r="O14" s="491">
        <f t="shared" si="5"/>
        <v>0</v>
      </c>
      <c r="P14" s="491">
        <f t="shared" si="5"/>
        <v>0</v>
      </c>
      <c r="Q14" s="491">
        <f t="shared" si="5"/>
        <v>0</v>
      </c>
      <c r="R14" s="491">
        <f t="shared" si="5"/>
        <v>0</v>
      </c>
      <c r="S14" s="491">
        <f t="shared" si="5"/>
        <v>0</v>
      </c>
      <c r="T14" s="481"/>
    </row>
    <row r="15" spans="1:28" s="3" customFormat="1" ht="12.75" customHeight="1" thickBot="1" x14ac:dyDescent="0.25">
      <c r="A15" s="477"/>
      <c r="D15" s="477"/>
      <c r="E15" s="477"/>
      <c r="F15" s="477"/>
      <c r="G15" s="477"/>
      <c r="H15" s="477"/>
      <c r="I15" s="477"/>
      <c r="J15" s="477"/>
      <c r="K15" s="477"/>
      <c r="L15" s="477"/>
      <c r="M15" s="477"/>
      <c r="N15" s="477"/>
      <c r="O15" s="477"/>
      <c r="P15" s="477"/>
      <c r="Q15" s="477"/>
      <c r="R15" s="477"/>
      <c r="S15" s="477"/>
      <c r="T15" s="334"/>
    </row>
    <row r="16" spans="1:28" s="3" customFormat="1" ht="15.75" thickBot="1" x14ac:dyDescent="0.3">
      <c r="A16" s="226" t="s">
        <v>19</v>
      </c>
      <c r="B16" s="55"/>
      <c r="C16" s="64"/>
      <c r="D16" s="455">
        <f>D6*$B3</f>
        <v>500</v>
      </c>
      <c r="E16" s="455">
        <f t="shared" ref="E16:T16" si="6">E6*$B3</f>
        <v>2000</v>
      </c>
      <c r="F16" s="455">
        <f t="shared" si="6"/>
        <v>2000</v>
      </c>
      <c r="G16" s="455">
        <f t="shared" si="6"/>
        <v>2000</v>
      </c>
      <c r="H16" s="455">
        <f t="shared" si="6"/>
        <v>2000</v>
      </c>
      <c r="I16" s="455">
        <f t="shared" si="6"/>
        <v>2000</v>
      </c>
      <c r="J16" s="455">
        <f t="shared" si="6"/>
        <v>2000</v>
      </c>
      <c r="K16" s="455">
        <f t="shared" si="6"/>
        <v>2000</v>
      </c>
      <c r="L16" s="455">
        <f t="shared" si="6"/>
        <v>2000</v>
      </c>
      <c r="M16" s="455">
        <f t="shared" si="6"/>
        <v>2000</v>
      </c>
      <c r="N16" s="455">
        <f t="shared" si="6"/>
        <v>2000</v>
      </c>
      <c r="O16" s="455">
        <f t="shared" si="6"/>
        <v>2000</v>
      </c>
      <c r="P16" s="455">
        <f t="shared" si="6"/>
        <v>2000</v>
      </c>
      <c r="Q16" s="455">
        <f t="shared" si="6"/>
        <v>2000</v>
      </c>
      <c r="R16" s="455">
        <f t="shared" si="6"/>
        <v>2000</v>
      </c>
      <c r="S16" s="455">
        <f t="shared" si="6"/>
        <v>1500</v>
      </c>
      <c r="T16" s="455">
        <f t="shared" si="6"/>
        <v>0</v>
      </c>
      <c r="AB16" s="56"/>
    </row>
    <row r="17" spans="1:28" s="3" customFormat="1" ht="15.75" thickBot="1" x14ac:dyDescent="0.3">
      <c r="A17" s="457"/>
      <c r="C17" s="457"/>
      <c r="D17" s="469"/>
      <c r="E17" s="469"/>
      <c r="F17" s="469"/>
      <c r="G17" s="469"/>
      <c r="H17" s="469"/>
      <c r="I17" s="469"/>
      <c r="J17" s="469"/>
      <c r="K17" s="469"/>
      <c r="L17" s="469"/>
      <c r="M17" s="469"/>
      <c r="N17" s="469"/>
      <c r="O17" s="469"/>
      <c r="P17" s="469"/>
      <c r="Q17" s="469"/>
      <c r="R17" s="469"/>
      <c r="S17" s="469"/>
      <c r="T17" s="469"/>
      <c r="AB17" s="56"/>
    </row>
    <row r="18" spans="1:28" s="3" customFormat="1" ht="15.75" thickBot="1" x14ac:dyDescent="0.3">
      <c r="A18" s="226" t="s">
        <v>320</v>
      </c>
      <c r="C18" s="457"/>
      <c r="D18" s="456">
        <f>'hulpberekeningen 2'!D9*$B$4</f>
        <v>500</v>
      </c>
      <c r="E18" s="456">
        <f>'hulpberekeningen 2'!E9*$B$4</f>
        <v>2000</v>
      </c>
      <c r="F18" s="456">
        <f>'hulpberekeningen 2'!F9*$B$4</f>
        <v>2000</v>
      </c>
      <c r="G18" s="456">
        <f>'hulpberekeningen 2'!G9*$B$4</f>
        <v>2000</v>
      </c>
      <c r="H18" s="456">
        <f>'hulpberekeningen 2'!H9*$B$4</f>
        <v>2000</v>
      </c>
      <c r="I18" s="456">
        <f>'hulpberekeningen 2'!I9*$B$4</f>
        <v>2000</v>
      </c>
      <c r="J18" s="456">
        <f>'hulpberekeningen 2'!J9*$B$4</f>
        <v>2000</v>
      </c>
      <c r="K18" s="456">
        <f>'hulpberekeningen 2'!K9*$B$4</f>
        <v>2000</v>
      </c>
      <c r="L18" s="456">
        <f>'hulpberekeningen 2'!L9*$B$4</f>
        <v>2000</v>
      </c>
      <c r="M18" s="456">
        <f>'hulpberekeningen 2'!M9*$B$4</f>
        <v>2000</v>
      </c>
      <c r="N18" s="456">
        <f>'hulpberekeningen 2'!N9*$B$4</f>
        <v>2000</v>
      </c>
      <c r="O18" s="456">
        <f>'hulpberekeningen 2'!O9*$B$4</f>
        <v>2000</v>
      </c>
      <c r="P18" s="456">
        <f>'hulpberekeningen 2'!P9*$B$4</f>
        <v>2000</v>
      </c>
      <c r="Q18" s="456">
        <f>'hulpberekeningen 2'!Q9*$B$4</f>
        <v>2000</v>
      </c>
      <c r="R18" s="456">
        <f>'hulpberekeningen 2'!R9*$B$4</f>
        <v>2000</v>
      </c>
      <c r="S18" s="456">
        <f>'hulpberekeningen 2'!S9*$B$4</f>
        <v>1500</v>
      </c>
      <c r="T18" s="456">
        <f>'hulpberekeningen 2'!T9*$B$4</f>
        <v>0</v>
      </c>
      <c r="AB18" s="56"/>
    </row>
    <row r="19" spans="1:28" s="3" customFormat="1" ht="15" x14ac:dyDescent="0.25">
      <c r="A19" s="457"/>
      <c r="C19" s="457"/>
      <c r="D19" s="458"/>
      <c r="E19" s="458"/>
      <c r="F19" s="458"/>
      <c r="G19" s="458"/>
      <c r="H19" s="458"/>
      <c r="I19" s="458"/>
      <c r="J19" s="458"/>
      <c r="K19" s="458"/>
      <c r="L19" s="458"/>
      <c r="M19" s="458"/>
      <c r="N19" s="458"/>
      <c r="O19" s="458"/>
      <c r="P19" s="458"/>
      <c r="Q19" s="458"/>
      <c r="R19" s="458"/>
      <c r="S19" s="458"/>
      <c r="T19" s="458"/>
      <c r="AB19" s="56"/>
    </row>
    <row r="20" spans="1:28" s="3" customFormat="1" ht="15.75" thickBot="1" x14ac:dyDescent="0.3">
      <c r="A20" s="226" t="s">
        <v>319</v>
      </c>
      <c r="C20" s="457"/>
      <c r="D20" s="484"/>
      <c r="E20" s="656"/>
      <c r="F20" s="656"/>
      <c r="G20" s="656"/>
      <c r="H20" s="656"/>
      <c r="I20" s="656"/>
      <c r="J20" s="656"/>
      <c r="K20" s="656"/>
      <c r="L20" s="656"/>
      <c r="M20" s="656"/>
      <c r="N20" s="656"/>
      <c r="O20" s="656"/>
      <c r="P20" s="656"/>
      <c r="Q20" s="656"/>
      <c r="R20" s="657"/>
      <c r="S20" s="657"/>
      <c r="T20" s="657"/>
    </row>
    <row r="21" spans="1:28" s="3" customFormat="1" ht="15.75" thickBot="1" x14ac:dyDescent="0.3">
      <c r="A21" s="478" t="s">
        <v>447</v>
      </c>
      <c r="C21" s="457"/>
      <c r="D21" s="484"/>
      <c r="E21" s="480">
        <f>IF(E16&gt;0,$B$4*E11,0)</f>
        <v>0</v>
      </c>
      <c r="F21" s="480">
        <f t="shared" ref="F21:T21" si="7">IF(F16&gt;0,$B$4*F11,0)</f>
        <v>0</v>
      </c>
      <c r="G21" s="480">
        <f t="shared" si="7"/>
        <v>0</v>
      </c>
      <c r="H21" s="480">
        <f t="shared" si="7"/>
        <v>0</v>
      </c>
      <c r="I21" s="480">
        <f t="shared" si="7"/>
        <v>0</v>
      </c>
      <c r="J21" s="480">
        <f t="shared" si="7"/>
        <v>0</v>
      </c>
      <c r="K21" s="480">
        <f t="shared" si="7"/>
        <v>0</v>
      </c>
      <c r="L21" s="480">
        <f t="shared" si="7"/>
        <v>0</v>
      </c>
      <c r="M21" s="480">
        <f t="shared" si="7"/>
        <v>0</v>
      </c>
      <c r="N21" s="480">
        <f t="shared" si="7"/>
        <v>0</v>
      </c>
      <c r="O21" s="480">
        <f t="shared" si="7"/>
        <v>0</v>
      </c>
      <c r="P21" s="480">
        <f t="shared" si="7"/>
        <v>0</v>
      </c>
      <c r="Q21" s="480">
        <f t="shared" si="7"/>
        <v>0</v>
      </c>
      <c r="R21" s="480">
        <f t="shared" si="7"/>
        <v>0</v>
      </c>
      <c r="S21" s="480">
        <f t="shared" si="7"/>
        <v>0</v>
      </c>
      <c r="T21" s="480">
        <f t="shared" si="7"/>
        <v>0</v>
      </c>
    </row>
    <row r="22" spans="1:28" s="3" customFormat="1" ht="15.75" thickBot="1" x14ac:dyDescent="0.3">
      <c r="A22" s="653" t="s">
        <v>448</v>
      </c>
      <c r="C22" s="457"/>
      <c r="D22" s="484"/>
      <c r="E22" s="480">
        <f>IF(D16&gt;0,$B$4*E12,0)</f>
        <v>0</v>
      </c>
      <c r="F22" s="480">
        <f t="shared" ref="F22:T22" si="8">IF(E16&gt;0,$B$4*F12,0)</f>
        <v>0</v>
      </c>
      <c r="G22" s="480">
        <f t="shared" si="8"/>
        <v>0</v>
      </c>
      <c r="H22" s="480">
        <f t="shared" si="8"/>
        <v>0</v>
      </c>
      <c r="I22" s="480">
        <f t="shared" si="8"/>
        <v>0</v>
      </c>
      <c r="J22" s="480">
        <f t="shared" si="8"/>
        <v>0</v>
      </c>
      <c r="K22" s="480">
        <f t="shared" si="8"/>
        <v>0</v>
      </c>
      <c r="L22" s="480">
        <f t="shared" si="8"/>
        <v>0</v>
      </c>
      <c r="M22" s="480">
        <f t="shared" si="8"/>
        <v>0</v>
      </c>
      <c r="N22" s="480">
        <f t="shared" si="8"/>
        <v>0</v>
      </c>
      <c r="O22" s="480">
        <f t="shared" si="8"/>
        <v>0</v>
      </c>
      <c r="P22" s="480">
        <f t="shared" si="8"/>
        <v>0</v>
      </c>
      <c r="Q22" s="480">
        <f t="shared" si="8"/>
        <v>0</v>
      </c>
      <c r="R22" s="480">
        <f t="shared" si="8"/>
        <v>0</v>
      </c>
      <c r="S22" s="480">
        <f t="shared" si="8"/>
        <v>0</v>
      </c>
      <c r="T22" s="480">
        <f t="shared" si="8"/>
        <v>0</v>
      </c>
    </row>
    <row r="23" spans="1:28" s="3" customFormat="1" x14ac:dyDescent="0.2">
      <c r="A23" s="132"/>
      <c r="G23" s="2"/>
    </row>
    <row r="24" spans="1:28" s="3" customFormat="1" ht="14.25" x14ac:dyDescent="0.2">
      <c r="A24" s="132"/>
      <c r="G24" s="2"/>
      <c r="H24" s="321"/>
      <c r="I24" s="472"/>
    </row>
    <row r="25" spans="1:28" x14ac:dyDescent="0.2">
      <c r="B25" s="343"/>
      <c r="D25">
        <f>+Invoerblad!K17</f>
        <v>1</v>
      </c>
      <c r="E25" s="3">
        <f>+Invoerblad!L17</f>
        <v>2</v>
      </c>
      <c r="F25" s="3">
        <f>+Invoerblad!M17</f>
        <v>3</v>
      </c>
      <c r="G25" s="3">
        <f>+Invoerblad!N17</f>
        <v>4</v>
      </c>
      <c r="H25" s="3">
        <f>+Invoerblad!O17</f>
        <v>5</v>
      </c>
      <c r="I25" s="3">
        <f>+Invoerblad!P17</f>
        <v>6</v>
      </c>
      <c r="J25" s="3">
        <f>+Invoerblad!Q17</f>
        <v>7</v>
      </c>
      <c r="K25" s="3">
        <f>+Invoerblad!R17</f>
        <v>8</v>
      </c>
      <c r="L25" s="3">
        <f>+Invoerblad!S17</f>
        <v>9</v>
      </c>
      <c r="M25" s="3">
        <f>+Invoerblad!T17</f>
        <v>10</v>
      </c>
      <c r="N25" s="3">
        <f>+Invoerblad!U17</f>
        <v>11</v>
      </c>
      <c r="O25" s="3">
        <f>+Invoerblad!V17</f>
        <v>12</v>
      </c>
      <c r="P25" s="3">
        <f>+Invoerblad!W17</f>
        <v>13</v>
      </c>
      <c r="Q25" s="3">
        <f>+Invoerblad!X17</f>
        <v>14</v>
      </c>
      <c r="R25" s="3">
        <f>+Invoerblad!Y17</f>
        <v>15</v>
      </c>
      <c r="S25" s="3">
        <f>+Invoerblad!Z17</f>
        <v>16</v>
      </c>
      <c r="T25" s="3">
        <f>+Invoerblad!AA17</f>
        <v>17</v>
      </c>
      <c r="U25" s="3">
        <f>+Invoerblad!AB17</f>
        <v>0</v>
      </c>
    </row>
    <row r="26" spans="1:28" x14ac:dyDescent="0.2">
      <c r="B26" s="343"/>
      <c r="D26">
        <f>+Invoerblad!K18</f>
        <v>2021</v>
      </c>
      <c r="E26" s="3">
        <f>+Invoerblad!L18</f>
        <v>2022</v>
      </c>
      <c r="F26" s="3">
        <f>+Invoerblad!M18</f>
        <v>2023</v>
      </c>
      <c r="G26" s="3">
        <f>+Invoerblad!N18</f>
        <v>2024</v>
      </c>
      <c r="H26" s="3">
        <f>+Invoerblad!O18</f>
        <v>2025</v>
      </c>
      <c r="I26" s="3">
        <f>+Invoerblad!P18</f>
        <v>2026</v>
      </c>
      <c r="J26" s="3">
        <f>+Invoerblad!Q18</f>
        <v>2027</v>
      </c>
      <c r="K26" s="3">
        <f>+Invoerblad!R18</f>
        <v>2028</v>
      </c>
      <c r="L26" s="3">
        <f>+Invoerblad!S18</f>
        <v>2029</v>
      </c>
      <c r="M26" s="3">
        <f>+Invoerblad!T18</f>
        <v>2030</v>
      </c>
      <c r="N26" s="3">
        <f>+Invoerblad!U18</f>
        <v>2031</v>
      </c>
      <c r="O26" s="3">
        <f>+Invoerblad!V18</f>
        <v>2032</v>
      </c>
      <c r="P26" s="3">
        <f>+Invoerblad!W18</f>
        <v>2033</v>
      </c>
      <c r="Q26" s="3">
        <f>+Invoerblad!X18</f>
        <v>2034</v>
      </c>
      <c r="R26" s="3">
        <f>+Invoerblad!Y18</f>
        <v>2035</v>
      </c>
      <c r="S26" s="3">
        <f>+Invoerblad!Z18</f>
        <v>2036</v>
      </c>
      <c r="T26" s="3">
        <f>+Invoerblad!AA18</f>
        <v>2037</v>
      </c>
      <c r="U26" s="3">
        <f>+Invoerblad!AB18</f>
        <v>0</v>
      </c>
    </row>
    <row r="27" spans="1:28" ht="13.5" thickBot="1" x14ac:dyDescent="0.25">
      <c r="B27" s="343"/>
    </row>
    <row r="28" spans="1:28" ht="15.75" customHeight="1" thickBot="1" x14ac:dyDescent="0.3">
      <c r="A28" s="599" t="s">
        <v>403</v>
      </c>
      <c r="B28" s="335"/>
      <c r="C28" s="321"/>
      <c r="D28" s="331" t="s">
        <v>330</v>
      </c>
      <c r="E28" s="332"/>
      <c r="F28" s="332"/>
      <c r="G28" s="322"/>
      <c r="H28" s="322"/>
      <c r="I28" s="322"/>
      <c r="J28" s="322"/>
      <c r="K28" s="322"/>
      <c r="L28" s="322"/>
      <c r="M28" s="322"/>
      <c r="N28" s="322"/>
      <c r="O28" s="322"/>
      <c r="P28" s="322"/>
      <c r="Q28" s="322"/>
    </row>
    <row r="29" spans="1:28" ht="15" thickBot="1" x14ac:dyDescent="0.25">
      <c r="A29" s="355">
        <f>NPV(Invoerblad!$E$85,D29:U29)*'Hulpberekeningen 1'!$P$32+
NPV(Invoerblad!$E$85,D30:U30)*'Hulpberekeningen 1'!$P$32+
NPV(Invoerblad!$E$85,D31:U31)*'Hulpberekeningen 1'!$P$32+
NPV(Invoerblad!$E$85,D33:U33)*'Hulpberekeningen 1'!$P$32</f>
        <v>25500</v>
      </c>
      <c r="B29" s="336"/>
      <c r="C29" s="323">
        <v>0.8</v>
      </c>
      <c r="D29" s="465">
        <f>IF(D26&gt;=$A$37,Invoerblad!K25,0)*0.8</f>
        <v>0</v>
      </c>
      <c r="E29" s="513">
        <f>IF(E26&gt;=$A$37,Invoerblad!L25,0)*0.8</f>
        <v>0</v>
      </c>
      <c r="F29" s="513">
        <f>IF(F26&gt;=$A$37,Invoerblad!M25,0)*0.8</f>
        <v>0</v>
      </c>
      <c r="G29" s="513">
        <f>IF(G26&gt;=$A$37,Invoerblad!N25,0)*0.8</f>
        <v>1600</v>
      </c>
      <c r="H29" s="513">
        <f>IF(H26&gt;=$A$37,Invoerblad!O25,0)*0.8</f>
        <v>1600</v>
      </c>
      <c r="I29" s="513">
        <f>IF(I26&gt;=$A$37,Invoerblad!P25,0)*0.8</f>
        <v>1600</v>
      </c>
      <c r="J29" s="513">
        <f>IF(J26&gt;=$A$37,Invoerblad!Q25,0)*0.8</f>
        <v>1600</v>
      </c>
      <c r="K29" s="513">
        <f>IF(K26&gt;=$A$37,Invoerblad!R25,0)*0.8</f>
        <v>1600</v>
      </c>
      <c r="L29" s="513">
        <f>IF(L26&gt;=$A$37,Invoerblad!S25,0)*0.8</f>
        <v>1600</v>
      </c>
      <c r="M29" s="513">
        <f>IF(M26&gt;=$A$37,Invoerblad!T25,0)*0.8</f>
        <v>1600</v>
      </c>
      <c r="N29" s="513">
        <f>IF(N26&gt;=$A$37,Invoerblad!U25,0)*0.8</f>
        <v>1600</v>
      </c>
      <c r="O29" s="513">
        <f>IF(O26&gt;=$A$37,Invoerblad!V25,0)*0.8</f>
        <v>1600</v>
      </c>
      <c r="P29" s="513">
        <f>IF(P26&gt;=$A$37,Invoerblad!W25,0)*0.8</f>
        <v>1600</v>
      </c>
      <c r="Q29" s="513">
        <f>IF(Q26&gt;=$A$37,Invoerblad!X25,0)*0.8</f>
        <v>1600</v>
      </c>
      <c r="R29" s="513">
        <f>IF(R26&gt;=$A$37,Invoerblad!Y25,0)*0.8</f>
        <v>1600</v>
      </c>
      <c r="S29" s="513">
        <f>IF(S26&gt;=$A$37,Invoerblad!Z25,0)*0.8</f>
        <v>1200</v>
      </c>
      <c r="T29" s="513">
        <f>IF(T26&gt;=$A$37,Invoerblad!AA25,0)*0.8</f>
        <v>0</v>
      </c>
      <c r="U29" s="513">
        <f>IF(U26&gt;=$A$37,Invoerblad!AB25,0)*0.8</f>
        <v>0</v>
      </c>
    </row>
    <row r="30" spans="1:28" ht="15" thickBot="1" x14ac:dyDescent="0.25">
      <c r="A30" s="336"/>
      <c r="B30" s="336"/>
      <c r="C30" s="323">
        <v>0.2</v>
      </c>
      <c r="D30" s="466">
        <v>0</v>
      </c>
      <c r="E30" s="513">
        <f>IF(E26&gt;=($A$37+1),Invoerblad!K25,0)*0.2</f>
        <v>0</v>
      </c>
      <c r="F30" s="513">
        <f>IF(F26&gt;=($A$37+1),Invoerblad!L25,0)*0.2</f>
        <v>0</v>
      </c>
      <c r="G30" s="513">
        <f>IF(G26&gt;=($A$37+1),Invoerblad!M25,0)*0.2</f>
        <v>0</v>
      </c>
      <c r="H30" s="513">
        <f>IF(H26&gt;=($A$37+1),Invoerblad!N25,0)*0.2</f>
        <v>400</v>
      </c>
      <c r="I30" s="513">
        <f>IF(I26&gt;=($A$37+1),Invoerblad!O25,0)*0.2</f>
        <v>400</v>
      </c>
      <c r="J30" s="513">
        <f>IF(J26&gt;=($A$37+1),Invoerblad!P25,0)*0.2</f>
        <v>400</v>
      </c>
      <c r="K30" s="513">
        <f>IF(K26&gt;=($A$37+1),Invoerblad!Q25,0)*0.2</f>
        <v>400</v>
      </c>
      <c r="L30" s="513">
        <f>IF(L26&gt;=($A$37+1),Invoerblad!R25,0)*0.2</f>
        <v>400</v>
      </c>
      <c r="M30" s="513">
        <f>IF(M26&gt;=($A$37+1),Invoerblad!S25,0)*0.2</f>
        <v>400</v>
      </c>
      <c r="N30" s="513">
        <f>IF(N26&gt;=($A$37+1),Invoerblad!T25,0)*0.2</f>
        <v>400</v>
      </c>
      <c r="O30" s="513">
        <f>IF(O26&gt;=($A$37+1),Invoerblad!U25,0)*0.2</f>
        <v>400</v>
      </c>
      <c r="P30" s="513">
        <f>IF(P26&gt;=($A$37+1),Invoerblad!V25,0)*0.2</f>
        <v>400</v>
      </c>
      <c r="Q30" s="513">
        <f>IF(Q26&gt;=($A$37+1),Invoerblad!W25,0)*0.2</f>
        <v>400</v>
      </c>
      <c r="R30" s="513">
        <f>IF(R26&gt;=($A$37+1),Invoerblad!X25,0)*0.2</f>
        <v>400</v>
      </c>
      <c r="S30" s="513">
        <f>IF(S26&gt;=($A$37+1),Invoerblad!Y25,0)*0.2</f>
        <v>400</v>
      </c>
      <c r="T30" s="513">
        <f>IF(T26&gt;=($A$37+1),Invoerblad!Z25,0)*0.2</f>
        <v>300</v>
      </c>
      <c r="U30" s="513">
        <f>IF(U26&gt;=($A$37+1),Invoerblad!AA25,0)*0.2</f>
        <v>0</v>
      </c>
    </row>
    <row r="31" spans="1:28" ht="15.75" thickBot="1" x14ac:dyDescent="0.3">
      <c r="A31" s="350" t="s">
        <v>258</v>
      </c>
      <c r="B31" s="344"/>
      <c r="C31" s="468" t="s">
        <v>251</v>
      </c>
      <c r="D31" s="467">
        <v>0</v>
      </c>
      <c r="E31" s="513">
        <v>0</v>
      </c>
      <c r="F31" s="513">
        <f t="shared" ref="F31:U31" si="9">E11*$B$4</f>
        <v>0</v>
      </c>
      <c r="G31" s="513">
        <f t="shared" si="9"/>
        <v>0</v>
      </c>
      <c r="H31" s="513">
        <f t="shared" si="9"/>
        <v>0</v>
      </c>
      <c r="I31" s="513">
        <f t="shared" si="9"/>
        <v>0</v>
      </c>
      <c r="J31" s="513">
        <f t="shared" si="9"/>
        <v>0</v>
      </c>
      <c r="K31" s="513">
        <f t="shared" si="9"/>
        <v>0</v>
      </c>
      <c r="L31" s="513">
        <f t="shared" si="9"/>
        <v>0</v>
      </c>
      <c r="M31" s="513">
        <f t="shared" si="9"/>
        <v>0</v>
      </c>
      <c r="N31" s="513">
        <f t="shared" si="9"/>
        <v>0</v>
      </c>
      <c r="O31" s="513">
        <f t="shared" si="9"/>
        <v>0</v>
      </c>
      <c r="P31" s="513">
        <f t="shared" si="9"/>
        <v>0</v>
      </c>
      <c r="Q31" s="513">
        <f t="shared" si="9"/>
        <v>0</v>
      </c>
      <c r="R31" s="513">
        <f t="shared" si="9"/>
        <v>0</v>
      </c>
      <c r="S31" s="513">
        <f t="shared" si="9"/>
        <v>0</v>
      </c>
      <c r="T31" s="513">
        <f t="shared" si="9"/>
        <v>0</v>
      </c>
      <c r="U31" s="513">
        <f t="shared" si="9"/>
        <v>0</v>
      </c>
    </row>
    <row r="32" spans="1:28" s="3" customFormat="1" ht="15.75" thickBot="1" x14ac:dyDescent="0.3">
      <c r="A32" s="474"/>
      <c r="B32" s="344"/>
      <c r="C32" s="468" t="s">
        <v>325</v>
      </c>
      <c r="D32" s="467"/>
      <c r="E32" s="513">
        <f t="shared" ref="E32:U32" si="10">E12*$B$4*80%</f>
        <v>0</v>
      </c>
      <c r="F32" s="513">
        <f t="shared" si="10"/>
        <v>0</v>
      </c>
      <c r="G32" s="513">
        <f t="shared" si="10"/>
        <v>0</v>
      </c>
      <c r="H32" s="513">
        <f t="shared" si="10"/>
        <v>0</v>
      </c>
      <c r="I32" s="513">
        <f t="shared" si="10"/>
        <v>0</v>
      </c>
      <c r="J32" s="513">
        <f t="shared" si="10"/>
        <v>0</v>
      </c>
      <c r="K32" s="513">
        <f t="shared" si="10"/>
        <v>0</v>
      </c>
      <c r="L32" s="513">
        <f t="shared" si="10"/>
        <v>0</v>
      </c>
      <c r="M32" s="513">
        <f t="shared" si="10"/>
        <v>0</v>
      </c>
      <c r="N32" s="513">
        <f t="shared" si="10"/>
        <v>0</v>
      </c>
      <c r="O32" s="513">
        <f t="shared" si="10"/>
        <v>0</v>
      </c>
      <c r="P32" s="513">
        <f t="shared" si="10"/>
        <v>0</v>
      </c>
      <c r="Q32" s="513">
        <f t="shared" si="10"/>
        <v>0</v>
      </c>
      <c r="R32" s="513">
        <f t="shared" si="10"/>
        <v>0</v>
      </c>
      <c r="S32" s="513">
        <f t="shared" si="10"/>
        <v>0</v>
      </c>
      <c r="T32" s="513">
        <f t="shared" si="10"/>
        <v>0</v>
      </c>
      <c r="U32" s="513">
        <f t="shared" si="10"/>
        <v>0</v>
      </c>
    </row>
    <row r="33" spans="1:21" ht="15" thickBot="1" x14ac:dyDescent="0.25">
      <c r="A33" s="356">
        <f>SUM(D29:U33)</f>
        <v>25500</v>
      </c>
      <c r="B33" s="345"/>
      <c r="C33" s="475" t="s">
        <v>326</v>
      </c>
      <c r="D33" s="467">
        <v>0</v>
      </c>
      <c r="E33" s="513">
        <v>0</v>
      </c>
      <c r="F33" s="513">
        <f t="shared" ref="F33:U33" si="11">E12*$B$4*20%</f>
        <v>0</v>
      </c>
      <c r="G33" s="513">
        <f t="shared" si="11"/>
        <v>0</v>
      </c>
      <c r="H33" s="513">
        <f t="shared" si="11"/>
        <v>0</v>
      </c>
      <c r="I33" s="513">
        <f t="shared" si="11"/>
        <v>0</v>
      </c>
      <c r="J33" s="513">
        <f t="shared" si="11"/>
        <v>0</v>
      </c>
      <c r="K33" s="513">
        <f t="shared" si="11"/>
        <v>0</v>
      </c>
      <c r="L33" s="513">
        <f t="shared" si="11"/>
        <v>0</v>
      </c>
      <c r="M33" s="513">
        <f t="shared" si="11"/>
        <v>0</v>
      </c>
      <c r="N33" s="513">
        <f t="shared" si="11"/>
        <v>0</v>
      </c>
      <c r="O33" s="513">
        <f t="shared" si="11"/>
        <v>0</v>
      </c>
      <c r="P33" s="513">
        <f t="shared" si="11"/>
        <v>0</v>
      </c>
      <c r="Q33" s="513">
        <f t="shared" si="11"/>
        <v>0</v>
      </c>
      <c r="R33" s="513">
        <f t="shared" si="11"/>
        <v>0</v>
      </c>
      <c r="S33" s="513">
        <f t="shared" si="11"/>
        <v>0</v>
      </c>
      <c r="T33" s="513">
        <f t="shared" si="11"/>
        <v>0</v>
      </c>
      <c r="U33" s="513">
        <f t="shared" si="11"/>
        <v>0</v>
      </c>
    </row>
    <row r="34" spans="1:21" x14ac:dyDescent="0.2">
      <c r="B34" s="343"/>
    </row>
    <row r="35" spans="1:21" ht="13.5" thickBot="1" x14ac:dyDescent="0.25">
      <c r="B35" s="343"/>
    </row>
    <row r="36" spans="1:21" ht="14.25" x14ac:dyDescent="0.2">
      <c r="A36" s="350" t="s">
        <v>252</v>
      </c>
      <c r="B36" s="337"/>
    </row>
    <row r="37" spans="1:21" ht="14.25" x14ac:dyDescent="0.2">
      <c r="A37" s="349">
        <f>+Invoerblad!E35</f>
        <v>2024</v>
      </c>
      <c r="B37" s="338"/>
    </row>
    <row r="38" spans="1:21" ht="14.25" x14ac:dyDescent="0.2">
      <c r="A38" s="351" t="s">
        <v>265</v>
      </c>
      <c r="B38" s="337"/>
    </row>
    <row r="39" spans="1:21" ht="14.25" x14ac:dyDescent="0.2">
      <c r="A39" s="435">
        <f>'Overzicht MSK toets'!E51/A29</f>
        <v>0</v>
      </c>
      <c r="B39" s="339"/>
    </row>
    <row r="40" spans="1:21" s="3" customFormat="1" ht="15" x14ac:dyDescent="0.2">
      <c r="A40" s="493" t="s">
        <v>306</v>
      </c>
      <c r="B40" s="433"/>
    </row>
    <row r="41" spans="1:21" s="3" customFormat="1" ht="15" x14ac:dyDescent="0.2">
      <c r="A41" s="494">
        <f ca="1">IF('Overzicht MSK toets'!E62&lt;0,1,0)</f>
        <v>0</v>
      </c>
      <c r="B41" s="326"/>
    </row>
    <row r="42" spans="1:21" s="3" customFormat="1" ht="15" x14ac:dyDescent="0.25">
      <c r="A42" s="565">
        <f ca="1">ROUND(IF(AND('Overzicht MSK toets'!E62&gt;(Invoerblad!E17*Invoerblad!E18*Invoerblad!E20*0.03),'Overzicht MSK toets'!E56&lt;Invoerblad!E89-0.01),MAX(0,'Overzicht MSK toets'!E56)+0.01,
IF(AND('Overzicht MSK toets'!E62&gt;(Invoerblad!E17*Invoerblad!E18*Invoerblad!E20*0.003),'Overzicht MSK toets'!E56&lt;Invoerblad!E89-0.001),MAX(0,'Overzicht MSK toets'!E56)+0.001,
IF(AND('Overzicht MSK toets'!E62&gt;(Invoerblad!E17*Invoerblad!E18*Invoerblad!E20*0.0003),'Overzicht MSK toets'!E56&lt;Invoerblad!E89-0.0001),MAX(0,'Overzicht MSK toets'!E56)+0.0001,
IF(AND('Overzicht MSK toets'!E62&gt;(Invoerblad!E17*Invoerblad!E18*Invoerblad!E20*0.00003),'Overzicht MSK toets'!E56&lt;Invoerblad!E89-0.00001),MAX(0,'Overzicht MSK toets'!E56)+0.00001,
(MAX(0,'Overzicht MSK toets'!E56)+0))))),4)</f>
        <v>0</v>
      </c>
      <c r="B42" s="422"/>
    </row>
    <row r="43" spans="1:21" s="3" customFormat="1" x14ac:dyDescent="0.2">
      <c r="A43" s="434"/>
      <c r="B43" s="422"/>
    </row>
    <row r="44" spans="1:21" ht="14.25" x14ac:dyDescent="0.2">
      <c r="A44" s="352" t="s">
        <v>253</v>
      </c>
      <c r="B44" s="338"/>
      <c r="D44" s="299"/>
    </row>
    <row r="45" spans="1:21" ht="14.25" x14ac:dyDescent="0.2">
      <c r="A45" s="353"/>
      <c r="B45" s="340"/>
    </row>
    <row r="46" spans="1:21" ht="15" thickBot="1" x14ac:dyDescent="0.25">
      <c r="A46" s="354" t="s">
        <v>254</v>
      </c>
      <c r="B46" s="337"/>
    </row>
    <row r="47" spans="1:21" ht="13.5" thickBot="1" x14ac:dyDescent="0.25">
      <c r="A47" s="500">
        <f>+'Overzicht MSK toets'!E51</f>
        <v>0</v>
      </c>
      <c r="B47" s="341"/>
    </row>
    <row r="48" spans="1:21" ht="15" x14ac:dyDescent="0.25">
      <c r="A48" s="342"/>
      <c r="B48" s="346"/>
    </row>
    <row r="49" spans="1:21" ht="15" thickBot="1" x14ac:dyDescent="0.25">
      <c r="A49" s="354" t="s">
        <v>256</v>
      </c>
      <c r="B49" s="343"/>
      <c r="D49">
        <f>+D25</f>
        <v>1</v>
      </c>
      <c r="E49" s="3">
        <f t="shared" ref="E49:S49" si="12">+E25</f>
        <v>2</v>
      </c>
      <c r="F49" s="3">
        <f t="shared" si="12"/>
        <v>3</v>
      </c>
      <c r="G49" s="3">
        <f t="shared" si="12"/>
        <v>4</v>
      </c>
      <c r="H49" s="3">
        <f t="shared" si="12"/>
        <v>5</v>
      </c>
      <c r="I49" s="3">
        <f t="shared" si="12"/>
        <v>6</v>
      </c>
      <c r="J49" s="3">
        <f t="shared" si="12"/>
        <v>7</v>
      </c>
      <c r="K49" s="3">
        <f t="shared" si="12"/>
        <v>8</v>
      </c>
      <c r="L49" s="3">
        <f t="shared" si="12"/>
        <v>9</v>
      </c>
      <c r="M49" s="3">
        <f t="shared" si="12"/>
        <v>10</v>
      </c>
      <c r="N49" s="3">
        <f t="shared" si="12"/>
        <v>11</v>
      </c>
      <c r="O49" s="3">
        <f t="shared" si="12"/>
        <v>12</v>
      </c>
      <c r="P49" s="3">
        <f t="shared" si="12"/>
        <v>13</v>
      </c>
      <c r="Q49" s="3">
        <f t="shared" si="12"/>
        <v>14</v>
      </c>
      <c r="R49" s="3">
        <f t="shared" si="12"/>
        <v>15</v>
      </c>
      <c r="S49" s="3">
        <f t="shared" si="12"/>
        <v>16</v>
      </c>
      <c r="T49" s="3">
        <f t="shared" ref="T49:U49" si="13">+T25</f>
        <v>17</v>
      </c>
      <c r="U49" s="3">
        <f t="shared" si="13"/>
        <v>0</v>
      </c>
    </row>
    <row r="50" spans="1:21" ht="15" thickBot="1" x14ac:dyDescent="0.25">
      <c r="A50" s="354" t="s">
        <v>257</v>
      </c>
      <c r="B50" s="343"/>
      <c r="D50" s="3">
        <f>+D26</f>
        <v>2021</v>
      </c>
      <c r="E50" s="3">
        <f t="shared" ref="E50:S50" si="14">+E26</f>
        <v>2022</v>
      </c>
      <c r="F50" s="3">
        <f t="shared" si="14"/>
        <v>2023</v>
      </c>
      <c r="G50" s="3">
        <f t="shared" si="14"/>
        <v>2024</v>
      </c>
      <c r="H50" s="3">
        <f t="shared" si="14"/>
        <v>2025</v>
      </c>
      <c r="I50" s="3">
        <f t="shared" si="14"/>
        <v>2026</v>
      </c>
      <c r="J50" s="3">
        <f t="shared" si="14"/>
        <v>2027</v>
      </c>
      <c r="K50" s="3">
        <f t="shared" si="14"/>
        <v>2028</v>
      </c>
      <c r="L50" s="3">
        <f t="shared" si="14"/>
        <v>2029</v>
      </c>
      <c r="M50" s="3">
        <f t="shared" si="14"/>
        <v>2030</v>
      </c>
      <c r="N50" s="3">
        <f t="shared" si="14"/>
        <v>2031</v>
      </c>
      <c r="O50" s="3">
        <f t="shared" si="14"/>
        <v>2032</v>
      </c>
      <c r="P50" s="3">
        <f t="shared" si="14"/>
        <v>2033</v>
      </c>
      <c r="Q50" s="3">
        <f t="shared" si="14"/>
        <v>2034</v>
      </c>
      <c r="R50" s="3">
        <f t="shared" si="14"/>
        <v>2035</v>
      </c>
      <c r="S50" s="3">
        <f t="shared" si="14"/>
        <v>2036</v>
      </c>
      <c r="T50" s="3">
        <f t="shared" ref="T50:U50" si="15">+T26</f>
        <v>2037</v>
      </c>
      <c r="U50" s="3">
        <f t="shared" si="15"/>
        <v>0</v>
      </c>
    </row>
    <row r="51" spans="1:21" ht="13.5" thickBot="1" x14ac:dyDescent="0.25">
      <c r="A51" s="501">
        <f>NPV(Invoerblad!$E$85,D51:T51)*'Hulpberekeningen 1'!$P$32</f>
        <v>0</v>
      </c>
      <c r="B51" s="347"/>
      <c r="C51" s="3" t="s">
        <v>264</v>
      </c>
      <c r="D51" s="357">
        <f>SUM(D29:D33)*$A$39</f>
        <v>0</v>
      </c>
      <c r="E51" s="357">
        <f t="shared" ref="E51:R51" si="16">SUM(E29:E33)*$A$39</f>
        <v>0</v>
      </c>
      <c r="F51" s="357">
        <f t="shared" si="16"/>
        <v>0</v>
      </c>
      <c r="G51" s="357">
        <f t="shared" si="16"/>
        <v>0</v>
      </c>
      <c r="H51" s="357">
        <f t="shared" si="16"/>
        <v>0</v>
      </c>
      <c r="I51" s="357">
        <f t="shared" si="16"/>
        <v>0</v>
      </c>
      <c r="J51" s="357">
        <f t="shared" si="16"/>
        <v>0</v>
      </c>
      <c r="K51" s="357">
        <f t="shared" si="16"/>
        <v>0</v>
      </c>
      <c r="L51" s="357">
        <f t="shared" si="16"/>
        <v>0</v>
      </c>
      <c r="M51" s="357">
        <f t="shared" si="16"/>
        <v>0</v>
      </c>
      <c r="N51" s="357">
        <f t="shared" si="16"/>
        <v>0</v>
      </c>
      <c r="O51" s="357">
        <f t="shared" si="16"/>
        <v>0</v>
      </c>
      <c r="P51" s="357">
        <f t="shared" si="16"/>
        <v>0</v>
      </c>
      <c r="Q51" s="357">
        <f t="shared" si="16"/>
        <v>0</v>
      </c>
      <c r="R51" s="357">
        <f t="shared" si="16"/>
        <v>0</v>
      </c>
      <c r="S51" s="357">
        <f>SUM(S29:S33)*$A$39</f>
        <v>0</v>
      </c>
      <c r="T51" s="357">
        <f t="shared" ref="T51:U51" si="17">SUM(T29:T33)*$A$39</f>
        <v>0</v>
      </c>
      <c r="U51" s="357">
        <f t="shared" si="17"/>
        <v>0</v>
      </c>
    </row>
    <row r="52" spans="1:21" x14ac:dyDescent="0.2">
      <c r="A52" s="330">
        <f>SUM(D52:T52)</f>
        <v>0</v>
      </c>
      <c r="B52" s="348"/>
      <c r="C52" t="s">
        <v>263</v>
      </c>
      <c r="D52" s="358">
        <f>1/POWER(1+Invoerblad!$E$85,D25)*D51*'Hulpberekeningen 1'!$P$32</f>
        <v>0</v>
      </c>
      <c r="E52" s="358">
        <f>1/POWER(1+Invoerblad!$E$85,E25)*E51*'Hulpberekeningen 1'!$P$32</f>
        <v>0</v>
      </c>
      <c r="F52" s="358">
        <f>1/POWER(1+Invoerblad!$E$85,F25)*F51*'Hulpberekeningen 1'!$P$32</f>
        <v>0</v>
      </c>
      <c r="G52" s="358">
        <f>1/POWER(1+Invoerblad!$E$85,G25)*G51*'Hulpberekeningen 1'!$P$32</f>
        <v>0</v>
      </c>
      <c r="H52" s="358">
        <f>1/POWER(1+Invoerblad!$E$85,H25)*H51*'Hulpberekeningen 1'!$P$32</f>
        <v>0</v>
      </c>
      <c r="I52" s="358">
        <f>1/POWER(1+Invoerblad!$E$85,I25)*I51*'Hulpberekeningen 1'!$P$32</f>
        <v>0</v>
      </c>
      <c r="J52" s="358">
        <f>1/POWER(1+Invoerblad!$E$85,J25)*J51*'Hulpberekeningen 1'!$P$32</f>
        <v>0</v>
      </c>
      <c r="K52" s="358">
        <f>1/POWER(1+Invoerblad!$E$85,K25)*K51*'Hulpberekeningen 1'!$P$32</f>
        <v>0</v>
      </c>
      <c r="L52" s="358">
        <f>1/POWER(1+Invoerblad!$E$85,L25)*L51*'Hulpberekeningen 1'!$P$32</f>
        <v>0</v>
      </c>
      <c r="M52" s="358">
        <f>1/POWER(1+Invoerblad!$E$85,M25)*M51*'Hulpberekeningen 1'!$P$32</f>
        <v>0</v>
      </c>
      <c r="N52" s="358">
        <f>1/POWER(1+Invoerblad!$E$85,N25)*N51*'Hulpberekeningen 1'!$P$32</f>
        <v>0</v>
      </c>
      <c r="O52" s="358">
        <f>1/POWER(1+Invoerblad!$E$85,O25)*O51*'Hulpberekeningen 1'!$P$32</f>
        <v>0</v>
      </c>
      <c r="P52" s="358">
        <f>1/POWER(1+Invoerblad!$E$85,P25)*P51*'Hulpberekeningen 1'!$P$32</f>
        <v>0</v>
      </c>
      <c r="Q52" s="358">
        <f>1/POWER(1+Invoerblad!$E$85,Q25)*Q51*'Hulpberekeningen 1'!$P$32</f>
        <v>0</v>
      </c>
      <c r="R52" s="358">
        <f>1/POWER(1+Invoerblad!$E$85,R25)*R51*'Hulpberekeningen 1'!$P$32</f>
        <v>0</v>
      </c>
      <c r="S52" s="358">
        <f>1/POWER(1+Invoerblad!$E$85,S25)*S51*'Hulpberekeningen 1'!$P$32</f>
        <v>0</v>
      </c>
      <c r="T52" s="358">
        <f>1/POWER(1+Invoerblad!$E$85,T25)*T51*'Hulpberekeningen 1'!$P$32</f>
        <v>0</v>
      </c>
      <c r="U52" s="358">
        <f>1/POWER(1+Invoerblad!$E$85,U25)*U51*'Hulpberekeningen 1'!$P$32</f>
        <v>0</v>
      </c>
    </row>
    <row r="53" spans="1:21" x14ac:dyDescent="0.2">
      <c r="B53" s="343"/>
    </row>
    <row r="54" spans="1:21" x14ac:dyDescent="0.2">
      <c r="B54" s="343"/>
    </row>
    <row r="55" spans="1:21" x14ac:dyDescent="0.2">
      <c r="B55" s="343"/>
    </row>
    <row r="56" spans="1:21" ht="15" thickBot="1" x14ac:dyDescent="0.25">
      <c r="A56" s="354" t="s">
        <v>260</v>
      </c>
      <c r="B56" s="343"/>
      <c r="C56" s="3" t="s">
        <v>259</v>
      </c>
      <c r="D56" s="359">
        <f>+'Overzicht MSK toets'!D23</f>
        <v>0</v>
      </c>
      <c r="E56" s="3"/>
      <c r="F56" s="3"/>
      <c r="G56" s="49"/>
    </row>
    <row r="57" spans="1:21" x14ac:dyDescent="0.2">
      <c r="A57" s="3"/>
      <c r="C57" s="3" t="s">
        <v>262</v>
      </c>
      <c r="D57" s="360">
        <f>LARGE('Overzicht MSK toets'!E40:E42,1)</f>
        <v>1474495.6425087096</v>
      </c>
      <c r="E57" s="3"/>
      <c r="F57" s="3"/>
      <c r="G57" s="49"/>
    </row>
    <row r="58" spans="1:21" x14ac:dyDescent="0.2">
      <c r="A58" s="3"/>
      <c r="C58" s="3" t="s">
        <v>261</v>
      </c>
      <c r="D58" s="361">
        <f>IF('Overzicht MSK toets'!E38&lt;0,-'Overzicht MSK toets'!E38,0)</f>
        <v>1474495.6425087096</v>
      </c>
      <c r="E58" s="27"/>
      <c r="F58" s="27"/>
      <c r="G58" s="153"/>
    </row>
  </sheetData>
  <phoneticPr fontId="51" type="noConversion"/>
  <dataValidations disablePrompts="1" count="3">
    <dataValidation type="custom" allowBlank="1" showErrorMessage="1" error="draaiuren / vollasturen kunnen niet meer dan 8760 bedragen (zie regel 4)_x000a_" prompt="vul in hoeveel produktie er is in het eerste  kalenderjaar voor dat deel dat in de SDE periode valt." sqref="AB16" xr:uid="{592B4862-9473-4BB3-87FF-6942888C2D16}">
      <formula1>IF(VALUE($E4)=0,0,AB16/$E4)&lt;8761</formula1>
      <formula2>0</formula2>
    </dataValidation>
    <dataValidation allowBlank="1" showErrorMessage="1" error="draaiuren / vollasturen kunnen niet meer dan 8760 bedragen (zie regel 4)_x000a_" prompt="vul in hoeveel produktie er is in het eerste  kalenderjaar voor dat deel dat in de SDE periode valt." sqref="D16:T16" xr:uid="{F791A19E-5CD9-45DC-8AF1-E7C507274EC8}"/>
    <dataValidation type="custom" allowBlank="1" showErrorMessage="1" error="draaiuren / vollasturen kunnen niet meer dan 8760 bedragen (zie regel 4)_x000a_" prompt="vul in hoeveel produktie er is in het eerste  kalenderjaar voor dat deel dat in de SDE periode valt." sqref="AB17 D17:T17" xr:uid="{4E3E36BA-8373-4E30-B9F7-1F58D21E17DD}">
      <formula1>IF(VALUE($E6)=0,0,D17/$E6)&lt;8761</formula1>
      <formula2>0</formula2>
    </dataValidation>
  </dataValidations>
  <pageMargins left="0.7" right="0.7" top="0.75" bottom="0.75" header="0.3" footer="0.3"/>
  <pageSetup paperSize="9" orientation="portrait" r:id="rId1"/>
  <headerFooter>
    <oddHeader>&amp;L&amp;"Calibri"&amp;10&amp;K000000 Vertrouwelijk&amp;1#_x000D_</oddHeader>
  </headerFooter>
  <ignoredErrors>
    <ignoredError sqref="A42" evalError="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83"/>
  <sheetViews>
    <sheetView topLeftCell="A61" zoomScaleNormal="100" workbookViewId="0">
      <selection activeCell="I38" sqref="I38"/>
    </sheetView>
  </sheetViews>
  <sheetFormatPr defaultRowHeight="12.75" x14ac:dyDescent="0.2"/>
  <cols>
    <col min="1" max="1" width="3.33203125" style="227" customWidth="1"/>
    <col min="2" max="2" width="15.83203125" style="227" customWidth="1"/>
    <col min="3" max="3" width="9.33203125" style="227" customWidth="1"/>
    <col min="4" max="4" width="42" style="227" customWidth="1"/>
    <col min="5" max="5" width="23" style="227" customWidth="1"/>
    <col min="6" max="6" width="20.6640625" style="227" customWidth="1"/>
    <col min="7" max="7" width="2.33203125" style="227" customWidth="1"/>
    <col min="8" max="8" width="12.6640625" style="227" customWidth="1"/>
    <col min="9" max="9" width="43.33203125" style="227" customWidth="1"/>
    <col min="10" max="1025" width="9.33203125" style="227" customWidth="1"/>
  </cols>
  <sheetData>
    <row r="1" spans="1:11" x14ac:dyDescent="0.2">
      <c r="B1" s="228" t="s">
        <v>75</v>
      </c>
      <c r="C1" s="229"/>
      <c r="D1" s="229"/>
      <c r="E1" s="229"/>
      <c r="F1" s="229"/>
    </row>
    <row r="2" spans="1:11" ht="13.5" thickBot="1" x14ac:dyDescent="0.25">
      <c r="B2" s="230"/>
      <c r="C2" s="230"/>
      <c r="D2" s="230"/>
      <c r="E2" s="230"/>
      <c r="F2" s="230"/>
    </row>
    <row r="3" spans="1:11" x14ac:dyDescent="0.2">
      <c r="A3" s="231"/>
      <c r="B3" s="537" t="s">
        <v>76</v>
      </c>
      <c r="C3" s="538"/>
      <c r="D3" s="538"/>
      <c r="E3" s="538"/>
      <c r="F3" s="539"/>
      <c r="G3" s="235"/>
      <c r="H3" s="527"/>
      <c r="I3" s="407"/>
      <c r="J3" s="407"/>
      <c r="K3" s="329"/>
    </row>
    <row r="4" spans="1:11" x14ac:dyDescent="0.2">
      <c r="A4" s="231"/>
      <c r="B4" s="528" t="s">
        <v>78</v>
      </c>
      <c r="C4" s="524" t="s">
        <v>79</v>
      </c>
      <c r="D4" s="524"/>
      <c r="E4" s="525"/>
      <c r="F4" s="529">
        <f>'Overzicht MSK toets'!E7</f>
        <v>0</v>
      </c>
      <c r="G4" s="235"/>
      <c r="H4" s="549"/>
    </row>
    <row r="5" spans="1:11" x14ac:dyDescent="0.2">
      <c r="A5" s="231"/>
      <c r="B5" s="528" t="s">
        <v>81</v>
      </c>
      <c r="C5" s="524" t="s">
        <v>82</v>
      </c>
      <c r="D5" s="524"/>
      <c r="E5" s="525"/>
      <c r="F5" s="529"/>
      <c r="G5" s="235"/>
      <c r="H5" s="549"/>
    </row>
    <row r="6" spans="1:11" x14ac:dyDescent="0.2">
      <c r="A6" s="231"/>
      <c r="B6" s="528"/>
      <c r="C6" s="524"/>
      <c r="D6" s="524" t="s">
        <v>83</v>
      </c>
      <c r="E6" s="525">
        <f>'Overzicht MSK toets'!D11</f>
        <v>0</v>
      </c>
      <c r="F6" s="529"/>
      <c r="G6" s="235"/>
      <c r="H6" s="523"/>
    </row>
    <row r="7" spans="1:11" ht="35.25" x14ac:dyDescent="0.2">
      <c r="A7" s="231"/>
      <c r="B7" s="528"/>
      <c r="C7" s="524"/>
      <c r="D7" s="524" t="s">
        <v>84</v>
      </c>
      <c r="E7" s="525">
        <f>'Overzicht MSK toets'!D12</f>
        <v>0</v>
      </c>
      <c r="F7" s="529"/>
      <c r="G7" s="235"/>
      <c r="H7" s="523"/>
      <c r="I7" s="692"/>
    </row>
    <row r="8" spans="1:11" x14ac:dyDescent="0.2">
      <c r="A8" s="231"/>
      <c r="B8" s="528"/>
      <c r="C8" s="524"/>
      <c r="D8" s="524"/>
      <c r="E8" s="525"/>
      <c r="F8" s="529"/>
      <c r="G8" s="235"/>
    </row>
    <row r="9" spans="1:11" x14ac:dyDescent="0.2">
      <c r="A9" s="231"/>
      <c r="B9" s="528"/>
      <c r="C9" s="524" t="s">
        <v>85</v>
      </c>
      <c r="D9" s="540" t="s">
        <v>86</v>
      </c>
      <c r="E9" s="531">
        <f>'Overzicht MSK toets'!D14</f>
        <v>0</v>
      </c>
      <c r="F9" s="529"/>
      <c r="G9" s="235"/>
      <c r="H9" s="523"/>
    </row>
    <row r="10" spans="1:11" x14ac:dyDescent="0.2">
      <c r="A10" s="231"/>
      <c r="B10" s="528"/>
      <c r="C10" s="524"/>
      <c r="D10" s="540"/>
      <c r="E10" s="525"/>
      <c r="F10" s="529"/>
      <c r="G10" s="235"/>
    </row>
    <row r="11" spans="1:11" x14ac:dyDescent="0.2">
      <c r="A11" s="231"/>
      <c r="B11" s="528"/>
      <c r="C11" s="524"/>
      <c r="D11" s="524" t="str">
        <f>Invoerblad!B47</f>
        <v>…. subsidie (euro's)</v>
      </c>
      <c r="E11" s="525">
        <f>'Overzicht MSK toets'!D16</f>
        <v>0</v>
      </c>
      <c r="F11" s="529"/>
      <c r="G11" s="235"/>
      <c r="H11" s="523"/>
    </row>
    <row r="12" spans="1:11" x14ac:dyDescent="0.2">
      <c r="A12" s="231"/>
      <c r="B12" s="528"/>
      <c r="C12" s="524"/>
      <c r="D12" s="524" t="str">
        <f>Invoerblad!B48</f>
        <v>…. subsidie (euro's)</v>
      </c>
      <c r="E12" s="525">
        <f>'Overzicht MSK toets'!D17</f>
        <v>0</v>
      </c>
      <c r="F12" s="529"/>
      <c r="G12" s="235"/>
      <c r="H12" s="523"/>
    </row>
    <row r="13" spans="1:11" x14ac:dyDescent="0.2">
      <c r="A13" s="231"/>
      <c r="B13" s="528"/>
      <c r="C13" s="524"/>
      <c r="D13" s="524" t="str">
        <f>Invoerblad!B49</f>
        <v>…. subsidies (euro's)</v>
      </c>
      <c r="E13" s="525">
        <f>'Overzicht MSK toets'!D18</f>
        <v>0</v>
      </c>
      <c r="F13" s="529"/>
      <c r="G13" s="235"/>
      <c r="H13" s="523"/>
      <c r="I13" s="329"/>
    </row>
    <row r="14" spans="1:11" x14ac:dyDescent="0.2">
      <c r="A14" s="231"/>
      <c r="B14" s="528"/>
      <c r="C14" s="524"/>
      <c r="D14" s="524" t="s">
        <v>87</v>
      </c>
      <c r="E14" s="525">
        <f>'Overzicht MSK toets'!D19</f>
        <v>0</v>
      </c>
      <c r="F14" s="529"/>
      <c r="G14" s="235"/>
      <c r="H14" s="523"/>
      <c r="I14" s="329"/>
    </row>
    <row r="15" spans="1:11" x14ac:dyDescent="0.2">
      <c r="A15" s="231"/>
      <c r="B15" s="528"/>
      <c r="C15" s="524"/>
      <c r="D15" s="524" t="s">
        <v>33</v>
      </c>
      <c r="E15" s="525">
        <f>'Overzicht MSK toets'!D20</f>
        <v>0</v>
      </c>
      <c r="F15" s="529"/>
      <c r="G15" s="235"/>
      <c r="H15" s="523"/>
    </row>
    <row r="16" spans="1:11" x14ac:dyDescent="0.2">
      <c r="A16" s="231"/>
      <c r="B16" s="528"/>
      <c r="C16" s="524"/>
      <c r="D16" s="524" t="s">
        <v>88</v>
      </c>
      <c r="E16" s="525">
        <f>'Overzicht MSK toets'!D21</f>
        <v>0</v>
      </c>
      <c r="F16" s="529"/>
      <c r="G16" s="235"/>
      <c r="H16" s="523"/>
    </row>
    <row r="17" spans="1:8" x14ac:dyDescent="0.2">
      <c r="A17" s="231"/>
      <c r="B17" s="528"/>
      <c r="C17" s="524"/>
      <c r="D17" s="524" t="s">
        <v>89</v>
      </c>
      <c r="E17" s="525">
        <f>'Overzicht MSK toets'!D22</f>
        <v>0</v>
      </c>
      <c r="F17" s="529"/>
      <c r="G17" s="235"/>
      <c r="H17" s="523"/>
    </row>
    <row r="18" spans="1:8" x14ac:dyDescent="0.2">
      <c r="A18" s="231"/>
      <c r="B18" s="528"/>
      <c r="C18" s="524" t="s">
        <v>90</v>
      </c>
      <c r="D18" s="540" t="s">
        <v>86</v>
      </c>
      <c r="E18" s="525">
        <f>'Overzicht MSK toets'!D23</f>
        <v>0</v>
      </c>
      <c r="F18" s="529"/>
      <c r="G18" s="235"/>
      <c r="H18" s="523"/>
    </row>
    <row r="19" spans="1:8" x14ac:dyDescent="0.2">
      <c r="A19" s="231"/>
      <c r="B19" s="528"/>
      <c r="C19" s="524" t="s">
        <v>91</v>
      </c>
      <c r="D19" s="540"/>
      <c r="E19" s="531"/>
      <c r="F19" s="529">
        <f>'Overzicht MSK toets'!E24</f>
        <v>0</v>
      </c>
      <c r="G19" s="235"/>
      <c r="H19" s="523"/>
    </row>
    <row r="20" spans="1:8" x14ac:dyDescent="0.2">
      <c r="A20" s="231"/>
      <c r="B20" s="528"/>
      <c r="C20" s="524"/>
      <c r="D20" s="524"/>
      <c r="E20" s="525"/>
      <c r="F20" s="529"/>
      <c r="G20" s="235"/>
    </row>
    <row r="21" spans="1:8" x14ac:dyDescent="0.2">
      <c r="A21" s="231"/>
      <c r="B21" s="528" t="s">
        <v>92</v>
      </c>
      <c r="C21" s="524" t="s">
        <v>93</v>
      </c>
      <c r="D21" s="524"/>
      <c r="E21" s="531"/>
      <c r="F21" s="529">
        <f>'Overzicht MSK toets'!E26</f>
        <v>0</v>
      </c>
      <c r="G21" s="235"/>
      <c r="H21" s="523"/>
    </row>
    <row r="22" spans="1:8" x14ac:dyDescent="0.2">
      <c r="A22" s="231"/>
      <c r="B22" s="528" t="s">
        <v>94</v>
      </c>
      <c r="C22" s="524" t="s">
        <v>95</v>
      </c>
      <c r="D22" s="524"/>
      <c r="E22" s="525"/>
      <c r="F22" s="529">
        <f>'Overzicht MSK toets'!E28</f>
        <v>0</v>
      </c>
      <c r="G22" s="235"/>
      <c r="H22" s="523"/>
    </row>
    <row r="23" spans="1:8" x14ac:dyDescent="0.2">
      <c r="A23" s="231"/>
      <c r="B23" s="528" t="s">
        <v>96</v>
      </c>
      <c r="C23" s="524" t="s">
        <v>97</v>
      </c>
      <c r="D23" s="524"/>
      <c r="E23" s="525"/>
      <c r="F23" s="529">
        <f>'Overzicht MSK toets'!E30</f>
        <v>877640.90849747881</v>
      </c>
      <c r="G23" s="235"/>
      <c r="H23" s="523"/>
    </row>
    <row r="24" spans="1:8" x14ac:dyDescent="0.2">
      <c r="A24" s="231"/>
      <c r="B24" s="528" t="s">
        <v>80</v>
      </c>
      <c r="C24" s="524" t="s">
        <v>98</v>
      </c>
      <c r="D24" s="524"/>
      <c r="E24" s="525"/>
      <c r="F24" s="529">
        <f>'Overzicht MSK toets'!E32</f>
        <v>595504.3574912902</v>
      </c>
      <c r="G24" s="235"/>
      <c r="H24" s="523"/>
    </row>
    <row r="25" spans="1:8" x14ac:dyDescent="0.2">
      <c r="A25" s="231"/>
      <c r="B25" s="528" t="s">
        <v>99</v>
      </c>
      <c r="C25" s="524" t="s">
        <v>100</v>
      </c>
      <c r="D25" s="524"/>
      <c r="E25" s="525"/>
      <c r="F25" s="529">
        <f>'Overzicht MSK toets'!E34</f>
        <v>-282136.55100618862</v>
      </c>
      <c r="G25" s="235"/>
      <c r="H25" s="523"/>
    </row>
    <row r="26" spans="1:8" x14ac:dyDescent="0.2">
      <c r="A26" s="231"/>
      <c r="B26" s="528" t="s">
        <v>101</v>
      </c>
      <c r="C26" s="524" t="s">
        <v>102</v>
      </c>
      <c r="D26" s="524"/>
      <c r="E26" s="525"/>
      <c r="F26" s="529">
        <f>'Overzicht MSK toets'!E36</f>
        <v>1192359.091502521</v>
      </c>
      <c r="G26" s="235"/>
      <c r="H26" s="523"/>
    </row>
    <row r="27" spans="1:8" x14ac:dyDescent="0.2">
      <c r="A27" s="231"/>
      <c r="B27" s="528"/>
      <c r="C27" s="524"/>
      <c r="D27" s="524"/>
      <c r="E27" s="525"/>
      <c r="F27" s="529"/>
      <c r="G27" s="235"/>
    </row>
    <row r="28" spans="1:8" x14ac:dyDescent="0.2">
      <c r="A28" s="231"/>
      <c r="B28" s="528" t="s">
        <v>103</v>
      </c>
      <c r="C28" s="526" t="s">
        <v>104</v>
      </c>
      <c r="D28" s="524"/>
      <c r="E28" s="525"/>
      <c r="F28" s="529">
        <f>'Overzicht MSK toets'!E38</f>
        <v>-1474495.6425087096</v>
      </c>
      <c r="G28" s="235"/>
      <c r="H28" s="523"/>
    </row>
    <row r="29" spans="1:8" x14ac:dyDescent="0.2">
      <c r="A29" s="231"/>
      <c r="B29" s="528" t="s">
        <v>105</v>
      </c>
      <c r="C29" s="526" t="s">
        <v>106</v>
      </c>
      <c r="D29" s="524"/>
      <c r="E29" s="525"/>
      <c r="F29" s="529">
        <f>'Overzicht MSK toets'!E39</f>
        <v>-1192359.091502521</v>
      </c>
      <c r="G29" s="235"/>
      <c r="H29" s="523"/>
    </row>
    <row r="30" spans="1:8" x14ac:dyDescent="0.2">
      <c r="A30" s="231"/>
      <c r="B30" s="528"/>
      <c r="C30" s="526"/>
      <c r="D30" s="524"/>
      <c r="E30" s="525"/>
      <c r="F30" s="529"/>
      <c r="G30" s="235"/>
    </row>
    <row r="31" spans="1:8" x14ac:dyDescent="0.2">
      <c r="A31" s="231"/>
      <c r="B31" s="528" t="s">
        <v>107</v>
      </c>
      <c r="C31" s="526" t="s">
        <v>108</v>
      </c>
      <c r="D31" s="524"/>
      <c r="E31" s="525"/>
      <c r="F31" s="529">
        <f>'Overzicht MSK toets'!E41</f>
        <v>1474495.6425087096</v>
      </c>
      <c r="G31" s="235"/>
      <c r="H31" s="523"/>
    </row>
    <row r="32" spans="1:8" ht="13.5" thickBot="1" x14ac:dyDescent="0.25">
      <c r="A32" s="231"/>
      <c r="B32" s="541" t="s">
        <v>109</v>
      </c>
      <c r="C32" s="542" t="s">
        <v>110</v>
      </c>
      <c r="D32" s="543"/>
      <c r="E32" s="544"/>
      <c r="F32" s="545">
        <f>'Overzicht MSK toets'!E42</f>
        <v>1192359.091502521</v>
      </c>
      <c r="G32" s="235"/>
      <c r="H32" s="523"/>
    </row>
    <row r="33" spans="1:12" ht="13.5" thickBot="1" x14ac:dyDescent="0.25">
      <c r="B33" s="240"/>
      <c r="C33" s="240"/>
      <c r="D33" s="240"/>
      <c r="E33" s="241"/>
      <c r="F33" s="241"/>
    </row>
    <row r="34" spans="1:12" x14ac:dyDescent="0.2">
      <c r="A34" s="231"/>
      <c r="B34" s="232" t="s">
        <v>287</v>
      </c>
      <c r="C34" s="233"/>
      <c r="D34" s="233"/>
      <c r="E34" s="242"/>
      <c r="F34" s="234"/>
      <c r="G34" s="235"/>
      <c r="H34" s="406"/>
      <c r="J34" s="329"/>
      <c r="K34" s="329"/>
      <c r="L34" s="407"/>
    </row>
    <row r="35" spans="1:12" x14ac:dyDescent="0.2">
      <c r="A35" s="231"/>
      <c r="B35" s="236"/>
      <c r="C35" s="239"/>
      <c r="D35" s="239"/>
      <c r="E35" s="237"/>
      <c r="F35" s="238"/>
      <c r="G35" s="235"/>
      <c r="J35" s="329"/>
      <c r="K35" s="329"/>
      <c r="L35" s="329"/>
    </row>
    <row r="36" spans="1:12" x14ac:dyDescent="0.2">
      <c r="A36" s="231"/>
      <c r="B36" s="243" t="s">
        <v>113</v>
      </c>
      <c r="C36" s="183" t="s">
        <v>114</v>
      </c>
      <c r="D36" s="239"/>
      <c r="E36" s="237"/>
      <c r="F36" s="546">
        <f>'Overzicht MSK toets'!E41</f>
        <v>1474495.6425087096</v>
      </c>
      <c r="G36" s="235"/>
      <c r="H36" s="397"/>
      <c r="I36" s="397"/>
      <c r="J36" s="398"/>
      <c r="K36" s="329"/>
      <c r="L36" s="329"/>
    </row>
    <row r="37" spans="1:12" x14ac:dyDescent="0.2">
      <c r="A37" s="231"/>
      <c r="B37" s="245" t="s">
        <v>252</v>
      </c>
      <c r="C37" s="246"/>
      <c r="D37" s="247"/>
      <c r="E37" s="237"/>
      <c r="F37" s="547">
        <f>'Overzicht MSK toets'!E53</f>
        <v>2024</v>
      </c>
      <c r="G37" s="235"/>
      <c r="H37" s="397"/>
      <c r="I37" s="397"/>
      <c r="J37" s="399"/>
      <c r="K37" s="329"/>
      <c r="L37" s="329"/>
    </row>
    <row r="38" spans="1:12" x14ac:dyDescent="0.2">
      <c r="A38" s="231"/>
      <c r="B38" s="245" t="s">
        <v>289</v>
      </c>
      <c r="C38" s="246"/>
      <c r="D38" s="247"/>
      <c r="E38" s="237"/>
      <c r="F38" s="548">
        <f>'Overzicht MSK toets'!E54</f>
        <v>25500</v>
      </c>
      <c r="G38" s="235"/>
      <c r="H38" s="397"/>
      <c r="I38" s="397"/>
      <c r="J38" s="398"/>
      <c r="K38" s="329"/>
      <c r="L38" s="329"/>
    </row>
    <row r="39" spans="1:12" x14ac:dyDescent="0.2">
      <c r="A39" s="231"/>
      <c r="B39" s="245" t="s">
        <v>288</v>
      </c>
      <c r="C39" s="246"/>
      <c r="D39" s="247"/>
      <c r="E39" s="237"/>
      <c r="F39" s="548">
        <f>'Overzicht MSK toets'!E55</f>
        <v>25500</v>
      </c>
      <c r="G39" s="235"/>
      <c r="H39" s="397"/>
      <c r="I39" s="397"/>
      <c r="J39" s="398"/>
      <c r="K39" s="329"/>
      <c r="L39" s="329"/>
    </row>
    <row r="40" spans="1:12" ht="13.5" thickBot="1" x14ac:dyDescent="0.25">
      <c r="A40" s="231"/>
      <c r="B40" s="533" t="str">
        <f>"Kortingsbedrag op tarief €/MWh vanaf "&amp;F37&amp;""</f>
        <v>Kortingsbedrag op tarief €/MWh vanaf 2024</v>
      </c>
      <c r="C40" s="534"/>
      <c r="D40" s="535"/>
      <c r="E40" s="536"/>
      <c r="F40" s="567">
        <f ca="1">'Overzicht MSK toets'!E56</f>
        <v>0</v>
      </c>
      <c r="G40" s="235"/>
      <c r="H40" s="523"/>
      <c r="I40" s="397"/>
      <c r="J40" s="408"/>
      <c r="K40" s="329"/>
      <c r="L40" s="407"/>
    </row>
    <row r="41" spans="1:12" ht="13.5" thickBot="1" x14ac:dyDescent="0.25">
      <c r="B41" s="244"/>
      <c r="C41" s="244"/>
      <c r="D41" s="244"/>
      <c r="E41" s="244"/>
      <c r="F41" s="244"/>
      <c r="J41" s="329"/>
      <c r="K41" s="329"/>
      <c r="L41" s="329"/>
    </row>
    <row r="42" spans="1:12" ht="12.75" customHeight="1" x14ac:dyDescent="0.2">
      <c r="A42" s="231"/>
      <c r="B42" s="717" t="s">
        <v>167</v>
      </c>
      <c r="C42" s="717"/>
      <c r="D42" s="717"/>
      <c r="E42" s="248" t="s">
        <v>168</v>
      </c>
      <c r="F42" s="249" t="s">
        <v>169</v>
      </c>
      <c r="G42" s="235"/>
      <c r="H42" s="523"/>
      <c r="J42" s="329"/>
    </row>
    <row r="43" spans="1:12" ht="12.75" customHeight="1" x14ac:dyDescent="0.2">
      <c r="A43" s="231"/>
      <c r="B43" s="714" t="s">
        <v>13</v>
      </c>
      <c r="C43" s="714"/>
      <c r="D43" s="714"/>
      <c r="E43" s="250">
        <f>Invoerblad!E16</f>
        <v>1</v>
      </c>
      <c r="F43" s="251" t="s">
        <v>170</v>
      </c>
      <c r="G43" s="235"/>
    </row>
    <row r="44" spans="1:12" ht="12.75" customHeight="1" x14ac:dyDescent="0.2">
      <c r="A44" s="231"/>
      <c r="B44" s="714" t="s">
        <v>171</v>
      </c>
      <c r="C44" s="714"/>
      <c r="D44" s="714"/>
      <c r="E44" s="250">
        <f>Invoerblad!E17</f>
        <v>1</v>
      </c>
      <c r="F44" s="251" t="s">
        <v>170</v>
      </c>
      <c r="G44" s="235"/>
    </row>
    <row r="45" spans="1:12" ht="12.75" customHeight="1" x14ac:dyDescent="0.2">
      <c r="A45" s="231"/>
      <c r="B45" s="714" t="s">
        <v>17</v>
      </c>
      <c r="C45" s="714"/>
      <c r="D45" s="714"/>
      <c r="E45" s="252">
        <f>Invoerblad!E18</f>
        <v>15</v>
      </c>
      <c r="F45" s="253" t="s">
        <v>165</v>
      </c>
      <c r="G45" s="235"/>
    </row>
    <row r="46" spans="1:12" x14ac:dyDescent="0.2">
      <c r="A46" s="231"/>
      <c r="B46" s="714"/>
      <c r="C46" s="714"/>
      <c r="D46" s="714"/>
      <c r="E46" s="252"/>
      <c r="F46" s="253"/>
      <c r="G46" s="235"/>
    </row>
    <row r="47" spans="1:12" ht="12.75" customHeight="1" x14ac:dyDescent="0.2">
      <c r="A47" s="231"/>
      <c r="B47" s="714" t="s">
        <v>342</v>
      </c>
      <c r="C47" s="714"/>
      <c r="D47" s="714"/>
      <c r="E47" s="532">
        <f>Invoerblad!I24/15</f>
        <v>2000</v>
      </c>
      <c r="F47" s="253" t="s">
        <v>172</v>
      </c>
      <c r="G47" s="235"/>
    </row>
    <row r="48" spans="1:12" ht="12.75" customHeight="1" x14ac:dyDescent="0.2">
      <c r="A48" s="231"/>
      <c r="B48" s="714" t="s">
        <v>341</v>
      </c>
      <c r="C48" s="714"/>
      <c r="D48" s="714"/>
      <c r="E48" s="532">
        <f>(Invoerblad!I28)/15</f>
        <v>2000</v>
      </c>
      <c r="F48" s="253" t="s">
        <v>172</v>
      </c>
      <c r="G48" s="235"/>
      <c r="I48" s="549"/>
    </row>
    <row r="49" spans="1:8" x14ac:dyDescent="0.2">
      <c r="A49" s="231"/>
      <c r="B49" s="714"/>
      <c r="C49" s="714"/>
      <c r="D49" s="714"/>
      <c r="E49" s="252"/>
      <c r="F49" s="253"/>
      <c r="G49" s="235"/>
    </row>
    <row r="50" spans="1:8" ht="12.75" customHeight="1" x14ac:dyDescent="0.2">
      <c r="A50" s="231"/>
      <c r="B50" s="714" t="s">
        <v>21</v>
      </c>
      <c r="C50" s="714"/>
      <c r="D50" s="714"/>
      <c r="E50" s="254">
        <f>Invoerblad!E31</f>
        <v>43907</v>
      </c>
      <c r="F50" s="255"/>
      <c r="G50" s="235"/>
    </row>
    <row r="51" spans="1:8" ht="12.75" customHeight="1" x14ac:dyDescent="0.2">
      <c r="A51" s="231"/>
      <c r="B51" s="714" t="s">
        <v>22</v>
      </c>
      <c r="C51" s="714"/>
      <c r="D51" s="714"/>
      <c r="E51" s="254">
        <f>Invoerblad!E32</f>
        <v>44348</v>
      </c>
      <c r="F51" s="255"/>
      <c r="G51" s="235"/>
    </row>
    <row r="52" spans="1:8" ht="12.75" customHeight="1" x14ac:dyDescent="0.2">
      <c r="A52" s="231"/>
      <c r="B52" s="714" t="s">
        <v>23</v>
      </c>
      <c r="C52" s="714"/>
      <c r="D52" s="714"/>
      <c r="E52" s="254">
        <f>Invoerblad!E33</f>
        <v>44470</v>
      </c>
      <c r="F52" s="255"/>
      <c r="G52" s="235"/>
    </row>
    <row r="53" spans="1:8" x14ac:dyDescent="0.2">
      <c r="A53" s="231"/>
      <c r="B53" s="714"/>
      <c r="C53" s="714"/>
      <c r="D53" s="714"/>
      <c r="E53" s="252"/>
      <c r="F53" s="253"/>
      <c r="G53" s="235"/>
    </row>
    <row r="54" spans="1:8" ht="12.75" customHeight="1" x14ac:dyDescent="0.2">
      <c r="A54" s="231"/>
      <c r="B54" s="714" t="s">
        <v>38</v>
      </c>
      <c r="C54" s="714"/>
      <c r="D54" s="714"/>
      <c r="E54" s="256">
        <f>IF(Invoerblad!E56*100=0,"-",Invoerblad!E56*100)</f>
        <v>25.8</v>
      </c>
      <c r="F54" s="257" t="s">
        <v>141</v>
      </c>
      <c r="G54" s="235"/>
    </row>
    <row r="55" spans="1:8" ht="12.75" customHeight="1" x14ac:dyDescent="0.2">
      <c r="A55" s="231"/>
      <c r="B55" s="714" t="s">
        <v>39</v>
      </c>
      <c r="C55" s="714"/>
      <c r="D55" s="714"/>
      <c r="E55" s="256" t="str">
        <f>IF(Invoerblad!E57*100=0,"-",Invoerblad!E57*100)</f>
        <v>-</v>
      </c>
      <c r="F55" s="257" t="s">
        <v>141</v>
      </c>
      <c r="G55" s="235"/>
    </row>
    <row r="56" spans="1:8" ht="12.75" customHeight="1" x14ac:dyDescent="0.2">
      <c r="A56" s="231"/>
      <c r="B56" s="714" t="s">
        <v>40</v>
      </c>
      <c r="C56" s="714"/>
      <c r="D56" s="714"/>
      <c r="E56" s="258" t="str">
        <f>IF(Invoerblad!E58=0,"-",Invoerblad!E58)</f>
        <v>-</v>
      </c>
      <c r="F56" s="259" t="s">
        <v>173</v>
      </c>
      <c r="G56" s="235"/>
    </row>
    <row r="57" spans="1:8" ht="12.75" customHeight="1" x14ac:dyDescent="0.2">
      <c r="A57" s="231"/>
      <c r="B57" s="716" t="str">
        <f>IF(E55="-","EIA aftrek (het meldingsbedrag na aftrek subsidies)","EIA aftrek ("&amp;E55&amp;"% van het meldingsbedrag na aftrek subsidies)")</f>
        <v>EIA aftrek (het meldingsbedrag na aftrek subsidies)</v>
      </c>
      <c r="C57" s="716"/>
      <c r="D57" s="716"/>
      <c r="E57" s="258" t="str">
        <f>IF(Invoerblad!E59=0,"-",Invoerblad!E59)</f>
        <v>-</v>
      </c>
      <c r="F57" s="259" t="s">
        <v>173</v>
      </c>
      <c r="G57" s="235"/>
      <c r="H57" s="523"/>
    </row>
    <row r="58" spans="1:8" ht="12.75" customHeight="1" x14ac:dyDescent="0.2">
      <c r="A58" s="231"/>
      <c r="B58" s="714" t="s">
        <v>42</v>
      </c>
      <c r="C58" s="714"/>
      <c r="D58" s="714"/>
      <c r="E58" s="258" t="str">
        <f>IF(Invoerblad!E60=0,"-",Invoerblad!E60)</f>
        <v>-</v>
      </c>
      <c r="F58" s="259" t="s">
        <v>173</v>
      </c>
      <c r="G58" s="235"/>
    </row>
    <row r="59" spans="1:8" ht="12.75" customHeight="1" x14ac:dyDescent="0.2">
      <c r="A59" s="231"/>
      <c r="B59" s="714" t="s">
        <v>343</v>
      </c>
      <c r="C59" s="714"/>
      <c r="D59" s="714"/>
      <c r="E59" s="258" t="str">
        <f>IF(Invoerblad!E62=0,"-",Invoerblad!E62)</f>
        <v>-</v>
      </c>
      <c r="F59" s="259" t="s">
        <v>173</v>
      </c>
      <c r="G59" s="235"/>
    </row>
    <row r="60" spans="1:8" ht="12.75" customHeight="1" x14ac:dyDescent="0.2">
      <c r="A60" s="231"/>
      <c r="B60" s="714" t="s">
        <v>344</v>
      </c>
      <c r="C60" s="714"/>
      <c r="D60" s="714"/>
      <c r="E60" s="258" t="str">
        <f>IF(Invoerblad!E63=0,"-",Invoerblad!E63)</f>
        <v>-</v>
      </c>
      <c r="F60" s="259" t="s">
        <v>173</v>
      </c>
      <c r="G60" s="235"/>
    </row>
    <row r="61" spans="1:8" ht="12.75" customHeight="1" x14ac:dyDescent="0.2">
      <c r="A61" s="231"/>
      <c r="B61" s="714" t="s">
        <v>43</v>
      </c>
      <c r="C61" s="714"/>
      <c r="D61" s="714"/>
      <c r="E61" s="258" t="str">
        <f>IF(Invoerblad!E65=0,"-",Invoerblad!E65)</f>
        <v>-</v>
      </c>
      <c r="F61" s="259" t="s">
        <v>173</v>
      </c>
      <c r="G61" s="235"/>
    </row>
    <row r="62" spans="1:8" ht="12.75" customHeight="1" x14ac:dyDescent="0.2">
      <c r="A62" s="231"/>
      <c r="B62" s="716" t="s">
        <v>44</v>
      </c>
      <c r="C62" s="716"/>
      <c r="D62" s="716"/>
      <c r="E62" s="258" t="str">
        <f>IF(Invoerblad!E66*100=0,"-",Invoerblad!E66*100)</f>
        <v>-</v>
      </c>
      <c r="F62" s="259" t="s">
        <v>141</v>
      </c>
      <c r="G62" s="235"/>
    </row>
    <row r="63" spans="1:8" ht="12.75" customHeight="1" x14ac:dyDescent="0.2">
      <c r="A63" s="231"/>
      <c r="B63" s="716" t="str">
        <f>IF(E62="-","MIA aftrek (het meldingsbedrag na aftrek subsidies)","MIA aftrek ("&amp;E62&amp;"% van het meldingsbedrag na aftrek subsidies)")</f>
        <v>MIA aftrek (het meldingsbedrag na aftrek subsidies)</v>
      </c>
      <c r="C63" s="716"/>
      <c r="D63" s="716"/>
      <c r="E63" s="258" t="str">
        <f>IF(Invoerblad!E67=0,"-",Invoerblad!E67)</f>
        <v>-</v>
      </c>
      <c r="F63" s="259" t="s">
        <v>173</v>
      </c>
      <c r="G63" s="235"/>
    </row>
    <row r="64" spans="1:8" ht="12.75" customHeight="1" x14ac:dyDescent="0.2">
      <c r="A64" s="231"/>
      <c r="B64" s="714" t="s">
        <v>46</v>
      </c>
      <c r="C64" s="714"/>
      <c r="D64" s="714"/>
      <c r="E64" s="258" t="str">
        <f>IF(Invoerblad!E68=0,"-",Invoerblad!E68)</f>
        <v>-</v>
      </c>
      <c r="F64" s="259" t="s">
        <v>173</v>
      </c>
      <c r="G64" s="235"/>
    </row>
    <row r="65" spans="1:7" ht="12.75" customHeight="1" x14ac:dyDescent="0.2">
      <c r="A65" s="231"/>
      <c r="B65" s="714" t="s">
        <v>47</v>
      </c>
      <c r="C65" s="714"/>
      <c r="D65" s="714"/>
      <c r="E65" s="258" t="str">
        <f>IF(Invoerblad!E69=0,"-",Invoerblad!E69)</f>
        <v>-</v>
      </c>
      <c r="F65" s="259" t="s">
        <v>173</v>
      </c>
      <c r="G65" s="235"/>
    </row>
    <row r="66" spans="1:7" ht="12.75" customHeight="1" x14ac:dyDescent="0.2">
      <c r="A66" s="231"/>
      <c r="B66" s="714" t="s">
        <v>49</v>
      </c>
      <c r="C66" s="714"/>
      <c r="D66" s="714"/>
      <c r="E66" s="260">
        <f>Invoerblad!E73</f>
        <v>0</v>
      </c>
      <c r="F66" s="259" t="s">
        <v>173</v>
      </c>
      <c r="G66" s="235"/>
    </row>
    <row r="67" spans="1:7" ht="12.75" customHeight="1" x14ac:dyDescent="0.2">
      <c r="A67" s="231"/>
      <c r="B67" s="714" t="s">
        <v>50</v>
      </c>
      <c r="C67" s="714"/>
      <c r="D67" s="714"/>
      <c r="E67" s="260">
        <f>Invoerblad!E74</f>
        <v>0</v>
      </c>
      <c r="F67" s="259" t="s">
        <v>173</v>
      </c>
      <c r="G67" s="235"/>
    </row>
    <row r="68" spans="1:7" ht="12.75" customHeight="1" x14ac:dyDescent="0.2">
      <c r="A68" s="231"/>
      <c r="B68" s="714" t="s">
        <v>51</v>
      </c>
      <c r="C68" s="714"/>
      <c r="D68" s="714"/>
      <c r="E68" s="261">
        <f>Invoerblad!E75*100</f>
        <v>20</v>
      </c>
      <c r="F68" s="257" t="s">
        <v>141</v>
      </c>
      <c r="G68" s="235"/>
    </row>
    <row r="69" spans="1:7" ht="12.75" customHeight="1" x14ac:dyDescent="0.2">
      <c r="A69" s="231"/>
      <c r="B69" s="714" t="s">
        <v>52</v>
      </c>
      <c r="C69" s="714"/>
      <c r="D69" s="714"/>
      <c r="E69" s="261">
        <f>Invoerblad!E76*100</f>
        <v>80</v>
      </c>
      <c r="F69" s="257" t="s">
        <v>141</v>
      </c>
      <c r="G69" s="235"/>
    </row>
    <row r="70" spans="1:7" ht="12.75" customHeight="1" x14ac:dyDescent="0.2">
      <c r="A70" s="231"/>
      <c r="B70" s="714" t="s">
        <v>51</v>
      </c>
      <c r="C70" s="714"/>
      <c r="D70" s="714"/>
      <c r="E70" s="260">
        <f>Invoerblad!E77</f>
        <v>0</v>
      </c>
      <c r="F70" s="259" t="s">
        <v>173</v>
      </c>
      <c r="G70" s="235"/>
    </row>
    <row r="71" spans="1:7" ht="12.75" customHeight="1" x14ac:dyDescent="0.2">
      <c r="A71" s="231"/>
      <c r="B71" s="714" t="s">
        <v>53</v>
      </c>
      <c r="C71" s="714"/>
      <c r="D71" s="714"/>
      <c r="E71" s="260">
        <f>Invoerblad!E78</f>
        <v>0</v>
      </c>
      <c r="F71" s="259" t="s">
        <v>173</v>
      </c>
      <c r="G71" s="235"/>
    </row>
    <row r="72" spans="1:7" ht="12.75" customHeight="1" x14ac:dyDescent="0.2">
      <c r="A72" s="231"/>
      <c r="B72" s="714" t="s">
        <v>54</v>
      </c>
      <c r="C72" s="714"/>
      <c r="D72" s="714"/>
      <c r="E72" s="260">
        <f>Invoerblad!E79</f>
        <v>0</v>
      </c>
      <c r="F72" s="259" t="s">
        <v>173</v>
      </c>
      <c r="G72" s="235"/>
    </row>
    <row r="73" spans="1:7" ht="12.75" customHeight="1" x14ac:dyDescent="0.2">
      <c r="A73" s="231"/>
      <c r="B73" s="714" t="s">
        <v>277</v>
      </c>
      <c r="C73" s="714"/>
      <c r="D73" s="714"/>
      <c r="E73" s="260">
        <f>Invoerblad!E81</f>
        <v>0</v>
      </c>
      <c r="F73" s="259" t="s">
        <v>173</v>
      </c>
      <c r="G73" s="235"/>
    </row>
    <row r="74" spans="1:7" ht="12.75" customHeight="1" x14ac:dyDescent="0.2">
      <c r="A74" s="231"/>
      <c r="B74" s="714" t="s">
        <v>55</v>
      </c>
      <c r="C74" s="714"/>
      <c r="D74" s="714"/>
      <c r="E74" s="261">
        <f>Invoerblad!E82*100</f>
        <v>2</v>
      </c>
      <c r="F74" s="257" t="s">
        <v>141</v>
      </c>
      <c r="G74" s="235"/>
    </row>
    <row r="75" spans="1:7" ht="12.75" customHeight="1" x14ac:dyDescent="0.2">
      <c r="A75" s="231"/>
      <c r="B75" s="714" t="s">
        <v>56</v>
      </c>
      <c r="C75" s="714"/>
      <c r="D75" s="714"/>
      <c r="E75" s="252">
        <f>Invoerblad!E84</f>
        <v>15</v>
      </c>
      <c r="F75" s="253" t="s">
        <v>165</v>
      </c>
      <c r="G75" s="235"/>
    </row>
    <row r="76" spans="1:7" ht="12.75" customHeight="1" x14ac:dyDescent="0.2">
      <c r="A76" s="231"/>
      <c r="B76" s="714" t="s">
        <v>57</v>
      </c>
      <c r="C76" s="714"/>
      <c r="D76" s="714"/>
      <c r="E76" s="261">
        <f>Invoerblad!E85*100</f>
        <v>0</v>
      </c>
      <c r="F76" s="257" t="s">
        <v>141</v>
      </c>
      <c r="G76" s="235"/>
    </row>
    <row r="77" spans="1:7" ht="12.75" customHeight="1" x14ac:dyDescent="0.2">
      <c r="A77" s="231"/>
      <c r="B77" s="714" t="s">
        <v>59</v>
      </c>
      <c r="C77" s="714"/>
      <c r="D77" s="714"/>
      <c r="E77" s="260">
        <f>Invoerblad!K89</f>
        <v>69</v>
      </c>
      <c r="F77" s="259" t="s">
        <v>173</v>
      </c>
      <c r="G77" s="235"/>
    </row>
    <row r="78" spans="1:7" ht="12.75" customHeight="1" x14ac:dyDescent="0.2">
      <c r="A78" s="231"/>
      <c r="B78" s="716" t="s">
        <v>455</v>
      </c>
      <c r="C78" s="716"/>
      <c r="D78" s="716"/>
      <c r="E78" s="260">
        <f>Invoerblad!K90</f>
        <v>25</v>
      </c>
      <c r="F78" s="259" t="s">
        <v>173</v>
      </c>
      <c r="G78" s="235"/>
    </row>
    <row r="79" spans="1:7" ht="12.75" customHeight="1" x14ac:dyDescent="0.2">
      <c r="A79" s="231"/>
      <c r="B79" s="716" t="s">
        <v>456</v>
      </c>
      <c r="C79" s="716"/>
      <c r="D79" s="716"/>
      <c r="E79" s="260">
        <f>Invoerblad!H122</f>
        <v>29.123883210204081</v>
      </c>
      <c r="F79" s="259" t="s">
        <v>173</v>
      </c>
      <c r="G79" s="235"/>
    </row>
    <row r="80" spans="1:7" ht="12.75" customHeight="1" x14ac:dyDescent="0.2">
      <c r="A80" s="231"/>
      <c r="B80" s="714" t="s">
        <v>174</v>
      </c>
      <c r="C80" s="714"/>
      <c r="D80" s="714"/>
      <c r="E80" s="260">
        <f>Invoerblad!H126</f>
        <v>58509.393899831921</v>
      </c>
      <c r="F80" s="259" t="s">
        <v>173</v>
      </c>
      <c r="G80" s="235"/>
    </row>
    <row r="81" spans="1:8" ht="12.75" customHeight="1" x14ac:dyDescent="0.2">
      <c r="A81" s="231"/>
      <c r="B81" s="714" t="s">
        <v>175</v>
      </c>
      <c r="C81" s="714"/>
      <c r="D81" s="714"/>
      <c r="E81" s="260">
        <f>IF(Invoerblad!H128=0,"-",Invoerblad!H128)</f>
        <v>12933.522400660693</v>
      </c>
      <c r="F81" s="259" t="s">
        <v>173</v>
      </c>
      <c r="G81" s="235"/>
    </row>
    <row r="82" spans="1:8" ht="13.5" customHeight="1" thickBot="1" x14ac:dyDescent="0.25">
      <c r="A82" s="231"/>
      <c r="B82" s="715" t="s">
        <v>176</v>
      </c>
      <c r="C82" s="715"/>
      <c r="D82" s="715"/>
      <c r="E82" s="693">
        <f>IF(Invoerblad!H129=0,"-",Invoerblad!H129)</f>
        <v>26766.76809875865</v>
      </c>
      <c r="F82" s="694" t="s">
        <v>173</v>
      </c>
      <c r="G82" s="235"/>
      <c r="H82" s="523"/>
    </row>
    <row r="83" spans="1:8" x14ac:dyDescent="0.2">
      <c r="B83" s="262"/>
      <c r="C83" s="262"/>
      <c r="D83" s="262"/>
      <c r="E83" s="262"/>
      <c r="F83" s="262"/>
    </row>
  </sheetData>
  <mergeCells count="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80:D80"/>
    <mergeCell ref="B81:D81"/>
    <mergeCell ref="B82:D82"/>
    <mergeCell ref="B77:D77"/>
    <mergeCell ref="B78:D78"/>
    <mergeCell ref="B79:D79"/>
  </mergeCells>
  <pageMargins left="0.75" right="0.75" top="1" bottom="1" header="0.51180555555555496" footer="0.51180555555555496"/>
  <pageSetup paperSize="9" firstPageNumber="0" orientation="landscape" horizontalDpi="300" verticalDpi="300" r:id="rId1"/>
  <headerFooter>
    <oddHeader>&amp;L&amp;"Calibri"&amp;10&amp;K000000 Vertrouwelijk&amp;1#_x000D_</oddHeader>
  </headerFooter>
  <ignoredErrors>
    <ignoredError sqref="B57 B6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X53"/>
  <sheetViews>
    <sheetView zoomScaleNormal="100" workbookViewId="0">
      <selection activeCell="L39" sqref="L39"/>
    </sheetView>
  </sheetViews>
  <sheetFormatPr defaultRowHeight="12.75" x14ac:dyDescent="0.2"/>
  <cols>
    <col min="1" max="1" width="8.6640625" customWidth="1"/>
    <col min="2" max="2" width="33" customWidth="1"/>
    <col min="3" max="3" width="12.6640625" customWidth="1"/>
    <col min="4" max="4" width="11.5" customWidth="1"/>
    <col min="5" max="5" width="12.5" customWidth="1"/>
    <col min="6" max="6" width="13.6640625" customWidth="1"/>
    <col min="7" max="7" width="14.6640625" customWidth="1"/>
    <col min="8" max="15" width="8.6640625" customWidth="1"/>
    <col min="16" max="16" width="10.33203125" customWidth="1"/>
    <col min="17" max="17" width="8.6640625" customWidth="1"/>
    <col min="18" max="18" width="19.1640625" customWidth="1"/>
    <col min="19" max="19" width="17.83203125" customWidth="1"/>
    <col min="20" max="20" width="8.6640625" customWidth="1"/>
    <col min="21" max="21" width="12.6640625" customWidth="1"/>
    <col min="22" max="22" width="10" customWidth="1"/>
    <col min="23" max="24" width="8.6640625" customWidth="1"/>
    <col min="25" max="25" width="12.5" customWidth="1"/>
    <col min="26" max="27" width="8.6640625" customWidth="1"/>
    <col min="28" max="28" width="10" customWidth="1"/>
    <col min="29" max="1025" width="8.6640625" customWidth="1"/>
  </cols>
  <sheetData>
    <row r="1" spans="2:15" x14ac:dyDescent="0.2">
      <c r="B1" t="s">
        <v>178</v>
      </c>
      <c r="E1" s="3">
        <f>+Invoerblad!E18</f>
        <v>15</v>
      </c>
    </row>
    <row r="2" spans="2:15" x14ac:dyDescent="0.2">
      <c r="B2" t="s">
        <v>179</v>
      </c>
      <c r="E2" s="6">
        <f>+Invoerblad!E32</f>
        <v>44348</v>
      </c>
    </row>
    <row r="3" spans="2:15" x14ac:dyDescent="0.2">
      <c r="B3" t="s">
        <v>180</v>
      </c>
      <c r="D3" s="49">
        <f>MONTH(E3)-1</f>
        <v>9</v>
      </c>
      <c r="E3" s="6">
        <f>+Invoerblad!E33</f>
        <v>44470</v>
      </c>
      <c r="F3" t="s">
        <v>181</v>
      </c>
    </row>
    <row r="4" spans="2:15" x14ac:dyDescent="0.2">
      <c r="B4" t="s">
        <v>182</v>
      </c>
      <c r="E4" s="326">
        <f>YEAR(E3)</f>
        <v>2021</v>
      </c>
      <c r="F4" t="s">
        <v>183</v>
      </c>
    </row>
    <row r="5" spans="2:15" ht="15" x14ac:dyDescent="0.25">
      <c r="B5" t="s">
        <v>184</v>
      </c>
      <c r="D5">
        <f>MONTH(E5)-1</f>
        <v>9</v>
      </c>
      <c r="E5" s="510">
        <f>Invoerblad!E33</f>
        <v>44470</v>
      </c>
    </row>
    <row r="6" spans="2:15" x14ac:dyDescent="0.2">
      <c r="E6" s="156"/>
    </row>
    <row r="7" spans="2:15" x14ac:dyDescent="0.2">
      <c r="D7" t="s">
        <v>185</v>
      </c>
      <c r="E7" s="326"/>
      <c r="F7" s="326"/>
      <c r="G7" s="326"/>
      <c r="H7" s="326"/>
      <c r="I7" s="326"/>
      <c r="J7" s="326"/>
      <c r="K7" s="326"/>
      <c r="L7" s="326"/>
      <c r="M7" s="326"/>
      <c r="N7" s="326"/>
      <c r="O7" s="326"/>
    </row>
    <row r="8" spans="2:15" x14ac:dyDescent="0.2">
      <c r="B8" t="s">
        <v>186</v>
      </c>
      <c r="D8" s="156">
        <f>LARGE(E2:E3,1)</f>
        <v>44470</v>
      </c>
      <c r="E8" s="603"/>
      <c r="F8" s="326"/>
      <c r="G8" s="326"/>
      <c r="H8" s="326"/>
      <c r="I8" s="326"/>
      <c r="J8" s="326"/>
      <c r="K8" s="326"/>
      <c r="L8" s="326"/>
      <c r="M8" s="326"/>
      <c r="N8" s="326"/>
      <c r="O8" s="326"/>
    </row>
    <row r="9" spans="2:15" x14ac:dyDescent="0.2">
      <c r="B9" t="s">
        <v>187</v>
      </c>
      <c r="D9" s="49">
        <f>YEAR(D8)</f>
        <v>2021</v>
      </c>
      <c r="E9" s="604"/>
      <c r="F9" s="326"/>
      <c r="G9" s="326"/>
      <c r="H9" s="326"/>
      <c r="I9" s="326"/>
      <c r="J9" s="326"/>
      <c r="K9" s="326"/>
      <c r="L9" s="326"/>
      <c r="M9" s="326"/>
      <c r="N9" s="326"/>
      <c r="O9" s="326"/>
    </row>
    <row r="10" spans="2:15" ht="15" x14ac:dyDescent="0.25">
      <c r="B10" t="s">
        <v>188</v>
      </c>
      <c r="D10" s="266">
        <f>MONTH(D8)-1</f>
        <v>9</v>
      </c>
      <c r="E10" s="605"/>
      <c r="F10" s="326"/>
      <c r="G10" s="326"/>
      <c r="H10" s="326"/>
      <c r="I10" s="326"/>
      <c r="J10" s="326"/>
      <c r="K10" s="326"/>
      <c r="L10" s="326"/>
      <c r="M10" s="326"/>
      <c r="N10" s="326"/>
      <c r="O10" s="326"/>
    </row>
    <row r="11" spans="2:15" x14ac:dyDescent="0.2">
      <c r="B11" t="s">
        <v>189</v>
      </c>
      <c r="D11" s="509">
        <f>(12-D5)/12</f>
        <v>0.25</v>
      </c>
      <c r="E11" s="606"/>
      <c r="F11" s="326"/>
      <c r="G11" s="326"/>
      <c r="H11" s="326"/>
      <c r="I11" s="326"/>
      <c r="J11" s="326"/>
      <c r="K11" s="326"/>
      <c r="L11" s="326"/>
      <c r="M11" s="326"/>
      <c r="N11" s="326"/>
      <c r="O11" s="326"/>
    </row>
    <row r="12" spans="2:15" x14ac:dyDescent="0.2">
      <c r="B12" t="s">
        <v>190</v>
      </c>
      <c r="D12" s="509">
        <f>1-D5/12</f>
        <v>0.25</v>
      </c>
      <c r="E12" s="606"/>
      <c r="F12" s="326"/>
      <c r="G12" s="326"/>
      <c r="H12" s="326"/>
      <c r="I12" s="326"/>
      <c r="J12" s="326"/>
      <c r="K12" s="326"/>
      <c r="L12" s="326"/>
      <c r="M12" s="326"/>
      <c r="N12" s="326"/>
      <c r="O12" s="326"/>
    </row>
    <row r="14" spans="2:15" x14ac:dyDescent="0.2">
      <c r="B14" t="s">
        <v>191</v>
      </c>
      <c r="D14" s="53">
        <f>IF(E3&gt;E2,1-D11,1-D12)</f>
        <v>0.75</v>
      </c>
      <c r="E14" s="53">
        <f>IF(E3&gt;E2,1-E11,1-E12)</f>
        <v>1</v>
      </c>
      <c r="F14" t="s">
        <v>192</v>
      </c>
    </row>
    <row r="15" spans="2:15" x14ac:dyDescent="0.2">
      <c r="B15" t="s">
        <v>193</v>
      </c>
      <c r="D15" s="267">
        <f>1-D12</f>
        <v>0.75</v>
      </c>
      <c r="E15" s="267">
        <f>1-E12</f>
        <v>1</v>
      </c>
      <c r="F15" t="s">
        <v>192</v>
      </c>
    </row>
    <row r="17" spans="2:24" x14ac:dyDescent="0.2">
      <c r="B17" t="s">
        <v>194</v>
      </c>
      <c r="E17" s="509">
        <v>0</v>
      </c>
      <c r="F17" s="506">
        <f>+E2-E3</f>
        <v>-122</v>
      </c>
      <c r="G17" s="511">
        <v>-2.73972602739736E-3</v>
      </c>
    </row>
    <row r="18" spans="2:24" x14ac:dyDescent="0.2">
      <c r="B18" t="s">
        <v>195</v>
      </c>
      <c r="E18" s="267">
        <f>IF(Invoerblad!E33=DATE(2012,1,1),E1-E17-G17,E1-E17)</f>
        <v>15</v>
      </c>
    </row>
    <row r="19" spans="2:24" x14ac:dyDescent="0.2">
      <c r="B19" t="s">
        <v>196</v>
      </c>
      <c r="E19" s="508">
        <f>IF($D$11&lt;1,CEILING(E18-D11,1)+1,CEILING(E18,1))</f>
        <v>16</v>
      </c>
    </row>
    <row r="20" spans="2:24" x14ac:dyDescent="0.2">
      <c r="E20" s="267"/>
    </row>
    <row r="21" spans="2:24" x14ac:dyDescent="0.2">
      <c r="B21" t="s">
        <v>197</v>
      </c>
      <c r="E21">
        <v>1</v>
      </c>
      <c r="F21">
        <f>IF(COUNTA($E$21:E21)&gt;=$E$19,0,+E21+1)</f>
        <v>2</v>
      </c>
      <c r="G21">
        <f>IF(COUNTA($E$21:F21)&gt;=$E$19,0,+F21+1)</f>
        <v>3</v>
      </c>
      <c r="H21">
        <f>IF(COUNTA($E$21:G21)&gt;=$E$19,0,+G21+1)</f>
        <v>4</v>
      </c>
      <c r="I21">
        <f>IF(COUNTA($E$21:H21)&gt;=$E$19,0,+H21+1)</f>
        <v>5</v>
      </c>
      <c r="J21">
        <f>IF(COUNTA($E$21:I21)&gt;=$E$19,0,+I21+1)</f>
        <v>6</v>
      </c>
      <c r="K21">
        <f>IF(COUNTA($E$21:J21)&gt;=$E$19,0,+J21+1)</f>
        <v>7</v>
      </c>
      <c r="L21">
        <f>IF(COUNTA($E$21:K21)&gt;=$E$19,0,+K21+1)</f>
        <v>8</v>
      </c>
      <c r="M21">
        <f>IF(COUNTA($E$21:L21)&gt;=$E$19,0,+L21+1)</f>
        <v>9</v>
      </c>
      <c r="N21">
        <f>IF(COUNTA($E$21:M21)&gt;=$E$19,0,+M21+1)</f>
        <v>10</v>
      </c>
      <c r="O21">
        <f>IF(COUNTA($E$21:N21)&gt;=$E$19,0,+N21+1)</f>
        <v>11</v>
      </c>
      <c r="P21">
        <f>IF(COUNTA($E$21:O21)&gt;=$E$19,0,+O21+1)</f>
        <v>12</v>
      </c>
      <c r="Q21">
        <f>IF(COUNTA($E$21:P21)&gt;=$E$19,0,+P21+1)</f>
        <v>13</v>
      </c>
      <c r="R21">
        <f>IF(COUNTA($E$21:Q21)&gt;=$E$19,0,+Q21+1)</f>
        <v>14</v>
      </c>
      <c r="S21">
        <f>IF(COUNTA($E$21:R21)&gt;=$E$19,0,+R21+1)</f>
        <v>15</v>
      </c>
      <c r="T21">
        <f>IF(COUNTA($E$21:S21)&gt;=$E$19,0,+S21+1)</f>
        <v>16</v>
      </c>
      <c r="U21">
        <f>IF(COUNTA($E$21:T21)&gt;=$E$19,0,+T21+1)</f>
        <v>0</v>
      </c>
      <c r="V21">
        <f>IF(COUNTA($E$21:U21)&gt;=$E$19,0,+U21+1)</f>
        <v>0</v>
      </c>
      <c r="W21">
        <f>IF(COUNTA($E$21:V21)&gt;=$E$19,0,+V21+1)</f>
        <v>0</v>
      </c>
      <c r="X21">
        <f>IF(COUNTA($E$21:W21)&gt;=$E$19,0,+W21+1)</f>
        <v>0</v>
      </c>
    </row>
    <row r="22" spans="2:24" x14ac:dyDescent="0.2">
      <c r="B22" t="s">
        <v>197</v>
      </c>
      <c r="E22" s="508">
        <f>IF(ISBLANK($E$4),1,+$E$4)</f>
        <v>2021</v>
      </c>
      <c r="F22">
        <f t="shared" ref="F22:X22" si="0">IF(F21&gt;0,+E22+1,0)</f>
        <v>2022</v>
      </c>
      <c r="G22">
        <f t="shared" si="0"/>
        <v>2023</v>
      </c>
      <c r="H22">
        <f t="shared" si="0"/>
        <v>2024</v>
      </c>
      <c r="I22">
        <f t="shared" si="0"/>
        <v>2025</v>
      </c>
      <c r="J22">
        <f t="shared" si="0"/>
        <v>2026</v>
      </c>
      <c r="K22">
        <f t="shared" si="0"/>
        <v>2027</v>
      </c>
      <c r="L22">
        <f t="shared" si="0"/>
        <v>2028</v>
      </c>
      <c r="M22">
        <f t="shared" si="0"/>
        <v>2029</v>
      </c>
      <c r="N22">
        <f t="shared" si="0"/>
        <v>2030</v>
      </c>
      <c r="O22">
        <f t="shared" si="0"/>
        <v>2031</v>
      </c>
      <c r="P22">
        <f t="shared" si="0"/>
        <v>2032</v>
      </c>
      <c r="Q22">
        <f t="shared" si="0"/>
        <v>2033</v>
      </c>
      <c r="R22">
        <f t="shared" si="0"/>
        <v>2034</v>
      </c>
      <c r="S22">
        <f t="shared" si="0"/>
        <v>2035</v>
      </c>
      <c r="T22">
        <f t="shared" si="0"/>
        <v>2036</v>
      </c>
      <c r="U22">
        <f t="shared" si="0"/>
        <v>0</v>
      </c>
      <c r="V22">
        <f t="shared" si="0"/>
        <v>0</v>
      </c>
      <c r="W22">
        <f t="shared" si="0"/>
        <v>0</v>
      </c>
      <c r="X22">
        <f t="shared" si="0"/>
        <v>0</v>
      </c>
    </row>
    <row r="24" spans="2:24" x14ac:dyDescent="0.2">
      <c r="B24" t="s">
        <v>198</v>
      </c>
      <c r="C24" t="s">
        <v>199</v>
      </c>
      <c r="E24" s="267">
        <f t="shared" ref="E24:X24" si="1">IF(E21=0,0,IF(E21=1,+$D$11,IF(D25+1&lt;=$E$18,1,IF(E22&gt;=0,$D$14,0))))</f>
        <v>0.25</v>
      </c>
      <c r="F24" s="267">
        <f t="shared" si="1"/>
        <v>1</v>
      </c>
      <c r="G24" s="267">
        <f t="shared" si="1"/>
        <v>1</v>
      </c>
      <c r="H24" s="267">
        <f t="shared" si="1"/>
        <v>1</v>
      </c>
      <c r="I24" s="267">
        <f t="shared" si="1"/>
        <v>1</v>
      </c>
      <c r="J24" s="267">
        <f t="shared" si="1"/>
        <v>1</v>
      </c>
      <c r="K24" s="267">
        <f t="shared" si="1"/>
        <v>1</v>
      </c>
      <c r="L24" s="267">
        <f t="shared" si="1"/>
        <v>1</v>
      </c>
      <c r="M24" s="267">
        <f t="shared" si="1"/>
        <v>1</v>
      </c>
      <c r="N24" s="267">
        <f t="shared" si="1"/>
        <v>1</v>
      </c>
      <c r="O24" s="267">
        <f t="shared" si="1"/>
        <v>1</v>
      </c>
      <c r="P24" s="267">
        <f t="shared" si="1"/>
        <v>1</v>
      </c>
      <c r="Q24" s="267">
        <f t="shared" si="1"/>
        <v>1</v>
      </c>
      <c r="R24" s="267">
        <f t="shared" si="1"/>
        <v>1</v>
      </c>
      <c r="S24" s="267">
        <f t="shared" si="1"/>
        <v>1</v>
      </c>
      <c r="T24" s="267">
        <f t="shared" si="1"/>
        <v>0.75</v>
      </c>
      <c r="U24" s="267">
        <f t="shared" si="1"/>
        <v>0</v>
      </c>
      <c r="V24" s="267">
        <f t="shared" si="1"/>
        <v>0</v>
      </c>
      <c r="W24" s="267">
        <f t="shared" si="1"/>
        <v>0</v>
      </c>
      <c r="X24" s="267">
        <f t="shared" si="1"/>
        <v>0</v>
      </c>
    </row>
    <row r="25" spans="2:24" x14ac:dyDescent="0.2">
      <c r="E25" s="267">
        <f>+E24</f>
        <v>0.25</v>
      </c>
      <c r="F25" s="267">
        <f t="shared" ref="F25:X25" si="2">+E25+F24</f>
        <v>1.25</v>
      </c>
      <c r="G25" s="267">
        <f t="shared" si="2"/>
        <v>2.25</v>
      </c>
      <c r="H25" s="267">
        <f t="shared" si="2"/>
        <v>3.25</v>
      </c>
      <c r="I25" s="267">
        <f t="shared" si="2"/>
        <v>4.25</v>
      </c>
      <c r="J25" s="267">
        <f t="shared" si="2"/>
        <v>5.25</v>
      </c>
      <c r="K25" s="267">
        <f t="shared" si="2"/>
        <v>6.25</v>
      </c>
      <c r="L25" s="267">
        <f t="shared" si="2"/>
        <v>7.25</v>
      </c>
      <c r="M25" s="267">
        <f t="shared" si="2"/>
        <v>8.25</v>
      </c>
      <c r="N25" s="267">
        <f t="shared" si="2"/>
        <v>9.25</v>
      </c>
      <c r="O25" s="267">
        <f t="shared" si="2"/>
        <v>10.25</v>
      </c>
      <c r="P25" s="267">
        <f t="shared" si="2"/>
        <v>11.25</v>
      </c>
      <c r="Q25" s="267">
        <f t="shared" si="2"/>
        <v>12.25</v>
      </c>
      <c r="R25" s="267">
        <f t="shared" si="2"/>
        <v>13.25</v>
      </c>
      <c r="S25" s="267">
        <f t="shared" si="2"/>
        <v>14.25</v>
      </c>
      <c r="T25" s="267">
        <f t="shared" si="2"/>
        <v>15</v>
      </c>
      <c r="U25" s="267">
        <f t="shared" si="2"/>
        <v>15</v>
      </c>
      <c r="V25" s="267">
        <f t="shared" si="2"/>
        <v>15</v>
      </c>
      <c r="W25" s="267">
        <f t="shared" si="2"/>
        <v>15</v>
      </c>
      <c r="X25" s="267">
        <f t="shared" si="2"/>
        <v>15</v>
      </c>
    </row>
    <row r="26" spans="2:24" x14ac:dyDescent="0.2">
      <c r="B26" s="3"/>
      <c r="C26" s="3"/>
      <c r="D26" s="3"/>
      <c r="E26" s="3"/>
      <c r="F26" s="3"/>
      <c r="G26" s="3"/>
      <c r="H26" s="3"/>
      <c r="I26" s="3"/>
      <c r="J26" s="3"/>
      <c r="K26" s="3"/>
      <c r="L26" s="3"/>
      <c r="M26" s="3"/>
      <c r="N26" s="3"/>
      <c r="O26" s="3"/>
      <c r="P26" s="3"/>
      <c r="Q26" s="3"/>
      <c r="R26" s="3"/>
      <c r="S26" s="3"/>
      <c r="T26" s="3"/>
      <c r="U26" s="3"/>
      <c r="V26" s="3"/>
      <c r="W26" s="3"/>
      <c r="X26" s="3"/>
    </row>
    <row r="27" spans="2:24" x14ac:dyDescent="0.2">
      <c r="F27" s="3"/>
      <c r="T27" s="268"/>
    </row>
    <row r="28" spans="2:24" x14ac:dyDescent="0.2">
      <c r="B28" s="31" t="s">
        <v>406</v>
      </c>
      <c r="F28" s="3"/>
    </row>
    <row r="29" spans="2:24" s="3" customFormat="1" x14ac:dyDescent="0.2">
      <c r="B29" s="334" t="s">
        <v>373</v>
      </c>
      <c r="C29" s="334"/>
      <c r="D29" s="334"/>
      <c r="E29" s="334"/>
      <c r="F29" s="334"/>
      <c r="G29" s="334"/>
      <c r="H29" s="334"/>
      <c r="I29" s="600"/>
      <c r="J29" s="334"/>
      <c r="K29" s="334"/>
      <c r="L29" s="334"/>
      <c r="M29" s="334"/>
      <c r="N29" s="334"/>
      <c r="O29" s="334"/>
      <c r="P29" s="601">
        <f>DATE(YEAR(Invoerblad!E33)-1,MONTH(1)+6,DAY(1))</f>
        <v>44013</v>
      </c>
    </row>
    <row r="30" spans="2:24" s="3" customFormat="1" x14ac:dyDescent="0.2">
      <c r="B30" s="334" t="s">
        <v>374</v>
      </c>
      <c r="C30" s="334"/>
      <c r="D30" s="334"/>
      <c r="E30" s="334"/>
      <c r="F30" s="334"/>
      <c r="G30" s="334"/>
      <c r="H30" s="334"/>
      <c r="I30" s="600"/>
      <c r="J30" s="334"/>
      <c r="K30" s="334"/>
      <c r="L30" s="334"/>
      <c r="M30" s="334"/>
      <c r="N30" s="334"/>
      <c r="O30" s="334"/>
      <c r="P30" s="601">
        <f>Invoerblad!E34</f>
        <v>44166</v>
      </c>
    </row>
    <row r="31" spans="2:24" s="3" customFormat="1" x14ac:dyDescent="0.2">
      <c r="B31" s="334" t="s">
        <v>375</v>
      </c>
      <c r="C31" s="334"/>
      <c r="D31" s="334"/>
      <c r="E31" s="334"/>
      <c r="F31" s="334"/>
      <c r="G31" s="334"/>
      <c r="H31" s="334"/>
      <c r="I31" s="600"/>
      <c r="J31" s="334"/>
      <c r="K31" s="334"/>
      <c r="L31" s="334"/>
      <c r="M31" s="334"/>
      <c r="N31" s="334"/>
      <c r="O31" s="334"/>
      <c r="P31" s="602">
        <f>IF(P29&gt;P30,YEARFRAC(P30,P29),
IF(P30&gt;P29,YEARFRAC(P29,P30),0))</f>
        <v>0.41666666666666669</v>
      </c>
    </row>
    <row r="32" spans="2:24" s="3" customFormat="1" x14ac:dyDescent="0.2">
      <c r="B32" s="334" t="s">
        <v>376</v>
      </c>
      <c r="C32" s="334"/>
      <c r="D32" s="334"/>
      <c r="E32" s="334"/>
      <c r="F32" s="334"/>
      <c r="G32" s="334"/>
      <c r="H32" s="334"/>
      <c r="I32" s="600"/>
      <c r="J32" s="334"/>
      <c r="K32" s="334"/>
      <c r="L32" s="334"/>
      <c r="M32" s="334"/>
      <c r="N32" s="334"/>
      <c r="O32" s="334"/>
      <c r="P32" s="602">
        <f>IF(P29&gt;P30,1/POWER(1+Invoerblad!$E$85,P31),
IF(P30&gt;P29,POWER(1+Invoerblad!$E$85,P31),1))</f>
        <v>1</v>
      </c>
    </row>
    <row r="33" spans="2:14" s="3" customFormat="1" x14ac:dyDescent="0.2">
      <c r="I33" s="515"/>
    </row>
    <row r="34" spans="2:14" x14ac:dyDescent="0.2">
      <c r="B34" s="3"/>
      <c r="C34" s="3"/>
      <c r="D34" s="3"/>
      <c r="E34" s="3"/>
      <c r="F34" s="3"/>
      <c r="G34" s="3"/>
      <c r="H34" s="3"/>
      <c r="I34" s="3"/>
      <c r="J34" s="3"/>
      <c r="K34" s="3"/>
      <c r="L34" s="3"/>
      <c r="M34" s="3"/>
      <c r="N34" s="3"/>
    </row>
    <row r="35" spans="2:14" x14ac:dyDescent="0.2">
      <c r="B35" s="3"/>
      <c r="C35" s="3"/>
      <c r="D35" s="3"/>
      <c r="E35" s="3"/>
      <c r="F35" s="3"/>
      <c r="G35" s="3"/>
      <c r="H35" s="3"/>
      <c r="I35" s="3"/>
      <c r="J35" s="3"/>
      <c r="K35" s="3"/>
      <c r="L35" s="3"/>
      <c r="M35" s="3"/>
      <c r="N35" s="3"/>
    </row>
    <row r="36" spans="2:14" x14ac:dyDescent="0.2">
      <c r="B36" s="3"/>
      <c r="C36" s="3"/>
      <c r="D36" s="3"/>
      <c r="E36" s="3"/>
      <c r="F36" s="3"/>
      <c r="G36" s="3"/>
      <c r="H36" s="3"/>
      <c r="I36" s="3"/>
      <c r="J36" s="3"/>
      <c r="K36" s="3"/>
      <c r="L36" s="3"/>
      <c r="M36" s="3"/>
      <c r="N36" s="3"/>
    </row>
    <row r="37" spans="2:14" x14ac:dyDescent="0.2">
      <c r="B37" s="3"/>
      <c r="C37" s="3"/>
      <c r="D37" s="272"/>
      <c r="E37" s="3"/>
      <c r="F37" s="3"/>
      <c r="G37" s="3"/>
      <c r="H37" s="3"/>
      <c r="I37" s="3"/>
      <c r="J37" s="3"/>
      <c r="K37" s="3"/>
      <c r="L37" s="3"/>
      <c r="M37" s="3"/>
      <c r="N37" s="3"/>
    </row>
    <row r="38" spans="2:14" x14ac:dyDescent="0.2">
      <c r="B38" s="3"/>
      <c r="C38" s="3"/>
      <c r="D38" s="3"/>
      <c r="E38" s="3"/>
      <c r="F38" s="3"/>
      <c r="G38" s="3"/>
      <c r="H38" s="3"/>
      <c r="I38" s="3"/>
      <c r="J38" s="3"/>
      <c r="K38" s="3"/>
      <c r="L38" s="3"/>
      <c r="M38" s="3"/>
      <c r="N38" s="3"/>
    </row>
    <row r="39" spans="2:14" x14ac:dyDescent="0.2">
      <c r="B39" s="3"/>
      <c r="C39" s="3"/>
      <c r="D39" s="3"/>
      <c r="E39" s="3"/>
      <c r="F39" s="3"/>
      <c r="G39" s="3"/>
      <c r="H39" s="3"/>
      <c r="I39" s="3"/>
      <c r="J39" s="3"/>
      <c r="K39" s="3"/>
      <c r="L39" s="3"/>
      <c r="M39" s="3"/>
      <c r="N39" s="3"/>
    </row>
    <row r="40" spans="2:14" x14ac:dyDescent="0.2">
      <c r="B40" s="3"/>
      <c r="C40" s="3"/>
      <c r="D40" s="3"/>
      <c r="E40" s="3"/>
      <c r="F40" s="3"/>
      <c r="G40" s="3"/>
      <c r="H40" s="3"/>
      <c r="I40" s="3"/>
      <c r="J40" s="3"/>
      <c r="K40" s="3"/>
      <c r="L40" s="3"/>
      <c r="M40" s="3"/>
      <c r="N40" s="3"/>
    </row>
    <row r="41" spans="2:14" x14ac:dyDescent="0.2">
      <c r="B41" s="3"/>
      <c r="C41" s="3"/>
      <c r="D41" s="3"/>
      <c r="E41" s="3"/>
      <c r="F41" s="3"/>
      <c r="G41" s="3"/>
      <c r="H41" s="3"/>
      <c r="I41" s="3"/>
      <c r="J41" s="3"/>
      <c r="K41" s="3"/>
      <c r="L41" s="3"/>
      <c r="M41" s="3"/>
      <c r="N41" s="3"/>
    </row>
    <row r="42" spans="2:14" x14ac:dyDescent="0.2">
      <c r="B42" s="3"/>
      <c r="C42" s="3"/>
      <c r="D42" s="3"/>
      <c r="E42" s="3"/>
      <c r="F42" s="3"/>
      <c r="G42" s="3"/>
      <c r="H42" s="3"/>
      <c r="I42" s="3"/>
      <c r="J42" s="3"/>
      <c r="K42" s="3"/>
      <c r="L42" s="3"/>
      <c r="M42" s="3"/>
      <c r="N42" s="3"/>
    </row>
    <row r="43" spans="2:14" x14ac:dyDescent="0.2">
      <c r="B43" s="3"/>
      <c r="C43" s="3"/>
      <c r="D43" s="3"/>
      <c r="E43" s="3"/>
      <c r="F43" s="3"/>
      <c r="G43" s="3"/>
      <c r="H43" s="3"/>
      <c r="I43" s="3"/>
      <c r="J43" s="3"/>
      <c r="K43" s="3"/>
      <c r="L43" s="3"/>
      <c r="M43" s="3"/>
      <c r="N43" s="3"/>
    </row>
    <row r="44" spans="2:14" x14ac:dyDescent="0.2">
      <c r="B44" s="3"/>
      <c r="C44" s="3"/>
      <c r="D44" s="3"/>
      <c r="E44" s="3"/>
      <c r="F44" s="3"/>
      <c r="G44" s="3"/>
      <c r="H44" s="3"/>
      <c r="I44" s="3"/>
      <c r="J44" s="3"/>
      <c r="K44" s="3"/>
      <c r="L44" s="3"/>
      <c r="M44" s="3"/>
      <c r="N44" s="3"/>
    </row>
    <row r="45" spans="2:14" x14ac:dyDescent="0.2">
      <c r="B45" s="3"/>
      <c r="C45" s="272"/>
      <c r="D45" s="3"/>
      <c r="E45" s="3"/>
      <c r="F45" s="3"/>
      <c r="G45" s="3"/>
      <c r="H45" s="3"/>
      <c r="I45" s="3"/>
      <c r="J45" s="3"/>
      <c r="K45" s="3"/>
      <c r="L45" s="3"/>
      <c r="M45" s="3"/>
      <c r="N45" s="3"/>
    </row>
    <row r="46" spans="2:14" x14ac:dyDescent="0.2">
      <c r="B46" s="3"/>
      <c r="C46" s="3"/>
      <c r="D46" s="3"/>
      <c r="E46" s="3"/>
      <c r="F46" s="3"/>
      <c r="G46" s="3"/>
      <c r="H46" s="3"/>
      <c r="I46" s="3"/>
      <c r="J46" s="3"/>
      <c r="K46" s="3"/>
      <c r="L46" s="3"/>
      <c r="M46" s="3"/>
      <c r="N46" s="3"/>
    </row>
    <row r="47" spans="2:14" x14ac:dyDescent="0.2">
      <c r="B47" s="3"/>
      <c r="C47" s="3"/>
      <c r="D47" s="273"/>
      <c r="E47" s="274"/>
      <c r="F47" s="274"/>
      <c r="G47" s="3"/>
      <c r="H47" s="3"/>
      <c r="I47" s="3"/>
      <c r="J47" s="3"/>
      <c r="K47" s="3"/>
      <c r="L47" s="3"/>
      <c r="M47" s="3"/>
      <c r="N47" s="3"/>
    </row>
    <row r="48" spans="2:14" x14ac:dyDescent="0.2">
      <c r="B48" s="3"/>
      <c r="C48" s="3"/>
      <c r="D48" s="3"/>
      <c r="E48" s="3"/>
      <c r="F48" s="3"/>
      <c r="G48" s="3"/>
      <c r="H48" s="3"/>
      <c r="I48" s="3"/>
      <c r="J48" s="3"/>
      <c r="K48" s="3"/>
      <c r="L48" s="3"/>
      <c r="M48" s="3"/>
      <c r="N48" s="3"/>
    </row>
    <row r="49" spans="2:14" x14ac:dyDescent="0.2">
      <c r="B49" s="3"/>
      <c r="C49" s="275"/>
      <c r="D49" s="3"/>
      <c r="E49" s="3"/>
      <c r="F49" s="3"/>
      <c r="G49" s="3"/>
      <c r="H49" s="3"/>
      <c r="I49" s="3"/>
      <c r="J49" s="3"/>
      <c r="K49" s="3"/>
      <c r="L49" s="3"/>
      <c r="M49" s="3"/>
      <c r="N49" s="3"/>
    </row>
    <row r="50" spans="2:14" x14ac:dyDescent="0.2">
      <c r="B50" s="3"/>
      <c r="C50" s="3"/>
      <c r="D50" s="3"/>
      <c r="E50" s="3"/>
      <c r="F50" s="3"/>
      <c r="G50" s="3"/>
      <c r="H50" s="3"/>
      <c r="I50" s="3"/>
      <c r="J50" s="3"/>
      <c r="K50" s="3"/>
      <c r="L50" s="3"/>
      <c r="M50" s="3"/>
      <c r="N50" s="3"/>
    </row>
    <row r="51" spans="2:14" x14ac:dyDescent="0.2">
      <c r="B51" s="3"/>
      <c r="C51" s="3"/>
      <c r="D51" s="3"/>
      <c r="E51" s="3"/>
      <c r="F51" s="3"/>
      <c r="G51" s="3"/>
      <c r="H51" s="3"/>
      <c r="I51" s="3"/>
      <c r="J51" s="3"/>
      <c r="K51" s="3"/>
      <c r="L51" s="3"/>
      <c r="M51" s="3"/>
      <c r="N51" s="3"/>
    </row>
    <row r="52" spans="2:14" x14ac:dyDescent="0.2">
      <c r="B52" s="3"/>
      <c r="C52" s="3"/>
      <c r="D52" s="3"/>
      <c r="E52" s="3"/>
      <c r="F52" s="3"/>
      <c r="G52" s="3"/>
      <c r="H52" s="3"/>
      <c r="I52" s="3"/>
      <c r="J52" s="3"/>
      <c r="K52" s="3"/>
      <c r="L52" s="3"/>
      <c r="M52" s="3"/>
      <c r="N52" s="3"/>
    </row>
    <row r="53" spans="2:14" x14ac:dyDescent="0.2">
      <c r="B53" s="3"/>
      <c r="C53" s="3"/>
      <c r="D53" s="3"/>
      <c r="E53" s="3"/>
      <c r="F53" s="3"/>
      <c r="G53" s="3"/>
      <c r="H53" s="3"/>
      <c r="I53" s="3"/>
      <c r="J53" s="3"/>
      <c r="K53" s="3"/>
      <c r="L53" s="3"/>
      <c r="M53" s="3"/>
      <c r="N53" s="3"/>
    </row>
  </sheetData>
  <pageMargins left="0.75" right="0.75" top="1" bottom="1" header="0.51180555555555496" footer="0.51180555555555496"/>
  <pageSetup paperSize="9" firstPageNumber="0" orientation="landscape" horizontalDpi="300" verticalDpi="300" r:id="rId1"/>
  <headerFooter>
    <oddHeader>&amp;L&amp;"Calibri"&amp;10&amp;K000000 Vertrouwelijk&amp;1#_x000D_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FDEB-F549-4C41-852E-A247325DF45B}">
  <dimension ref="A1:F37"/>
  <sheetViews>
    <sheetView workbookViewId="0">
      <selection activeCell="K9" sqref="K9"/>
    </sheetView>
  </sheetViews>
  <sheetFormatPr defaultRowHeight="12.75" x14ac:dyDescent="0.2"/>
  <cols>
    <col min="1" max="1" width="41.33203125" customWidth="1"/>
    <col min="2" max="2" width="80.33203125" bestFit="1" customWidth="1"/>
  </cols>
  <sheetData>
    <row r="1" spans="1:6" x14ac:dyDescent="0.2">
      <c r="A1" s="334" t="s">
        <v>411</v>
      </c>
      <c r="B1" s="3"/>
      <c r="C1" s="3"/>
      <c r="D1" s="3"/>
      <c r="E1" s="3"/>
      <c r="F1" s="3"/>
    </row>
    <row r="2" spans="1:6" x14ac:dyDescent="0.2">
      <c r="A2" s="334" t="s">
        <v>412</v>
      </c>
      <c r="B2" s="3"/>
      <c r="C2" s="3"/>
      <c r="D2" s="3"/>
      <c r="E2" s="3"/>
      <c r="F2" s="3"/>
    </row>
    <row r="3" spans="1:6" x14ac:dyDescent="0.2">
      <c r="A3" s="3"/>
      <c r="B3" s="3"/>
      <c r="C3" s="3"/>
      <c r="D3" s="3"/>
      <c r="E3" s="3"/>
      <c r="F3" s="3"/>
    </row>
    <row r="4" spans="1:6" x14ac:dyDescent="0.2">
      <c r="A4" s="600" t="s">
        <v>413</v>
      </c>
      <c r="B4" s="600" t="s">
        <v>414</v>
      </c>
      <c r="C4" s="600"/>
      <c r="D4" s="3"/>
      <c r="E4" s="3"/>
      <c r="F4" s="3"/>
    </row>
    <row r="5" spans="1:6" x14ac:dyDescent="0.2">
      <c r="A5" s="334"/>
      <c r="B5" s="3"/>
      <c r="C5" s="334"/>
      <c r="D5" s="3"/>
      <c r="E5" s="3"/>
      <c r="F5" s="3"/>
    </row>
    <row r="6" spans="1:6" x14ac:dyDescent="0.2">
      <c r="A6" s="600" t="s">
        <v>415</v>
      </c>
      <c r="B6" s="3"/>
      <c r="C6" s="334"/>
      <c r="D6" s="3"/>
      <c r="E6" s="3"/>
      <c r="F6" s="3"/>
    </row>
    <row r="7" spans="1:6" x14ac:dyDescent="0.2">
      <c r="A7" s="334">
        <v>13</v>
      </c>
      <c r="B7" s="334" t="s">
        <v>416</v>
      </c>
      <c r="C7" s="334"/>
      <c r="D7" s="3"/>
      <c r="E7" s="3"/>
      <c r="F7" s="3"/>
    </row>
    <row r="8" spans="1:6" x14ac:dyDescent="0.2">
      <c r="A8" s="334"/>
      <c r="B8" s="334" t="s">
        <v>417</v>
      </c>
      <c r="C8" s="632"/>
      <c r="D8" s="3"/>
      <c r="E8" s="3"/>
      <c r="F8" s="3"/>
    </row>
    <row r="9" spans="1:6" x14ac:dyDescent="0.2">
      <c r="A9" s="3"/>
      <c r="B9" s="334" t="s">
        <v>418</v>
      </c>
      <c r="C9" s="632"/>
      <c r="D9" s="3"/>
      <c r="E9" s="3"/>
      <c r="F9" s="3"/>
    </row>
    <row r="10" spans="1:6" x14ac:dyDescent="0.2">
      <c r="A10" s="3"/>
      <c r="B10" s="334" t="s">
        <v>419</v>
      </c>
      <c r="C10" s="633"/>
      <c r="D10" s="3"/>
      <c r="E10" s="3"/>
      <c r="F10" s="3"/>
    </row>
    <row r="11" spans="1:6" x14ac:dyDescent="0.2">
      <c r="A11" s="3"/>
      <c r="B11" s="334" t="s">
        <v>420</v>
      </c>
      <c r="C11" s="633"/>
      <c r="D11" s="3"/>
      <c r="E11" s="3"/>
      <c r="F11" s="3"/>
    </row>
    <row r="12" spans="1:6" x14ac:dyDescent="0.2">
      <c r="A12" s="334"/>
      <c r="B12" s="334"/>
      <c r="C12" s="634"/>
      <c r="D12" s="3"/>
      <c r="E12" s="3"/>
      <c r="F12" s="3"/>
    </row>
    <row r="13" spans="1:6" x14ac:dyDescent="0.2">
      <c r="A13" s="334"/>
      <c r="B13" s="334" t="s">
        <v>421</v>
      </c>
      <c r="C13" s="635"/>
      <c r="D13" s="3"/>
      <c r="E13" s="3"/>
      <c r="F13" s="3"/>
    </row>
    <row r="14" spans="1:6" x14ac:dyDescent="0.2">
      <c r="A14" s="3"/>
      <c r="B14" s="334"/>
      <c r="C14" s="334"/>
      <c r="D14" s="3"/>
      <c r="E14" s="3"/>
      <c r="F14" s="3"/>
    </row>
    <row r="15" spans="1:6" x14ac:dyDescent="0.2">
      <c r="A15" s="3"/>
      <c r="B15" s="334"/>
      <c r="C15" s="334"/>
      <c r="D15" s="3"/>
      <c r="E15" s="3"/>
      <c r="F15" s="3"/>
    </row>
    <row r="16" spans="1:6" x14ac:dyDescent="0.2">
      <c r="A16" s="600" t="s">
        <v>422</v>
      </c>
      <c r="B16" s="334"/>
      <c r="C16" s="334"/>
      <c r="D16" s="3"/>
      <c r="E16" s="3"/>
      <c r="F16" s="3"/>
    </row>
    <row r="17" spans="1:6" x14ac:dyDescent="0.2">
      <c r="A17" s="3"/>
      <c r="B17" s="334"/>
      <c r="C17" s="334"/>
      <c r="D17" s="3"/>
      <c r="E17" s="3"/>
      <c r="F17" s="3"/>
    </row>
    <row r="18" spans="1:6" x14ac:dyDescent="0.2">
      <c r="A18" s="3"/>
      <c r="B18" s="334"/>
      <c r="C18" s="334"/>
      <c r="D18" s="3"/>
      <c r="E18" s="3"/>
      <c r="F18" s="3"/>
    </row>
    <row r="19" spans="1:6" x14ac:dyDescent="0.2">
      <c r="A19" s="600" t="s">
        <v>423</v>
      </c>
      <c r="B19" s="334"/>
      <c r="C19" s="334"/>
      <c r="D19" s="3"/>
      <c r="E19" s="3"/>
      <c r="F19" s="3"/>
    </row>
    <row r="20" spans="1:6" x14ac:dyDescent="0.2">
      <c r="A20" s="3">
        <v>23</v>
      </c>
      <c r="B20" s="334" t="s">
        <v>424</v>
      </c>
      <c r="C20" s="334"/>
      <c r="D20" s="3"/>
      <c r="E20" s="3"/>
      <c r="F20" s="3"/>
    </row>
    <row r="21" spans="1:6" x14ac:dyDescent="0.2">
      <c r="A21" s="3">
        <v>26</v>
      </c>
      <c r="B21" s="334" t="s">
        <v>424</v>
      </c>
      <c r="C21" s="334"/>
      <c r="D21" s="3"/>
      <c r="E21" s="3"/>
      <c r="F21" s="3"/>
    </row>
    <row r="22" spans="1:6" x14ac:dyDescent="0.2">
      <c r="A22" s="3">
        <v>30</v>
      </c>
      <c r="B22" s="334" t="s">
        <v>424</v>
      </c>
      <c r="C22" s="334"/>
      <c r="D22" s="3"/>
      <c r="E22" s="3"/>
      <c r="F22" s="3"/>
    </row>
    <row r="23" spans="1:6" x14ac:dyDescent="0.2">
      <c r="A23" s="3"/>
      <c r="B23" s="3"/>
      <c r="C23" s="334"/>
      <c r="D23" s="3"/>
      <c r="E23" s="3"/>
      <c r="F23" s="3"/>
    </row>
    <row r="24" spans="1:6" x14ac:dyDescent="0.2">
      <c r="A24" s="3"/>
      <c r="B24" s="334" t="s">
        <v>421</v>
      </c>
      <c r="C24" s="614"/>
      <c r="D24" s="3"/>
      <c r="E24" s="3"/>
      <c r="F24" s="3"/>
    </row>
    <row r="25" spans="1:6" x14ac:dyDescent="0.2">
      <c r="A25" s="3"/>
      <c r="B25" s="334"/>
      <c r="C25" s="334"/>
      <c r="D25" s="3"/>
      <c r="E25" s="3"/>
      <c r="F25" s="3"/>
    </row>
    <row r="26" spans="1:6" x14ac:dyDescent="0.2">
      <c r="A26" s="600" t="s">
        <v>48</v>
      </c>
      <c r="B26" s="3"/>
      <c r="C26" s="600"/>
      <c r="D26" s="3"/>
      <c r="E26" s="3"/>
      <c r="F26" s="3"/>
    </row>
    <row r="27" spans="1:6" x14ac:dyDescent="0.2">
      <c r="A27" s="3">
        <v>35</v>
      </c>
      <c r="B27" s="334"/>
      <c r="C27" s="334"/>
      <c r="D27" s="3"/>
      <c r="E27" s="3"/>
      <c r="F27" s="3"/>
    </row>
    <row r="28" spans="1:6" x14ac:dyDescent="0.2">
      <c r="A28" s="3"/>
      <c r="B28" s="334" t="s">
        <v>425</v>
      </c>
      <c r="C28" s="334"/>
      <c r="D28" s="3"/>
      <c r="E28" s="3"/>
      <c r="F28" s="3"/>
    </row>
    <row r="29" spans="1:6" x14ac:dyDescent="0.2">
      <c r="A29" s="334">
        <v>39</v>
      </c>
      <c r="B29" s="334"/>
      <c r="C29" s="334"/>
      <c r="D29" s="3"/>
      <c r="E29" s="3"/>
      <c r="F29" s="3"/>
    </row>
    <row r="30" spans="1:6" x14ac:dyDescent="0.2">
      <c r="A30" s="334">
        <v>43</v>
      </c>
      <c r="B30" s="334" t="s">
        <v>426</v>
      </c>
      <c r="C30" s="334"/>
      <c r="D30" s="3"/>
      <c r="E30" s="3"/>
      <c r="F30" s="3"/>
    </row>
    <row r="31" spans="1:6" x14ac:dyDescent="0.2">
      <c r="A31" s="334"/>
      <c r="B31" s="636" t="s">
        <v>74</v>
      </c>
      <c r="C31" s="334"/>
      <c r="D31" s="3"/>
      <c r="E31" s="3"/>
      <c r="F31" s="3"/>
    </row>
    <row r="32" spans="1:6" x14ac:dyDescent="0.2">
      <c r="A32" s="3"/>
      <c r="B32" s="3"/>
      <c r="C32" s="3"/>
      <c r="D32" s="3"/>
      <c r="E32" s="3"/>
      <c r="F32" s="3"/>
    </row>
    <row r="33" spans="1:6" x14ac:dyDescent="0.2">
      <c r="A33" s="334"/>
      <c r="B33" s="3"/>
      <c r="C33" s="334"/>
      <c r="D33" s="3"/>
      <c r="E33" s="3"/>
      <c r="F33" s="3"/>
    </row>
    <row r="34" spans="1:6" x14ac:dyDescent="0.2">
      <c r="A34" s="3"/>
      <c r="B34" s="3"/>
      <c r="C34" s="334"/>
      <c r="D34" s="3"/>
      <c r="E34" s="3"/>
      <c r="F34" s="3"/>
    </row>
    <row r="35" spans="1:6" x14ac:dyDescent="0.2">
      <c r="A35" s="3"/>
      <c r="B35" s="3"/>
      <c r="C35" s="334"/>
      <c r="D35" s="3"/>
      <c r="E35" s="3"/>
      <c r="F35" s="3"/>
    </row>
    <row r="36" spans="1:6" x14ac:dyDescent="0.2">
      <c r="A36" s="3"/>
      <c r="B36" s="3"/>
      <c r="C36" s="334"/>
      <c r="D36" s="3"/>
      <c r="E36" s="3"/>
      <c r="F36" s="3"/>
    </row>
    <row r="37" spans="1:6" x14ac:dyDescent="0.2">
      <c r="A37" s="600" t="s">
        <v>427</v>
      </c>
      <c r="B37" s="3"/>
      <c r="C37" s="3"/>
      <c r="D37" s="3"/>
      <c r="E37" s="3"/>
      <c r="F37" s="3"/>
    </row>
  </sheetData>
  <hyperlinks>
    <hyperlink ref="B31" r:id="rId1" xr:uid="{66DECE19-B962-4CCA-8798-3DAA16540FA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76D89-DD74-4BBE-9A27-58E428B14211}">
  <dimension ref="A1:V119"/>
  <sheetViews>
    <sheetView topLeftCell="A10" workbookViewId="0">
      <selection activeCell="A21" sqref="A21:B119"/>
    </sheetView>
  </sheetViews>
  <sheetFormatPr defaultColWidth="9.33203125" defaultRowHeight="12.75" x14ac:dyDescent="0.2"/>
  <cols>
    <col min="1" max="1" width="11.83203125" style="3" customWidth="1"/>
    <col min="2" max="2" width="155.83203125" style="3" customWidth="1"/>
    <col min="3" max="3" width="92.5" style="3" customWidth="1"/>
    <col min="4" max="4" width="3.6640625" style="3" hidden="1" customWidth="1"/>
    <col min="5" max="5" width="9.6640625" style="3" hidden="1" customWidth="1"/>
    <col min="6" max="6" width="8.6640625" style="3" hidden="1" customWidth="1"/>
    <col min="7" max="7" width="64.83203125" style="3" customWidth="1"/>
    <col min="8" max="8" width="74.33203125" style="3" customWidth="1"/>
    <col min="9" max="9" width="64.33203125" style="3" customWidth="1"/>
    <col min="10" max="10" width="16.1640625" style="3" customWidth="1"/>
    <col min="11" max="12" width="15.83203125" style="3" customWidth="1"/>
    <col min="13" max="13" width="16.33203125" style="3" customWidth="1"/>
    <col min="14" max="19" width="8.6640625" style="3" customWidth="1"/>
    <col min="20" max="20" width="13.1640625" style="3" customWidth="1"/>
    <col min="21" max="21" width="11.6640625" style="3" customWidth="1"/>
    <col min="22" max="1025" width="8.6640625" style="3" customWidth="1"/>
    <col min="1026" max="16384" width="9.33203125" style="3"/>
  </cols>
  <sheetData>
    <row r="1" spans="1:22" x14ac:dyDescent="0.2">
      <c r="A1" s="550"/>
      <c r="B1" s="203"/>
      <c r="C1" s="203"/>
      <c r="D1" s="203"/>
      <c r="E1" s="203"/>
      <c r="F1" s="203"/>
      <c r="G1" s="203"/>
      <c r="H1" s="203"/>
      <c r="I1" s="203"/>
      <c r="J1" s="203"/>
      <c r="K1" s="203"/>
      <c r="L1" s="203"/>
      <c r="M1" s="203"/>
      <c r="N1" s="203"/>
    </row>
    <row r="2" spans="1:22" ht="18.75" x14ac:dyDescent="0.3">
      <c r="A2" s="201" t="s">
        <v>115</v>
      </c>
      <c r="B2" s="203"/>
      <c r="C2" s="203"/>
      <c r="D2" s="203"/>
      <c r="E2" s="203"/>
      <c r="F2" s="203"/>
      <c r="G2" s="203"/>
      <c r="H2" s="203"/>
      <c r="I2" s="203"/>
      <c r="J2" s="203"/>
      <c r="K2" s="203"/>
      <c r="L2" s="203"/>
      <c r="M2" s="203"/>
      <c r="N2" s="203"/>
    </row>
    <row r="3" spans="1:22" ht="15.75" x14ac:dyDescent="0.25">
      <c r="A3" s="202"/>
      <c r="B3" s="203"/>
      <c r="C3" s="203"/>
      <c r="D3" s="203"/>
      <c r="E3" s="203"/>
      <c r="F3" s="203"/>
      <c r="G3" s="203"/>
      <c r="H3" s="203"/>
      <c r="I3" s="203"/>
      <c r="J3" s="203"/>
      <c r="K3" s="203"/>
      <c r="L3" s="203"/>
      <c r="M3" s="203"/>
      <c r="N3" s="203"/>
    </row>
    <row r="4" spans="1:22" ht="15.75" x14ac:dyDescent="0.25">
      <c r="A4" s="584" t="s">
        <v>382</v>
      </c>
      <c r="B4" s="203"/>
      <c r="D4" s="203"/>
      <c r="E4" s="203"/>
      <c r="F4" s="203"/>
      <c r="G4" s="203"/>
      <c r="H4" s="203"/>
      <c r="I4" s="203"/>
      <c r="J4" s="203"/>
      <c r="K4" s="203"/>
      <c r="L4" s="203"/>
      <c r="M4" s="203"/>
      <c r="N4" s="203"/>
      <c r="T4" s="101"/>
      <c r="U4" s="101"/>
      <c r="V4" s="101"/>
    </row>
    <row r="5" spans="1:22" ht="15.75" x14ac:dyDescent="0.25">
      <c r="A5" s="584" t="s">
        <v>383</v>
      </c>
      <c r="B5" s="203"/>
      <c r="C5" s="203"/>
      <c r="D5" s="203"/>
      <c r="E5" s="203"/>
      <c r="F5" s="203"/>
      <c r="G5" s="203"/>
      <c r="H5" s="203"/>
      <c r="I5" s="203"/>
      <c r="J5" s="203"/>
      <c r="K5" s="203"/>
      <c r="L5" s="203"/>
      <c r="M5" s="203"/>
      <c r="N5" s="203"/>
    </row>
    <row r="6" spans="1:22" ht="15.75" x14ac:dyDescent="0.25">
      <c r="A6" s="584" t="s">
        <v>116</v>
      </c>
      <c r="B6" s="203"/>
      <c r="C6" s="203"/>
      <c r="D6" s="203"/>
      <c r="E6" s="203"/>
      <c r="F6" s="203"/>
      <c r="G6" s="203"/>
      <c r="H6" s="203"/>
      <c r="I6" s="203"/>
      <c r="J6" s="203"/>
      <c r="K6" s="203"/>
      <c r="L6" s="203"/>
      <c r="M6" s="203"/>
      <c r="N6" s="203"/>
      <c r="T6" s="485"/>
      <c r="U6" s="485"/>
      <c r="V6" s="405"/>
    </row>
    <row r="7" spans="1:22" ht="15.75" x14ac:dyDescent="0.25">
      <c r="A7" s="584" t="s">
        <v>117</v>
      </c>
      <c r="B7" s="203"/>
      <c r="C7" s="551"/>
      <c r="D7" s="203"/>
      <c r="E7" s="203"/>
      <c r="F7" s="203"/>
      <c r="G7" s="203"/>
      <c r="H7" s="203"/>
      <c r="I7" s="203"/>
      <c r="J7" s="203"/>
      <c r="K7" s="203"/>
      <c r="L7" s="203"/>
      <c r="M7" s="203"/>
      <c r="N7" s="203"/>
      <c r="T7" s="485"/>
      <c r="U7" s="485"/>
    </row>
    <row r="8" spans="1:22" ht="15.75" x14ac:dyDescent="0.25">
      <c r="A8" s="202"/>
      <c r="B8" s="203"/>
      <c r="C8" s="203"/>
      <c r="D8" s="203"/>
      <c r="E8" s="203"/>
      <c r="F8" s="203"/>
      <c r="G8" s="203"/>
      <c r="H8" s="203"/>
      <c r="I8" s="203"/>
      <c r="J8" s="203"/>
      <c r="K8" s="203"/>
      <c r="L8" s="203"/>
      <c r="M8" s="203"/>
      <c r="N8" s="203"/>
      <c r="T8" s="485"/>
      <c r="U8" s="485"/>
    </row>
    <row r="9" spans="1:22" ht="15.75" x14ac:dyDescent="0.25">
      <c r="A9" s="202"/>
      <c r="B9" s="203"/>
      <c r="C9" s="203"/>
      <c r="D9" s="203"/>
      <c r="E9" s="203"/>
      <c r="F9" s="203"/>
      <c r="G9" s="203"/>
      <c r="H9" s="203"/>
      <c r="I9" s="203"/>
      <c r="J9" s="203"/>
      <c r="K9" s="203"/>
      <c r="L9" s="203"/>
      <c r="M9" s="203"/>
      <c r="N9" s="203"/>
      <c r="T9" s="485"/>
      <c r="U9" s="485"/>
    </row>
    <row r="10" spans="1:22" x14ac:dyDescent="0.2">
      <c r="A10" s="552" t="s">
        <v>384</v>
      </c>
      <c r="B10" s="203"/>
      <c r="C10" s="203"/>
      <c r="D10" s="203"/>
      <c r="E10" s="203"/>
      <c r="F10" s="203"/>
      <c r="G10" s="203"/>
      <c r="H10" s="203"/>
      <c r="I10" s="203"/>
      <c r="J10" s="203"/>
      <c r="K10" s="203"/>
      <c r="L10" s="203"/>
      <c r="M10" s="203"/>
      <c r="N10" s="203"/>
      <c r="T10" s="485"/>
      <c r="U10" s="485"/>
    </row>
    <row r="11" spans="1:22" x14ac:dyDescent="0.2">
      <c r="A11" s="552" t="s">
        <v>385</v>
      </c>
      <c r="B11" s="203"/>
      <c r="C11" s="203"/>
      <c r="D11" s="203"/>
      <c r="E11" s="203"/>
      <c r="F11" s="203"/>
      <c r="G11" s="203"/>
      <c r="H11" s="203"/>
      <c r="I11" s="203"/>
      <c r="J11" s="203"/>
      <c r="K11" s="203"/>
      <c r="L11" s="203"/>
      <c r="M11" s="203"/>
      <c r="N11" s="203"/>
    </row>
    <row r="12" spans="1:22" x14ac:dyDescent="0.2">
      <c r="A12" s="552" t="s">
        <v>118</v>
      </c>
      <c r="B12" s="203"/>
      <c r="C12" s="585"/>
      <c r="D12" s="203"/>
      <c r="E12" s="203"/>
      <c r="F12" s="203"/>
      <c r="G12" s="203"/>
      <c r="H12" s="203"/>
      <c r="I12" s="203"/>
      <c r="J12" s="203"/>
      <c r="K12" s="203"/>
      <c r="L12" s="203"/>
      <c r="M12" s="203"/>
      <c r="N12" s="203"/>
    </row>
    <row r="13" spans="1:22" x14ac:dyDescent="0.2">
      <c r="A13" s="552"/>
      <c r="B13" s="203"/>
      <c r="C13" s="203"/>
      <c r="D13" s="203"/>
      <c r="E13" s="203"/>
      <c r="F13" s="203"/>
      <c r="G13" s="203"/>
      <c r="H13" s="203"/>
      <c r="I13" s="203"/>
      <c r="J13" s="203"/>
      <c r="K13" s="203"/>
      <c r="L13" s="203"/>
      <c r="M13" s="203"/>
      <c r="N13" s="203"/>
    </row>
    <row r="14" spans="1:22" x14ac:dyDescent="0.2">
      <c r="A14" s="203"/>
      <c r="B14" s="203"/>
      <c r="C14" s="203"/>
      <c r="D14" s="203"/>
      <c r="E14" s="203"/>
      <c r="F14" s="203"/>
      <c r="G14" s="203"/>
      <c r="H14" s="203"/>
      <c r="I14" s="203"/>
      <c r="J14" s="203"/>
      <c r="K14" s="203"/>
      <c r="L14" s="203"/>
      <c r="M14" s="203"/>
      <c r="N14" s="203"/>
    </row>
    <row r="15" spans="1:22" x14ac:dyDescent="0.2">
      <c r="A15" s="203" t="s">
        <v>119</v>
      </c>
      <c r="B15" s="203"/>
      <c r="C15" s="203"/>
      <c r="D15" s="203"/>
      <c r="E15" s="203"/>
      <c r="F15" s="203"/>
      <c r="G15" s="203"/>
      <c r="H15" s="203"/>
      <c r="I15" s="203"/>
      <c r="J15" s="203"/>
      <c r="K15" s="203"/>
      <c r="L15" s="203"/>
      <c r="M15" s="203"/>
      <c r="N15" s="203"/>
    </row>
    <row r="16" spans="1:22" x14ac:dyDescent="0.2">
      <c r="A16" s="203"/>
      <c r="B16" s="203"/>
      <c r="C16" s="203"/>
      <c r="D16" s="203"/>
      <c r="E16" s="203"/>
      <c r="F16" s="203"/>
      <c r="G16" s="203"/>
      <c r="H16" s="203"/>
      <c r="I16" s="203"/>
      <c r="J16" s="203"/>
      <c r="K16" s="203"/>
      <c r="L16" s="203"/>
      <c r="M16" s="203"/>
      <c r="N16" s="203"/>
    </row>
    <row r="17" spans="1:14" x14ac:dyDescent="0.2">
      <c r="A17" s="203"/>
      <c r="B17" s="203"/>
      <c r="C17" s="203"/>
      <c r="D17" s="203"/>
      <c r="E17" s="203"/>
      <c r="F17" s="203"/>
      <c r="G17" s="203"/>
      <c r="H17" s="203"/>
      <c r="I17" s="203"/>
      <c r="J17" s="203"/>
      <c r="K17" s="203"/>
      <c r="L17" s="203"/>
      <c r="M17" s="203"/>
      <c r="N17" s="203"/>
    </row>
    <row r="18" spans="1:14" x14ac:dyDescent="0.2">
      <c r="A18" s="101" t="s">
        <v>120</v>
      </c>
      <c r="C18" s="203"/>
      <c r="D18" s="203"/>
      <c r="E18" s="203"/>
      <c r="F18" s="203"/>
      <c r="G18" s="203"/>
      <c r="H18" s="203"/>
      <c r="I18" s="203"/>
      <c r="J18" s="203"/>
      <c r="K18" s="203"/>
      <c r="L18" s="203"/>
      <c r="M18" s="203"/>
      <c r="N18" s="203"/>
    </row>
    <row r="19" spans="1:14" ht="15.75" x14ac:dyDescent="0.2">
      <c r="B19" s="586" t="s">
        <v>121</v>
      </c>
      <c r="C19" s="210"/>
      <c r="D19" s="210"/>
      <c r="E19" s="210"/>
      <c r="F19" s="203"/>
      <c r="G19" s="203"/>
      <c r="H19" s="203"/>
      <c r="I19" s="203"/>
      <c r="J19" s="203"/>
      <c r="K19" s="203"/>
      <c r="L19" s="203"/>
      <c r="M19" s="203"/>
      <c r="N19" s="203"/>
    </row>
    <row r="20" spans="1:14" ht="15.75" x14ac:dyDescent="0.2">
      <c r="B20" s="204"/>
      <c r="C20" s="210"/>
      <c r="D20" s="210"/>
      <c r="E20" s="210"/>
      <c r="F20" s="203"/>
      <c r="G20" s="203"/>
      <c r="H20" s="203"/>
      <c r="I20" s="203"/>
      <c r="J20" s="203"/>
      <c r="K20" s="203"/>
      <c r="L20" s="203"/>
      <c r="M20" s="203"/>
      <c r="N20" s="203"/>
    </row>
    <row r="21" spans="1:14" x14ac:dyDescent="0.2">
      <c r="A21" s="205" t="s">
        <v>122</v>
      </c>
      <c r="B21" s="556" t="s">
        <v>346</v>
      </c>
      <c r="C21" s="553"/>
      <c r="D21" s="210"/>
      <c r="E21" s="210"/>
      <c r="F21" s="210"/>
      <c r="G21" s="210"/>
      <c r="H21" s="210"/>
      <c r="I21" s="210"/>
      <c r="J21" s="210"/>
      <c r="K21" s="203"/>
      <c r="L21" s="203"/>
      <c r="M21" s="203"/>
      <c r="N21" s="203"/>
    </row>
    <row r="22" spans="1:14" x14ac:dyDescent="0.2">
      <c r="A22" s="206">
        <v>1</v>
      </c>
      <c r="B22" s="210" t="s">
        <v>123</v>
      </c>
      <c r="C22" s="210"/>
      <c r="D22" s="210"/>
      <c r="E22" s="210"/>
      <c r="F22" s="210"/>
      <c r="G22" s="210"/>
      <c r="H22" s="210"/>
      <c r="I22" s="210"/>
      <c r="J22" s="210"/>
      <c r="K22" s="203"/>
      <c r="L22" s="203"/>
      <c r="M22" s="203"/>
      <c r="N22" s="203"/>
    </row>
    <row r="23" spans="1:14" x14ac:dyDescent="0.2">
      <c r="A23" s="206">
        <v>2</v>
      </c>
      <c r="B23" s="556" t="s">
        <v>386</v>
      </c>
      <c r="C23" s="210"/>
      <c r="D23" s="210"/>
      <c r="E23" s="210"/>
      <c r="F23" s="210"/>
      <c r="G23" s="210"/>
      <c r="H23" s="210"/>
      <c r="I23" s="210"/>
      <c r="J23" s="210"/>
      <c r="K23" s="203"/>
      <c r="L23" s="203"/>
      <c r="M23" s="203"/>
      <c r="N23" s="203"/>
    </row>
    <row r="24" spans="1:14" x14ac:dyDescent="0.2">
      <c r="A24" s="206">
        <v>5</v>
      </c>
      <c r="B24" s="210" t="s">
        <v>387</v>
      </c>
      <c r="C24" s="554"/>
      <c r="D24" s="210"/>
      <c r="E24" s="210"/>
      <c r="F24" s="210"/>
      <c r="G24" s="210"/>
      <c r="H24" s="210"/>
      <c r="I24" s="210"/>
      <c r="J24" s="210"/>
      <c r="K24" s="203"/>
      <c r="L24" s="203"/>
      <c r="M24" s="203"/>
      <c r="N24" s="203"/>
    </row>
    <row r="25" spans="1:14" x14ac:dyDescent="0.2">
      <c r="A25" s="206" t="s">
        <v>124</v>
      </c>
      <c r="B25" s="210" t="s">
        <v>388</v>
      </c>
      <c r="C25" s="554"/>
      <c r="D25" s="210"/>
      <c r="E25" s="210"/>
      <c r="F25" s="210"/>
      <c r="G25" s="210"/>
      <c r="H25" s="210"/>
      <c r="I25" s="210"/>
      <c r="J25" s="210"/>
      <c r="K25" s="203"/>
      <c r="L25" s="203"/>
      <c r="M25" s="203"/>
      <c r="N25" s="203"/>
    </row>
    <row r="26" spans="1:14" x14ac:dyDescent="0.2">
      <c r="A26" s="206">
        <v>7</v>
      </c>
      <c r="B26" s="556" t="s">
        <v>389</v>
      </c>
      <c r="C26" s="210"/>
      <c r="D26" s="210"/>
      <c r="E26" s="210"/>
      <c r="F26" s="210"/>
      <c r="G26" s="560"/>
      <c r="H26" s="210"/>
      <c r="I26" s="210"/>
      <c r="J26" s="210"/>
      <c r="K26" s="203"/>
      <c r="L26" s="203"/>
      <c r="M26" s="203"/>
      <c r="N26" s="203"/>
    </row>
    <row r="27" spans="1:14" x14ac:dyDescent="0.2">
      <c r="A27" s="206" t="s">
        <v>18</v>
      </c>
      <c r="B27" s="556" t="s">
        <v>390</v>
      </c>
      <c r="C27" s="210"/>
      <c r="D27" s="210"/>
      <c r="E27" s="210"/>
      <c r="F27" s="210"/>
      <c r="G27" s="560"/>
      <c r="H27" s="210"/>
      <c r="I27" s="210"/>
      <c r="J27" s="210"/>
      <c r="K27" s="203"/>
      <c r="L27" s="203"/>
      <c r="M27" s="203"/>
      <c r="N27" s="203"/>
    </row>
    <row r="28" spans="1:14" x14ac:dyDescent="0.2">
      <c r="A28" s="555">
        <v>8</v>
      </c>
      <c r="B28" s="556" t="s">
        <v>471</v>
      </c>
      <c r="C28" s="210"/>
      <c r="D28" s="210"/>
      <c r="E28" s="210"/>
      <c r="F28" s="210"/>
      <c r="G28" s="560"/>
      <c r="H28" s="210"/>
      <c r="I28" s="210"/>
      <c r="J28" s="210"/>
      <c r="K28" s="203"/>
      <c r="L28" s="203"/>
      <c r="M28" s="203"/>
      <c r="N28" s="203"/>
    </row>
    <row r="29" spans="1:14" x14ac:dyDescent="0.2">
      <c r="A29" s="555" t="s">
        <v>20</v>
      </c>
      <c r="B29" s="556" t="s">
        <v>472</v>
      </c>
      <c r="C29" s="210"/>
      <c r="D29" s="210"/>
      <c r="E29" s="210"/>
      <c r="F29" s="210"/>
      <c r="G29" s="560"/>
      <c r="H29" s="210"/>
      <c r="I29" s="210"/>
      <c r="J29" s="210"/>
      <c r="K29" s="203"/>
      <c r="L29" s="203"/>
      <c r="M29" s="203"/>
      <c r="N29" s="203"/>
    </row>
    <row r="30" spans="1:14" x14ac:dyDescent="0.2">
      <c r="A30" s="206">
        <v>9</v>
      </c>
      <c r="B30" s="210" t="s">
        <v>125</v>
      </c>
      <c r="C30" s="210"/>
      <c r="D30" s="210"/>
      <c r="E30" s="210"/>
      <c r="F30" s="210"/>
      <c r="G30" s="210"/>
      <c r="H30" s="210"/>
      <c r="I30" s="210"/>
      <c r="J30" s="210"/>
      <c r="K30" s="203"/>
      <c r="L30" s="203"/>
      <c r="M30" s="203"/>
      <c r="N30" s="203"/>
    </row>
    <row r="31" spans="1:14" x14ac:dyDescent="0.2">
      <c r="A31" s="206">
        <v>10</v>
      </c>
      <c r="B31" s="210" t="s">
        <v>126</v>
      </c>
      <c r="C31" s="210"/>
      <c r="D31" s="210"/>
      <c r="E31" s="210"/>
      <c r="F31" s="210"/>
      <c r="G31" s="210"/>
      <c r="H31" s="210"/>
      <c r="I31" s="210"/>
      <c r="J31" s="210"/>
      <c r="K31" s="203"/>
      <c r="L31" s="203"/>
      <c r="M31" s="203"/>
      <c r="N31" s="203"/>
    </row>
    <row r="32" spans="1:14" x14ac:dyDescent="0.2">
      <c r="A32" s="206">
        <v>11</v>
      </c>
      <c r="B32" s="210" t="s">
        <v>127</v>
      </c>
      <c r="C32" s="210"/>
      <c r="D32" s="210"/>
      <c r="E32" s="210"/>
      <c r="F32" s="210"/>
      <c r="G32" s="210"/>
      <c r="H32" s="210"/>
      <c r="I32" s="210"/>
      <c r="J32" s="210"/>
      <c r="K32" s="203"/>
      <c r="L32" s="203"/>
      <c r="M32" s="203"/>
      <c r="N32" s="203"/>
    </row>
    <row r="33" spans="1:14" x14ac:dyDescent="0.2">
      <c r="A33" s="555">
        <v>12</v>
      </c>
      <c r="B33" s="210" t="s">
        <v>410</v>
      </c>
      <c r="C33" s="560"/>
      <c r="D33" s="210"/>
      <c r="E33" s="210"/>
      <c r="F33" s="210"/>
      <c r="G33" s="560"/>
      <c r="H33" s="210"/>
      <c r="I33" s="210"/>
      <c r="J33" s="210"/>
      <c r="K33" s="203"/>
      <c r="L33" s="203"/>
      <c r="M33" s="203"/>
      <c r="N33" s="203"/>
    </row>
    <row r="34" spans="1:14" s="110" customFormat="1" ht="16.5" customHeight="1" x14ac:dyDescent="0.2">
      <c r="A34" s="206">
        <v>13</v>
      </c>
      <c r="B34" s="210" t="s">
        <v>128</v>
      </c>
      <c r="C34" s="210"/>
      <c r="D34" s="210"/>
      <c r="E34" s="210"/>
      <c r="F34" s="210"/>
      <c r="G34" s="210"/>
      <c r="H34" s="210"/>
      <c r="I34" s="210"/>
      <c r="J34" s="210"/>
      <c r="K34" s="203"/>
      <c r="L34" s="203"/>
      <c r="M34" s="203"/>
      <c r="N34" s="203"/>
    </row>
    <row r="35" spans="1:14" ht="79.5" customHeight="1" x14ac:dyDescent="0.2">
      <c r="A35" s="206">
        <v>14</v>
      </c>
      <c r="B35" s="210" t="s">
        <v>129</v>
      </c>
      <c r="C35" s="210"/>
      <c r="D35" s="210"/>
      <c r="E35" s="210"/>
      <c r="F35" s="210"/>
      <c r="G35" s="210"/>
      <c r="H35" s="210"/>
      <c r="I35" s="210"/>
      <c r="J35" s="210"/>
      <c r="K35" s="203"/>
      <c r="L35" s="203"/>
      <c r="M35" s="203"/>
      <c r="N35" s="203"/>
    </row>
    <row r="36" spans="1:14" ht="106.5" customHeight="1" x14ac:dyDescent="0.2">
      <c r="A36" s="206">
        <v>15</v>
      </c>
      <c r="B36" s="210" t="s">
        <v>391</v>
      </c>
      <c r="C36" s="553"/>
      <c r="D36" s="210"/>
      <c r="E36" s="210"/>
      <c r="F36" s="210"/>
      <c r="G36" s="210"/>
      <c r="H36" s="210"/>
      <c r="I36" s="210"/>
      <c r="J36" s="210"/>
      <c r="K36" s="203"/>
      <c r="L36" s="203"/>
      <c r="M36" s="203"/>
      <c r="N36" s="203"/>
    </row>
    <row r="37" spans="1:14" x14ac:dyDescent="0.2">
      <c r="A37" s="562" t="s">
        <v>428</v>
      </c>
      <c r="B37" s="203" t="s">
        <v>130</v>
      </c>
      <c r="C37" s="203"/>
      <c r="D37" s="203"/>
      <c r="E37" s="203"/>
      <c r="F37" s="110"/>
      <c r="G37" s="110"/>
      <c r="H37" s="110"/>
      <c r="I37" s="203"/>
      <c r="J37" s="203"/>
      <c r="K37" s="203"/>
      <c r="L37" s="203"/>
      <c r="M37" s="203"/>
      <c r="N37" s="203"/>
    </row>
    <row r="38" spans="1:14" x14ac:dyDescent="0.2">
      <c r="A38" s="207">
        <v>16</v>
      </c>
      <c r="B38" s="203" t="s">
        <v>131</v>
      </c>
      <c r="C38" s="557"/>
      <c r="D38" s="203"/>
      <c r="E38" s="110"/>
      <c r="F38" s="110"/>
      <c r="G38" s="110"/>
      <c r="H38" s="110"/>
      <c r="J38" s="203"/>
      <c r="K38" s="203"/>
      <c r="L38" s="203"/>
      <c r="M38" s="203"/>
      <c r="N38" s="203"/>
    </row>
    <row r="39" spans="1:14" x14ac:dyDescent="0.2">
      <c r="A39" s="207">
        <v>17</v>
      </c>
      <c r="B39" s="203" t="s">
        <v>132</v>
      </c>
      <c r="C39" s="557"/>
      <c r="D39" s="203"/>
      <c r="E39" s="110"/>
      <c r="F39" s="110"/>
      <c r="G39" s="110"/>
      <c r="H39" s="110"/>
      <c r="J39" s="203"/>
      <c r="K39" s="203"/>
      <c r="L39" s="203"/>
      <c r="M39" s="203"/>
      <c r="N39" s="203"/>
    </row>
    <row r="40" spans="1:14" x14ac:dyDescent="0.2">
      <c r="A40" s="207">
        <v>18</v>
      </c>
      <c r="B40" s="203" t="s">
        <v>132</v>
      </c>
      <c r="C40" s="557"/>
      <c r="D40" s="203"/>
      <c r="E40" s="110"/>
      <c r="F40" s="558"/>
      <c r="G40" s="203"/>
      <c r="H40" s="110"/>
      <c r="J40" s="203"/>
      <c r="K40" s="203"/>
      <c r="L40" s="203"/>
      <c r="M40" s="203"/>
      <c r="N40" s="203"/>
    </row>
    <row r="41" spans="1:14" x14ac:dyDescent="0.2">
      <c r="A41" s="207">
        <v>19</v>
      </c>
      <c r="B41" s="210" t="s">
        <v>133</v>
      </c>
      <c r="J41" s="203"/>
      <c r="K41" s="203"/>
      <c r="L41" s="203"/>
      <c r="M41" s="203"/>
      <c r="N41" s="203"/>
    </row>
    <row r="42" spans="1:14" ht="14.25" customHeight="1" x14ac:dyDescent="0.2">
      <c r="A42" s="207">
        <v>20</v>
      </c>
      <c r="B42" s="210" t="s">
        <v>134</v>
      </c>
      <c r="C42" s="203"/>
      <c r="D42" s="203"/>
      <c r="E42" s="203"/>
      <c r="F42" s="203"/>
      <c r="G42" s="203"/>
      <c r="H42" s="203"/>
      <c r="I42" s="203"/>
      <c r="J42" s="203"/>
      <c r="K42" s="203"/>
      <c r="L42" s="203"/>
      <c r="M42" s="203"/>
      <c r="N42" s="203"/>
    </row>
    <row r="43" spans="1:14" ht="14.25" customHeight="1" x14ac:dyDescent="0.2">
      <c r="A43" s="207">
        <v>21</v>
      </c>
      <c r="B43" s="210" t="s">
        <v>135</v>
      </c>
      <c r="D43" s="203"/>
      <c r="E43" s="203"/>
      <c r="F43" s="203"/>
      <c r="G43" s="203"/>
      <c r="H43" s="203"/>
      <c r="I43" s="203"/>
      <c r="J43" s="203"/>
      <c r="K43" s="203"/>
      <c r="L43" s="203"/>
      <c r="M43" s="203"/>
      <c r="N43" s="203"/>
    </row>
    <row r="44" spans="1:14" ht="38.25" x14ac:dyDescent="0.2">
      <c r="A44" s="207">
        <v>22</v>
      </c>
      <c r="B44" s="587" t="s">
        <v>347</v>
      </c>
      <c r="C44" s="203"/>
      <c r="D44" s="203"/>
      <c r="E44" s="203"/>
      <c r="F44" s="203"/>
      <c r="G44" s="203"/>
      <c r="H44" s="203"/>
      <c r="I44" s="203"/>
      <c r="J44" s="203"/>
      <c r="K44" s="203"/>
      <c r="L44" s="203"/>
      <c r="M44" s="203"/>
      <c r="N44" s="203"/>
    </row>
    <row r="45" spans="1:14" x14ac:dyDescent="0.2">
      <c r="A45" s="207">
        <v>23</v>
      </c>
      <c r="B45" s="552" t="s">
        <v>348</v>
      </c>
      <c r="C45" s="203"/>
      <c r="D45" s="203"/>
      <c r="E45" s="203"/>
      <c r="F45" s="203"/>
      <c r="G45" s="203"/>
      <c r="H45" s="203"/>
      <c r="I45" s="203"/>
      <c r="J45" s="203"/>
      <c r="K45" s="203"/>
      <c r="L45" s="203"/>
      <c r="M45" s="203"/>
      <c r="N45" s="203"/>
    </row>
    <row r="46" spans="1:14" ht="25.5" x14ac:dyDescent="0.2">
      <c r="A46" s="206">
        <v>24</v>
      </c>
      <c r="B46" s="210" t="s">
        <v>349</v>
      </c>
      <c r="C46" s="559"/>
      <c r="D46" s="203"/>
      <c r="E46" s="203"/>
      <c r="F46" s="203"/>
      <c r="G46" s="203"/>
      <c r="H46" s="203"/>
      <c r="I46" s="203"/>
      <c r="J46" s="203"/>
      <c r="K46" s="203"/>
      <c r="L46" s="203"/>
      <c r="M46" s="203"/>
      <c r="N46" s="203"/>
    </row>
    <row r="47" spans="1:14" ht="63.75" x14ac:dyDescent="0.2">
      <c r="A47" s="206">
        <v>25.26</v>
      </c>
      <c r="B47" s="210" t="s">
        <v>429</v>
      </c>
      <c r="C47" s="203"/>
      <c r="D47" s="203"/>
      <c r="E47" s="203"/>
      <c r="F47" s="203"/>
      <c r="G47" s="203"/>
      <c r="H47" s="203"/>
      <c r="I47" s="203"/>
      <c r="J47" s="203"/>
      <c r="K47" s="203"/>
      <c r="L47" s="203"/>
      <c r="M47" s="203"/>
      <c r="N47" s="203"/>
    </row>
    <row r="48" spans="1:14" ht="25.5" x14ac:dyDescent="0.2">
      <c r="A48" s="206">
        <v>27</v>
      </c>
      <c r="B48" s="210" t="s">
        <v>430</v>
      </c>
      <c r="C48" s="203"/>
      <c r="D48" s="203"/>
      <c r="E48" s="203"/>
      <c r="F48" s="203"/>
      <c r="G48" s="203"/>
      <c r="H48" s="203"/>
      <c r="I48" s="203"/>
      <c r="J48" s="203"/>
      <c r="K48" s="203"/>
      <c r="L48" s="203"/>
      <c r="M48" s="203"/>
      <c r="N48" s="203"/>
    </row>
    <row r="49" spans="1:14" ht="63.75" x14ac:dyDescent="0.2">
      <c r="A49" s="206">
        <v>28</v>
      </c>
      <c r="B49" s="556" t="s">
        <v>431</v>
      </c>
      <c r="C49" s="203"/>
      <c r="D49" s="203"/>
      <c r="E49" s="203"/>
      <c r="F49" s="203"/>
      <c r="G49" s="203"/>
      <c r="H49" s="203"/>
      <c r="I49" s="203"/>
      <c r="J49" s="203"/>
      <c r="K49" s="203"/>
      <c r="L49" s="203"/>
      <c r="M49" s="203"/>
      <c r="N49" s="203"/>
    </row>
    <row r="50" spans="1:14" ht="25.5" x14ac:dyDescent="0.2">
      <c r="A50" s="206">
        <v>29</v>
      </c>
      <c r="B50" s="210" t="s">
        <v>432</v>
      </c>
      <c r="C50" s="203"/>
      <c r="D50" s="203"/>
      <c r="E50" s="203"/>
      <c r="F50" s="203"/>
      <c r="G50" s="203"/>
      <c r="H50" s="203"/>
      <c r="I50" s="203"/>
      <c r="J50" s="203"/>
      <c r="K50" s="203"/>
      <c r="L50" s="203"/>
      <c r="M50" s="203"/>
      <c r="N50" s="203"/>
    </row>
    <row r="51" spans="1:14" x14ac:dyDescent="0.2">
      <c r="A51" s="206">
        <v>30</v>
      </c>
      <c r="B51" s="552" t="s">
        <v>392</v>
      </c>
      <c r="C51" s="210"/>
      <c r="D51" s="203"/>
      <c r="E51" s="203"/>
      <c r="F51" s="203"/>
      <c r="G51" s="203"/>
      <c r="H51" s="203"/>
      <c r="I51" s="203"/>
      <c r="J51" s="203"/>
      <c r="K51" s="203"/>
      <c r="L51" s="203"/>
      <c r="M51" s="203"/>
      <c r="N51" s="203"/>
    </row>
    <row r="52" spans="1:14" ht="51" x14ac:dyDescent="0.2">
      <c r="A52" s="206">
        <v>31.32</v>
      </c>
      <c r="B52" s="556" t="s">
        <v>433</v>
      </c>
      <c r="C52" s="559"/>
      <c r="D52" s="203"/>
      <c r="E52" s="203"/>
      <c r="F52" s="203"/>
      <c r="G52" s="203"/>
      <c r="H52" s="203"/>
      <c r="I52" s="203"/>
      <c r="J52" s="203"/>
      <c r="K52" s="203"/>
      <c r="L52" s="203"/>
      <c r="M52" s="203"/>
      <c r="N52" s="203"/>
    </row>
    <row r="53" spans="1:14" x14ac:dyDescent="0.2">
      <c r="A53" s="206">
        <v>33</v>
      </c>
      <c r="B53" s="210" t="s">
        <v>136</v>
      </c>
      <c r="C53" s="203"/>
      <c r="D53" s="203"/>
      <c r="E53" s="203"/>
      <c r="F53" s="203"/>
      <c r="G53" s="203"/>
      <c r="H53" s="203"/>
      <c r="I53" s="203"/>
      <c r="J53" s="203"/>
      <c r="K53" s="203"/>
      <c r="L53" s="203"/>
      <c r="M53" s="203"/>
      <c r="N53" s="203"/>
    </row>
    <row r="54" spans="1:14" x14ac:dyDescent="0.2">
      <c r="A54" s="206">
        <v>34</v>
      </c>
      <c r="B54" s="556" t="s">
        <v>474</v>
      </c>
      <c r="C54" s="203"/>
      <c r="D54" s="203"/>
      <c r="E54" s="203"/>
      <c r="F54" s="203"/>
      <c r="G54" s="203"/>
      <c r="H54" s="203"/>
      <c r="I54" s="203"/>
      <c r="J54" s="203"/>
      <c r="K54" s="203"/>
      <c r="L54" s="203"/>
      <c r="M54" s="203"/>
      <c r="N54" s="203"/>
    </row>
    <row r="55" spans="1:14" ht="25.5" x14ac:dyDescent="0.2">
      <c r="A55" s="206">
        <v>35</v>
      </c>
      <c r="B55" s="556" t="s">
        <v>473</v>
      </c>
      <c r="C55" s="203"/>
      <c r="D55" s="203"/>
      <c r="E55" s="203"/>
      <c r="F55" s="203"/>
      <c r="G55" s="203"/>
      <c r="H55" s="203"/>
      <c r="I55" s="203"/>
      <c r="J55" s="203"/>
      <c r="K55" s="203"/>
      <c r="L55" s="203"/>
      <c r="M55" s="203"/>
      <c r="N55" s="203"/>
    </row>
    <row r="56" spans="1:14" ht="76.5" x14ac:dyDescent="0.2">
      <c r="A56" s="206">
        <v>36.369999999999997</v>
      </c>
      <c r="B56" s="556" t="s">
        <v>393</v>
      </c>
      <c r="C56" s="210"/>
      <c r="D56" s="203"/>
      <c r="E56" s="203"/>
      <c r="F56" s="203"/>
      <c r="G56" s="203"/>
      <c r="H56" s="203"/>
      <c r="I56" s="203"/>
      <c r="J56" s="110"/>
      <c r="K56" s="110"/>
      <c r="L56" s="110"/>
      <c r="M56" s="110"/>
      <c r="N56" s="110"/>
    </row>
    <row r="57" spans="1:14" ht="18" customHeight="1" x14ac:dyDescent="0.2">
      <c r="A57" s="206">
        <v>40</v>
      </c>
      <c r="B57" s="556" t="s">
        <v>394</v>
      </c>
      <c r="C57" s="203"/>
      <c r="D57" s="203"/>
      <c r="E57" s="203"/>
      <c r="F57" s="203"/>
      <c r="G57" s="203"/>
      <c r="H57" s="203"/>
      <c r="I57" s="203"/>
      <c r="J57" s="203"/>
      <c r="K57" s="203"/>
      <c r="L57" s="203"/>
      <c r="M57" s="203"/>
      <c r="N57" s="203"/>
    </row>
    <row r="58" spans="1:14" ht="25.5" x14ac:dyDescent="0.2">
      <c r="A58" s="207">
        <v>41</v>
      </c>
      <c r="B58" s="210" t="s">
        <v>350</v>
      </c>
      <c r="C58" s="210"/>
      <c r="D58" s="203"/>
      <c r="E58" s="203"/>
      <c r="F58" s="203"/>
      <c r="G58" s="203"/>
      <c r="H58" s="203"/>
      <c r="I58" s="203"/>
      <c r="J58" s="203"/>
      <c r="K58" s="203"/>
      <c r="L58" s="203"/>
      <c r="M58" s="203"/>
      <c r="N58" s="203"/>
    </row>
    <row r="59" spans="1:14" ht="25.5" x14ac:dyDescent="0.2">
      <c r="A59" s="207">
        <v>43</v>
      </c>
      <c r="B59" s="556" t="s">
        <v>395</v>
      </c>
      <c r="C59" s="210"/>
      <c r="D59" s="203"/>
      <c r="E59" s="203"/>
      <c r="F59" s="203"/>
      <c r="G59" s="203"/>
      <c r="H59" s="203"/>
      <c r="I59" s="203"/>
      <c r="J59" s="203"/>
      <c r="K59" s="203"/>
      <c r="L59" s="203"/>
      <c r="M59" s="203"/>
      <c r="N59" s="203"/>
    </row>
    <row r="60" spans="1:14" x14ac:dyDescent="0.2">
      <c r="A60" s="207">
        <v>44</v>
      </c>
      <c r="B60" s="210" t="s">
        <v>351</v>
      </c>
      <c r="C60" s="210"/>
      <c r="D60" s="203"/>
      <c r="E60" s="203"/>
      <c r="F60" s="203"/>
      <c r="G60" s="203"/>
      <c r="H60" s="203"/>
      <c r="I60" s="203"/>
      <c r="J60" s="203"/>
      <c r="K60" s="203"/>
      <c r="L60" s="203"/>
      <c r="M60" s="203"/>
      <c r="N60" s="203"/>
    </row>
    <row r="61" spans="1:14" x14ac:dyDescent="0.2">
      <c r="A61" s="207">
        <v>45</v>
      </c>
      <c r="B61" s="203" t="s">
        <v>137</v>
      </c>
      <c r="C61" s="203"/>
      <c r="D61" s="203"/>
      <c r="E61" s="203"/>
      <c r="F61" s="203"/>
      <c r="G61" s="203"/>
      <c r="H61" s="203"/>
      <c r="I61" s="203"/>
      <c r="J61" s="203"/>
      <c r="K61" s="203"/>
      <c r="L61" s="203"/>
      <c r="M61" s="203"/>
      <c r="N61" s="203"/>
    </row>
    <row r="62" spans="1:14" x14ac:dyDescent="0.2">
      <c r="A62" s="207">
        <v>46</v>
      </c>
      <c r="B62" s="203" t="s">
        <v>138</v>
      </c>
      <c r="C62" s="203"/>
      <c r="D62" s="203"/>
      <c r="E62" s="203"/>
      <c r="F62" s="203"/>
      <c r="G62" s="203"/>
      <c r="H62" s="203"/>
      <c r="I62" s="203"/>
      <c r="J62" s="203"/>
      <c r="K62" s="203"/>
      <c r="L62" s="203"/>
      <c r="M62" s="203"/>
      <c r="N62" s="203"/>
    </row>
    <row r="63" spans="1:14" x14ac:dyDescent="0.2">
      <c r="A63" s="207"/>
      <c r="B63" s="203" t="s">
        <v>139</v>
      </c>
      <c r="C63" s="203"/>
      <c r="D63" s="203"/>
      <c r="E63" s="203"/>
      <c r="F63" s="203"/>
      <c r="G63" s="203"/>
      <c r="H63" s="203"/>
      <c r="I63" s="203"/>
      <c r="J63" s="203"/>
      <c r="K63" s="203"/>
      <c r="L63" s="203"/>
      <c r="M63" s="203"/>
      <c r="N63" s="203"/>
    </row>
    <row r="64" spans="1:14" ht="13.5" thickBot="1" x14ac:dyDescent="0.25">
      <c r="A64" s="207"/>
      <c r="B64" s="203"/>
      <c r="C64" s="203"/>
      <c r="D64" s="203"/>
      <c r="E64" s="203"/>
      <c r="F64" s="203"/>
      <c r="G64" s="203"/>
      <c r="H64" s="211"/>
      <c r="I64" s="203"/>
      <c r="J64" s="203"/>
      <c r="K64" s="203"/>
      <c r="L64" s="203"/>
      <c r="M64" s="203"/>
      <c r="N64" s="203"/>
    </row>
    <row r="65" spans="1:14" x14ac:dyDescent="0.2">
      <c r="A65" s="207"/>
      <c r="B65" s="212" t="s">
        <v>352</v>
      </c>
      <c r="C65" s="203"/>
      <c r="D65" s="213"/>
      <c r="E65" s="214"/>
      <c r="F65" s="203"/>
      <c r="G65" s="203"/>
      <c r="H65" s="211"/>
      <c r="I65" s="203"/>
      <c r="J65" s="203"/>
      <c r="K65" s="203"/>
      <c r="L65" s="203"/>
      <c r="M65" s="203"/>
      <c r="N65" s="203"/>
    </row>
    <row r="66" spans="1:14" x14ac:dyDescent="0.2">
      <c r="A66" s="207"/>
      <c r="B66" s="215" t="s">
        <v>140</v>
      </c>
      <c r="C66" s="203"/>
      <c r="D66" s="101"/>
      <c r="E66" s="217" t="s">
        <v>141</v>
      </c>
      <c r="F66" s="203"/>
      <c r="G66" s="203"/>
      <c r="H66" s="211"/>
      <c r="I66" s="203"/>
      <c r="J66" s="203"/>
      <c r="K66" s="203"/>
      <c r="L66" s="203"/>
      <c r="M66" s="203"/>
      <c r="N66" s="203"/>
    </row>
    <row r="67" spans="1:14" x14ac:dyDescent="0.2">
      <c r="A67" s="207"/>
      <c r="B67" s="218" t="s">
        <v>353</v>
      </c>
      <c r="C67" s="203"/>
      <c r="D67" s="203"/>
      <c r="E67" s="220"/>
      <c r="F67" s="203"/>
      <c r="G67" s="203"/>
      <c r="H67" s="211"/>
      <c r="I67" s="203"/>
      <c r="J67" s="203"/>
      <c r="K67" s="203"/>
      <c r="L67" s="203"/>
      <c r="M67" s="203"/>
      <c r="N67" s="203"/>
    </row>
    <row r="68" spans="1:14" x14ac:dyDescent="0.2">
      <c r="A68" s="221"/>
      <c r="B68" s="218" t="s">
        <v>142</v>
      </c>
      <c r="C68" s="203"/>
      <c r="E68" s="220"/>
      <c r="F68" s="203"/>
      <c r="G68" s="203"/>
      <c r="H68" s="211"/>
      <c r="I68" s="203"/>
      <c r="J68" s="203"/>
      <c r="K68" s="203"/>
      <c r="L68" s="203"/>
      <c r="M68" s="203"/>
      <c r="N68" s="203"/>
    </row>
    <row r="69" spans="1:14" ht="13.5" thickBot="1" x14ac:dyDescent="0.25">
      <c r="A69" s="207" t="s">
        <v>396</v>
      </c>
      <c r="B69" s="588" t="s">
        <v>397</v>
      </c>
      <c r="C69" s="203"/>
      <c r="D69" s="222"/>
      <c r="E69" s="223"/>
      <c r="F69" s="203"/>
      <c r="G69" s="203"/>
      <c r="H69" s="211"/>
      <c r="I69" s="203"/>
      <c r="J69" s="203"/>
      <c r="K69" s="203"/>
      <c r="L69" s="203"/>
      <c r="M69" s="203"/>
      <c r="N69" s="203"/>
    </row>
    <row r="70" spans="1:14" x14ac:dyDescent="0.2">
      <c r="A70" s="207"/>
      <c r="B70" s="203"/>
      <c r="C70" s="203"/>
      <c r="D70" s="203"/>
      <c r="E70" s="561"/>
      <c r="F70" s="203"/>
      <c r="G70" s="203"/>
      <c r="H70" s="211"/>
      <c r="I70" s="203"/>
      <c r="J70" s="203"/>
      <c r="K70" s="203"/>
      <c r="L70" s="203"/>
      <c r="M70" s="203"/>
      <c r="N70" s="203"/>
    </row>
    <row r="71" spans="1:14" x14ac:dyDescent="0.2">
      <c r="A71" s="562" t="s">
        <v>434</v>
      </c>
      <c r="B71" s="203" t="s">
        <v>354</v>
      </c>
      <c r="C71" s="203"/>
      <c r="D71" s="203"/>
      <c r="E71" s="203"/>
      <c r="F71" s="203"/>
      <c r="G71" s="203"/>
      <c r="H71" s="211"/>
      <c r="I71" s="203"/>
      <c r="J71" s="563"/>
      <c r="K71" s="203"/>
      <c r="L71" s="203"/>
      <c r="M71" s="203"/>
      <c r="N71" s="203"/>
    </row>
    <row r="72" spans="1:14" x14ac:dyDescent="0.2">
      <c r="A72" s="562">
        <v>47</v>
      </c>
      <c r="B72" s="552" t="s">
        <v>469</v>
      </c>
      <c r="C72" s="203"/>
      <c r="D72" s="203"/>
      <c r="E72" s="203"/>
      <c r="F72" s="203"/>
      <c r="G72" s="203"/>
      <c r="H72" s="211"/>
      <c r="I72" s="203"/>
      <c r="J72" s="563"/>
      <c r="K72" s="203"/>
      <c r="L72" s="203"/>
      <c r="M72" s="203"/>
      <c r="N72" s="203"/>
    </row>
    <row r="73" spans="1:14" x14ac:dyDescent="0.2">
      <c r="A73" s="562">
        <v>48</v>
      </c>
      <c r="B73" s="552" t="s">
        <v>470</v>
      </c>
      <c r="C73" s="203"/>
      <c r="D73" s="203"/>
      <c r="E73" s="203"/>
      <c r="F73" s="203"/>
      <c r="G73" s="203"/>
      <c r="H73" s="211"/>
      <c r="I73" s="203"/>
      <c r="J73" s="563"/>
      <c r="K73" s="203"/>
      <c r="L73" s="203"/>
      <c r="M73" s="203"/>
      <c r="N73" s="203"/>
    </row>
    <row r="74" spans="1:14" ht="25.5" x14ac:dyDescent="0.2">
      <c r="A74" s="555">
        <v>49</v>
      </c>
      <c r="B74" s="556" t="s">
        <v>477</v>
      </c>
      <c r="C74" s="556"/>
      <c r="D74" s="203"/>
      <c r="E74" s="203"/>
      <c r="F74" s="203"/>
      <c r="G74" s="203"/>
      <c r="H74" s="211"/>
      <c r="I74" s="203"/>
      <c r="J74" s="563"/>
      <c r="K74" s="203"/>
      <c r="L74" s="203"/>
      <c r="M74" s="203"/>
      <c r="N74" s="203"/>
    </row>
    <row r="75" spans="1:14" x14ac:dyDescent="0.2">
      <c r="A75" s="555" t="s">
        <v>281</v>
      </c>
      <c r="B75" s="556" t="s">
        <v>435</v>
      </c>
      <c r="C75" s="210"/>
      <c r="D75" s="203"/>
      <c r="E75" s="203"/>
      <c r="F75" s="203"/>
      <c r="G75" s="203"/>
      <c r="H75" s="203"/>
      <c r="I75" s="203"/>
      <c r="J75" s="203"/>
      <c r="K75" s="203"/>
      <c r="L75" s="203"/>
      <c r="M75" s="203"/>
      <c r="N75" s="203"/>
    </row>
    <row r="76" spans="1:14" ht="25.5" x14ac:dyDescent="0.2">
      <c r="A76" s="555" t="s">
        <v>282</v>
      </c>
      <c r="B76" s="556" t="s">
        <v>436</v>
      </c>
      <c r="C76" s="203"/>
      <c r="D76" s="203"/>
      <c r="E76" s="203"/>
      <c r="F76" s="203"/>
      <c r="G76" s="203"/>
      <c r="H76" s="203"/>
      <c r="I76" s="203"/>
      <c r="J76" s="203"/>
      <c r="K76" s="203"/>
      <c r="L76" s="203"/>
      <c r="M76" s="203"/>
      <c r="N76" s="203"/>
    </row>
    <row r="77" spans="1:14" ht="25.5" x14ac:dyDescent="0.2">
      <c r="A77" s="206">
        <v>55</v>
      </c>
      <c r="B77" s="556" t="s">
        <v>398</v>
      </c>
      <c r="C77" s="203"/>
      <c r="D77" s="203"/>
      <c r="E77" s="203"/>
      <c r="F77" s="203"/>
      <c r="G77" s="203"/>
      <c r="H77" s="203"/>
      <c r="I77" s="203"/>
      <c r="J77" s="203"/>
      <c r="K77" s="203"/>
      <c r="L77" s="203"/>
      <c r="M77" s="203"/>
      <c r="N77" s="203"/>
    </row>
    <row r="78" spans="1:14" x14ac:dyDescent="0.2">
      <c r="A78" s="206">
        <v>56</v>
      </c>
      <c r="B78" s="210" t="s">
        <v>143</v>
      </c>
      <c r="C78" s="203"/>
      <c r="D78" s="203"/>
      <c r="E78" s="203"/>
      <c r="F78" s="203"/>
      <c r="G78" s="203"/>
      <c r="H78" s="203"/>
      <c r="I78" s="203"/>
      <c r="J78" s="203"/>
      <c r="K78" s="203"/>
      <c r="L78" s="203"/>
      <c r="M78" s="203"/>
      <c r="N78" s="203"/>
    </row>
    <row r="79" spans="1:14" s="66" customFormat="1" x14ac:dyDescent="0.2">
      <c r="A79" s="206" t="s">
        <v>355</v>
      </c>
      <c r="B79" s="210" t="s">
        <v>356</v>
      </c>
      <c r="C79" s="210"/>
      <c r="D79" s="203"/>
      <c r="E79" s="203"/>
      <c r="F79" s="203"/>
      <c r="G79" s="203"/>
      <c r="H79" s="203"/>
      <c r="I79" s="203"/>
      <c r="J79" s="211"/>
      <c r="K79" s="211"/>
      <c r="L79" s="211"/>
      <c r="M79" s="211"/>
      <c r="N79" s="211"/>
    </row>
    <row r="80" spans="1:14" s="66" customFormat="1" ht="25.5" x14ac:dyDescent="0.2">
      <c r="A80" s="206">
        <v>59</v>
      </c>
      <c r="B80" s="556" t="s">
        <v>475</v>
      </c>
      <c r="C80" s="211"/>
      <c r="D80" s="211"/>
      <c r="E80" s="211"/>
      <c r="F80" s="211"/>
      <c r="G80" s="211"/>
      <c r="H80" s="211"/>
      <c r="I80" s="211"/>
      <c r="J80" s="211"/>
      <c r="K80" s="211"/>
      <c r="L80" s="211"/>
      <c r="M80" s="211"/>
      <c r="N80" s="211"/>
    </row>
    <row r="81" spans="1:14" s="66" customFormat="1" ht="25.5" x14ac:dyDescent="0.2">
      <c r="A81" s="555">
        <v>61</v>
      </c>
      <c r="B81" s="556" t="s">
        <v>399</v>
      </c>
      <c r="C81" s="211"/>
      <c r="D81" s="211"/>
      <c r="E81" s="211"/>
      <c r="F81" s="211"/>
      <c r="G81" s="211"/>
      <c r="H81" s="211"/>
      <c r="I81" s="211"/>
      <c r="J81" s="211"/>
      <c r="K81" s="211"/>
      <c r="L81" s="211"/>
      <c r="M81" s="211"/>
      <c r="N81" s="211"/>
    </row>
    <row r="82" spans="1:14" x14ac:dyDescent="0.2">
      <c r="A82" s="207"/>
      <c r="B82" s="211"/>
      <c r="C82" s="203"/>
      <c r="D82" s="203"/>
      <c r="E82" s="203"/>
      <c r="F82" s="203"/>
      <c r="G82" s="203"/>
      <c r="H82" s="203"/>
      <c r="I82" s="203"/>
      <c r="J82" s="203"/>
      <c r="K82" s="203"/>
      <c r="L82" s="203"/>
      <c r="M82" s="203"/>
      <c r="N82" s="203"/>
    </row>
    <row r="83" spans="1:14" x14ac:dyDescent="0.2">
      <c r="A83" s="208" t="s">
        <v>144</v>
      </c>
      <c r="B83" s="203"/>
      <c r="C83" s="203"/>
      <c r="D83" s="203"/>
      <c r="E83" s="203"/>
      <c r="F83" s="203"/>
      <c r="G83" s="203"/>
      <c r="H83" s="203"/>
      <c r="I83" s="203"/>
      <c r="J83" s="203"/>
      <c r="K83" s="203"/>
      <c r="L83" s="203"/>
      <c r="M83" s="203"/>
      <c r="N83" s="203"/>
    </row>
    <row r="84" spans="1:14" x14ac:dyDescent="0.2">
      <c r="A84" s="208"/>
      <c r="B84" s="203"/>
      <c r="C84" s="203"/>
      <c r="D84" s="203"/>
      <c r="E84" s="203"/>
      <c r="F84" s="203"/>
      <c r="G84" s="203"/>
      <c r="H84" s="203"/>
      <c r="I84" s="203"/>
      <c r="J84" s="203"/>
      <c r="K84" s="203"/>
      <c r="L84" s="203"/>
      <c r="M84" s="203"/>
      <c r="N84" s="203"/>
    </row>
    <row r="85" spans="1:14" x14ac:dyDescent="0.2">
      <c r="A85" s="208"/>
      <c r="B85" s="203"/>
      <c r="C85" s="203"/>
      <c r="D85" s="203"/>
      <c r="E85" s="203"/>
      <c r="F85" s="203"/>
      <c r="G85" s="203"/>
      <c r="H85" s="203"/>
      <c r="I85" s="203"/>
      <c r="J85" s="203"/>
      <c r="K85" s="203"/>
      <c r="L85" s="203"/>
      <c r="M85" s="203"/>
      <c r="N85" s="203"/>
    </row>
    <row r="86" spans="1:14" ht="25.5" x14ac:dyDescent="0.2">
      <c r="A86" s="224" t="s">
        <v>145</v>
      </c>
      <c r="B86" s="210" t="s">
        <v>146</v>
      </c>
      <c r="C86" s="203"/>
      <c r="D86" s="203"/>
      <c r="E86" s="203"/>
      <c r="F86" s="203"/>
      <c r="G86" s="203"/>
      <c r="H86" s="203"/>
      <c r="I86" s="203"/>
      <c r="J86" s="203"/>
      <c r="K86" s="203"/>
      <c r="L86" s="203"/>
      <c r="M86" s="203"/>
      <c r="N86" s="203"/>
    </row>
    <row r="87" spans="1:14" x14ac:dyDescent="0.2">
      <c r="A87" s="208"/>
      <c r="B87" s="203" t="s">
        <v>147</v>
      </c>
      <c r="C87" s="203"/>
      <c r="D87" s="203"/>
      <c r="E87" s="203"/>
      <c r="F87" s="203"/>
      <c r="G87" s="203"/>
      <c r="H87" s="203"/>
      <c r="I87" s="203"/>
      <c r="J87" s="203"/>
      <c r="K87" s="203"/>
      <c r="L87" s="203"/>
      <c r="M87" s="203"/>
      <c r="N87" s="203"/>
    </row>
    <row r="88" spans="1:14" x14ac:dyDescent="0.2">
      <c r="A88" s="208"/>
      <c r="B88" s="210" t="s">
        <v>357</v>
      </c>
      <c r="C88" s="210"/>
      <c r="D88" s="203"/>
      <c r="E88" s="203"/>
      <c r="F88" s="203"/>
      <c r="G88" s="203"/>
      <c r="H88" s="203"/>
      <c r="I88" s="203"/>
      <c r="J88" s="203"/>
      <c r="K88" s="203"/>
      <c r="L88" s="203"/>
      <c r="M88" s="203"/>
      <c r="N88" s="203"/>
    </row>
    <row r="89" spans="1:14" x14ac:dyDescent="0.2">
      <c r="A89" s="208"/>
      <c r="B89" s="210" t="s">
        <v>148</v>
      </c>
      <c r="C89" s="203"/>
      <c r="D89" s="203"/>
      <c r="E89" s="203"/>
      <c r="F89" s="203"/>
      <c r="G89" s="203"/>
      <c r="H89" s="203"/>
      <c r="I89" s="203"/>
      <c r="J89" s="203"/>
      <c r="K89" s="203"/>
      <c r="L89" s="203"/>
      <c r="M89" s="203"/>
      <c r="N89" s="203"/>
    </row>
    <row r="90" spans="1:14" x14ac:dyDescent="0.2">
      <c r="A90" s="208"/>
      <c r="B90" s="203"/>
      <c r="C90" s="203"/>
      <c r="D90" s="203"/>
      <c r="E90" s="203"/>
      <c r="F90" s="203"/>
      <c r="G90" s="203"/>
      <c r="H90" s="203"/>
      <c r="I90" s="203"/>
      <c r="J90" s="203"/>
      <c r="K90" s="203"/>
      <c r="L90" s="203"/>
      <c r="M90" s="203"/>
      <c r="N90" s="203"/>
    </row>
    <row r="91" spans="1:14" x14ac:dyDescent="0.2">
      <c r="A91" s="101" t="s">
        <v>76</v>
      </c>
      <c r="B91" s="203"/>
      <c r="C91" s="203"/>
      <c r="D91" s="203"/>
      <c r="E91" s="203"/>
      <c r="F91" s="203"/>
      <c r="G91" s="203"/>
      <c r="H91" s="203"/>
      <c r="I91" s="203"/>
      <c r="J91" s="203"/>
      <c r="K91" s="203"/>
      <c r="L91" s="203"/>
      <c r="M91" s="203"/>
      <c r="N91" s="203"/>
    </row>
    <row r="92" spans="1:14" x14ac:dyDescent="0.2">
      <c r="A92" s="203" t="s">
        <v>78</v>
      </c>
      <c r="B92" s="203" t="s">
        <v>400</v>
      </c>
      <c r="C92" s="203"/>
      <c r="D92" s="203"/>
      <c r="E92" s="203"/>
      <c r="F92" s="203"/>
      <c r="G92" s="203"/>
      <c r="H92" s="203"/>
      <c r="I92" s="203"/>
      <c r="J92" s="203"/>
      <c r="K92" s="203"/>
      <c r="L92" s="203"/>
      <c r="M92" s="203"/>
      <c r="N92" s="203"/>
    </row>
    <row r="93" spans="1:14" ht="25.5" x14ac:dyDescent="0.2">
      <c r="A93" s="203" t="s">
        <v>85</v>
      </c>
      <c r="B93" s="587" t="s">
        <v>358</v>
      </c>
      <c r="C93" s="203"/>
      <c r="D93" s="203"/>
      <c r="E93" s="203"/>
      <c r="F93" s="203"/>
      <c r="G93" s="203"/>
      <c r="H93" s="203"/>
      <c r="I93" s="203"/>
      <c r="J93" s="203"/>
      <c r="K93" s="203"/>
      <c r="L93" s="203"/>
      <c r="M93" s="203"/>
      <c r="N93" s="203"/>
    </row>
    <row r="94" spans="1:14" x14ac:dyDescent="0.2">
      <c r="A94" s="203" t="s">
        <v>90</v>
      </c>
      <c r="B94" s="203" t="s">
        <v>149</v>
      </c>
      <c r="C94" s="203"/>
      <c r="D94" s="203"/>
      <c r="E94" s="203"/>
      <c r="F94" s="203"/>
      <c r="G94" s="203"/>
      <c r="H94" s="203"/>
      <c r="I94" s="203"/>
      <c r="J94" s="203"/>
      <c r="K94" s="203"/>
      <c r="L94" s="203"/>
      <c r="M94" s="203"/>
      <c r="N94" s="203"/>
    </row>
    <row r="95" spans="1:14" x14ac:dyDescent="0.2">
      <c r="A95" s="203" t="s">
        <v>81</v>
      </c>
      <c r="B95" s="203" t="s">
        <v>150</v>
      </c>
      <c r="C95" s="203"/>
      <c r="D95" s="203"/>
      <c r="E95" s="203"/>
      <c r="F95" s="203"/>
      <c r="G95" s="203"/>
      <c r="H95" s="203"/>
      <c r="I95" s="203"/>
      <c r="J95" s="203"/>
      <c r="K95" s="203"/>
      <c r="L95" s="203"/>
      <c r="M95" s="203"/>
      <c r="N95" s="203"/>
    </row>
    <row r="96" spans="1:14" x14ac:dyDescent="0.2">
      <c r="A96" s="203" t="s">
        <v>151</v>
      </c>
      <c r="B96" s="203" t="s">
        <v>152</v>
      </c>
      <c r="C96" s="203"/>
      <c r="D96" s="203"/>
      <c r="E96" s="203"/>
      <c r="F96" s="203"/>
      <c r="G96" s="203"/>
      <c r="H96" s="203"/>
      <c r="I96" s="203"/>
      <c r="J96" s="203"/>
      <c r="K96" s="203"/>
      <c r="L96" s="203"/>
      <c r="M96" s="203"/>
      <c r="N96" s="203"/>
    </row>
    <row r="97" spans="1:14" ht="56.25" customHeight="1" x14ac:dyDescent="0.2">
      <c r="A97" s="206" t="s">
        <v>94</v>
      </c>
      <c r="B97" s="556" t="s">
        <v>401</v>
      </c>
      <c r="C97" s="210"/>
      <c r="D97" s="203"/>
      <c r="E97" s="203"/>
      <c r="F97" s="203"/>
      <c r="G97" s="203"/>
      <c r="H97" s="203"/>
      <c r="I97" s="203"/>
      <c r="J97" s="203"/>
      <c r="K97" s="203"/>
      <c r="L97" s="203"/>
      <c r="M97" s="203"/>
      <c r="N97" s="203"/>
    </row>
    <row r="98" spans="1:14" x14ac:dyDescent="0.2">
      <c r="A98" s="206" t="s">
        <v>96</v>
      </c>
      <c r="B98" s="210" t="s">
        <v>153</v>
      </c>
      <c r="C98" s="203"/>
      <c r="D98" s="203"/>
      <c r="E98" s="203"/>
      <c r="F98" s="203"/>
      <c r="G98" s="203"/>
      <c r="H98" s="203"/>
      <c r="I98" s="203"/>
      <c r="J98" s="203"/>
      <c r="K98" s="203"/>
      <c r="L98" s="203"/>
      <c r="M98" s="203"/>
      <c r="N98" s="203"/>
    </row>
    <row r="99" spans="1:14" x14ac:dyDescent="0.2">
      <c r="A99" s="206" t="s">
        <v>80</v>
      </c>
      <c r="B99" s="210" t="s">
        <v>154</v>
      </c>
      <c r="C99" s="203"/>
      <c r="D99" s="203"/>
      <c r="E99" s="203"/>
      <c r="F99" s="203"/>
      <c r="G99" s="203"/>
      <c r="H99" s="203"/>
      <c r="I99" s="203"/>
      <c r="J99" s="203"/>
      <c r="K99" s="203"/>
      <c r="L99" s="203"/>
      <c r="M99" s="203"/>
      <c r="N99" s="203"/>
    </row>
    <row r="100" spans="1:14" ht="25.5" x14ac:dyDescent="0.2">
      <c r="A100" s="206" t="s">
        <v>155</v>
      </c>
      <c r="B100" s="210" t="s">
        <v>156</v>
      </c>
      <c r="C100" s="203"/>
      <c r="D100" s="203"/>
      <c r="E100" s="203"/>
      <c r="F100" s="203"/>
      <c r="G100" s="203"/>
      <c r="H100" s="203"/>
      <c r="I100" s="203"/>
      <c r="J100" s="203"/>
      <c r="K100" s="203"/>
      <c r="L100" s="203"/>
      <c r="M100" s="203"/>
      <c r="N100" s="203"/>
    </row>
    <row r="101" spans="1:14" x14ac:dyDescent="0.2">
      <c r="A101" s="207" t="s">
        <v>101</v>
      </c>
      <c r="B101" s="203" t="s">
        <v>157</v>
      </c>
      <c r="C101" s="203"/>
      <c r="D101" s="203"/>
      <c r="E101" s="203"/>
      <c r="F101" s="203"/>
      <c r="G101" s="203"/>
      <c r="H101" s="203"/>
      <c r="I101" s="203"/>
      <c r="J101" s="203"/>
      <c r="K101" s="203"/>
      <c r="L101" s="203"/>
      <c r="M101" s="203"/>
      <c r="N101" s="203"/>
    </row>
    <row r="102" spans="1:14" x14ac:dyDescent="0.2">
      <c r="A102" s="207" t="s">
        <v>158</v>
      </c>
      <c r="B102" s="203" t="s">
        <v>159</v>
      </c>
      <c r="C102" s="203"/>
      <c r="D102" s="203"/>
      <c r="E102" s="203"/>
      <c r="F102" s="203"/>
      <c r="G102" s="203"/>
      <c r="H102" s="203"/>
      <c r="I102" s="203"/>
      <c r="J102" s="203"/>
      <c r="K102" s="203"/>
      <c r="L102" s="203"/>
      <c r="M102" s="203"/>
      <c r="N102" s="203"/>
    </row>
    <row r="103" spans="1:14" x14ac:dyDescent="0.2">
      <c r="A103" s="207" t="s">
        <v>160</v>
      </c>
      <c r="B103" s="203" t="s">
        <v>359</v>
      </c>
      <c r="C103" s="203"/>
      <c r="D103" s="203"/>
      <c r="E103" s="203"/>
      <c r="F103" s="203"/>
      <c r="G103" s="203"/>
      <c r="H103" s="203"/>
      <c r="I103" s="203"/>
      <c r="J103" s="203"/>
      <c r="K103" s="203"/>
      <c r="L103" s="203"/>
      <c r="M103" s="203"/>
      <c r="N103" s="203"/>
    </row>
    <row r="104" spans="1:14" x14ac:dyDescent="0.2">
      <c r="A104" s="207" t="s">
        <v>107</v>
      </c>
      <c r="B104" s="203" t="s">
        <v>161</v>
      </c>
      <c r="C104" s="203"/>
      <c r="D104" s="203"/>
      <c r="E104" s="203"/>
      <c r="F104" s="203"/>
      <c r="G104" s="203"/>
      <c r="H104" s="203"/>
      <c r="I104" s="203"/>
      <c r="J104" s="203"/>
      <c r="K104" s="203"/>
      <c r="L104" s="203"/>
      <c r="M104" s="203"/>
      <c r="N104" s="203"/>
    </row>
    <row r="105" spans="1:14" x14ac:dyDescent="0.2">
      <c r="A105" s="207" t="s">
        <v>162</v>
      </c>
      <c r="B105" s="203" t="s">
        <v>163</v>
      </c>
      <c r="C105" s="203"/>
      <c r="D105" s="203"/>
      <c r="E105" s="203"/>
      <c r="F105" s="203"/>
      <c r="G105" s="203"/>
      <c r="H105" s="203"/>
      <c r="I105" s="203"/>
      <c r="J105" s="203"/>
      <c r="K105" s="203"/>
      <c r="L105" s="203"/>
      <c r="M105" s="203"/>
      <c r="N105" s="203"/>
    </row>
    <row r="106" spans="1:14" x14ac:dyDescent="0.2">
      <c r="A106" s="207"/>
      <c r="B106" s="203"/>
      <c r="C106" s="203"/>
      <c r="D106" s="203"/>
      <c r="E106" s="203"/>
      <c r="F106" s="203"/>
      <c r="G106" s="203"/>
      <c r="H106" s="203"/>
      <c r="I106" s="203"/>
      <c r="J106" s="203"/>
      <c r="K106" s="203"/>
      <c r="L106" s="203"/>
      <c r="M106" s="203"/>
      <c r="N106" s="203"/>
    </row>
    <row r="107" spans="1:14" x14ac:dyDescent="0.2">
      <c r="A107" s="101" t="s">
        <v>111</v>
      </c>
      <c r="B107" s="203"/>
      <c r="C107" s="203"/>
      <c r="D107" s="203"/>
      <c r="E107" s="203"/>
      <c r="F107" s="203"/>
      <c r="G107" s="203"/>
      <c r="H107" s="203"/>
      <c r="I107" s="203"/>
      <c r="J107" s="203"/>
      <c r="K107" s="203"/>
      <c r="L107" s="203"/>
      <c r="M107" s="203"/>
      <c r="N107" s="203"/>
    </row>
    <row r="108" spans="1:14" ht="25.5" x14ac:dyDescent="0.2">
      <c r="A108" s="206" t="s">
        <v>113</v>
      </c>
      <c r="B108" s="210" t="s">
        <v>164</v>
      </c>
      <c r="C108" s="203"/>
      <c r="D108" s="203"/>
      <c r="E108" s="203"/>
      <c r="F108" s="203"/>
      <c r="G108" s="203"/>
      <c r="H108" s="203"/>
      <c r="I108" s="203"/>
      <c r="J108" s="203"/>
      <c r="K108" s="203"/>
      <c r="L108" s="203"/>
      <c r="M108" s="203"/>
      <c r="N108" s="203"/>
    </row>
    <row r="109" spans="1:14" x14ac:dyDescent="0.2">
      <c r="A109" s="206" t="s">
        <v>290</v>
      </c>
      <c r="B109" s="552" t="s">
        <v>360</v>
      </c>
      <c r="C109" s="203"/>
      <c r="D109" s="203"/>
      <c r="E109" s="203"/>
      <c r="F109" s="203"/>
      <c r="G109" s="203"/>
      <c r="H109" s="203"/>
      <c r="I109" s="203"/>
      <c r="J109" s="203"/>
      <c r="K109" s="203"/>
      <c r="L109" s="203"/>
      <c r="M109" s="203"/>
      <c r="N109" s="203"/>
    </row>
    <row r="110" spans="1:14" x14ac:dyDescent="0.2">
      <c r="A110" s="206" t="s">
        <v>291</v>
      </c>
      <c r="B110" s="552" t="s">
        <v>361</v>
      </c>
      <c r="C110" s="203"/>
      <c r="D110" s="203"/>
      <c r="E110" s="203"/>
      <c r="F110" s="203"/>
      <c r="G110" s="203"/>
      <c r="H110" s="203"/>
      <c r="I110" s="203"/>
      <c r="J110" s="203"/>
      <c r="K110" s="203"/>
      <c r="L110" s="203"/>
      <c r="M110" s="203"/>
      <c r="N110" s="203"/>
    </row>
    <row r="111" spans="1:14" x14ac:dyDescent="0.2">
      <c r="A111" s="206" t="s">
        <v>292</v>
      </c>
      <c r="B111" s="552" t="s">
        <v>362</v>
      </c>
      <c r="C111" s="203"/>
      <c r="D111" s="203"/>
      <c r="E111" s="203"/>
      <c r="F111" s="203"/>
      <c r="G111" s="203"/>
      <c r="H111" s="203"/>
      <c r="I111" s="203"/>
      <c r="J111" s="203"/>
      <c r="K111" s="203"/>
      <c r="L111" s="203"/>
      <c r="M111" s="203"/>
      <c r="N111" s="203"/>
    </row>
    <row r="112" spans="1:14" x14ac:dyDescent="0.2">
      <c r="A112" s="206" t="s">
        <v>363</v>
      </c>
      <c r="B112" s="552" t="s">
        <v>364</v>
      </c>
      <c r="C112" s="203"/>
      <c r="D112" s="203"/>
      <c r="E112" s="203"/>
      <c r="F112" s="203"/>
      <c r="G112" s="203"/>
      <c r="H112" s="203"/>
      <c r="I112" s="203"/>
      <c r="J112" s="203"/>
      <c r="K112" s="203"/>
      <c r="L112" s="203"/>
      <c r="M112" s="203"/>
      <c r="N112" s="203"/>
    </row>
    <row r="113" spans="1:14" x14ac:dyDescent="0.2">
      <c r="A113" s="206"/>
      <c r="B113" s="334"/>
      <c r="C113" s="225"/>
      <c r="D113" s="203"/>
      <c r="E113" s="203"/>
      <c r="F113" s="203"/>
      <c r="G113" s="203"/>
      <c r="H113" s="203"/>
      <c r="I113" s="203"/>
      <c r="J113" s="203"/>
      <c r="K113" s="203"/>
      <c r="L113" s="203"/>
      <c r="M113" s="203"/>
      <c r="N113" s="203"/>
    </row>
    <row r="114" spans="1:14" x14ac:dyDescent="0.2">
      <c r="A114" s="552" t="s">
        <v>285</v>
      </c>
      <c r="B114" s="552" t="s">
        <v>402</v>
      </c>
      <c r="C114" s="203"/>
      <c r="D114" s="203"/>
      <c r="E114" s="203"/>
      <c r="F114" s="203"/>
      <c r="G114" s="203"/>
      <c r="H114" s="203"/>
      <c r="I114" s="203"/>
      <c r="J114" s="203"/>
      <c r="K114" s="203"/>
      <c r="L114" s="203"/>
      <c r="M114" s="203"/>
      <c r="N114" s="203"/>
    </row>
    <row r="115" spans="1:14" x14ac:dyDescent="0.2">
      <c r="A115" s="552" t="s">
        <v>365</v>
      </c>
      <c r="B115" s="552" t="s">
        <v>366</v>
      </c>
    </row>
    <row r="116" spans="1:14" x14ac:dyDescent="0.2">
      <c r="A116" s="552" t="s">
        <v>286</v>
      </c>
      <c r="B116" s="552" t="s">
        <v>476</v>
      </c>
    </row>
    <row r="117" spans="1:14" x14ac:dyDescent="0.2">
      <c r="A117" s="552" t="s">
        <v>250</v>
      </c>
      <c r="B117" s="552" t="s">
        <v>367</v>
      </c>
    </row>
    <row r="118" spans="1:14" x14ac:dyDescent="0.2">
      <c r="A118" s="552" t="s">
        <v>368</v>
      </c>
      <c r="B118" s="552" t="s">
        <v>369</v>
      </c>
    </row>
    <row r="119" spans="1:14" x14ac:dyDescent="0.2">
      <c r="A119" s="552" t="s">
        <v>370</v>
      </c>
      <c r="B119" s="552" t="s">
        <v>371</v>
      </c>
    </row>
  </sheetData>
  <hyperlinks>
    <hyperlink ref="B19" location="Invoerblad!E8" display="Terug naar invoerblad" xr:uid="{D714844D-C8AA-4BF5-8C1C-E6320BDE56FA}"/>
    <hyperlink ref="B69" r:id="rId1" xr:uid="{EF73DF2F-5E02-4B21-B13F-95B23CA6B72C}"/>
  </hyperlinks>
  <pageMargins left="0.7" right="0.7" top="0.75" bottom="0.75" header="0.3" footer="0.3"/>
  <pageSetup paperSize="9" orientation="portrait" horizontalDpi="1200" verticalDpi="1200"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sheetPr>
  <dimension ref="A1:ALS52"/>
  <sheetViews>
    <sheetView zoomScaleNormal="100" workbookViewId="0">
      <selection activeCell="E11" sqref="E11"/>
    </sheetView>
  </sheetViews>
  <sheetFormatPr defaultRowHeight="12.75" x14ac:dyDescent="0.2"/>
  <cols>
    <col min="1" max="1" width="65.6640625" style="263" customWidth="1"/>
    <col min="2" max="9" width="15.83203125" style="263" customWidth="1"/>
    <col min="10" max="1007" width="9.33203125" style="263" customWidth="1"/>
  </cols>
  <sheetData>
    <row r="1" spans="1:1007" ht="13.5" thickBot="1" x14ac:dyDescent="0.25"/>
    <row r="2" spans="1:1007" ht="15" thickBot="1" x14ac:dyDescent="0.25">
      <c r="A2" s="368" t="s">
        <v>468</v>
      </c>
      <c r="B2" s="364" t="s">
        <v>275</v>
      </c>
      <c r="C2" s="364" t="s">
        <v>269</v>
      </c>
      <c r="D2" s="364" t="s">
        <v>270</v>
      </c>
      <c r="E2" s="645" t="s">
        <v>442</v>
      </c>
      <c r="F2" s="645" t="s">
        <v>443</v>
      </c>
      <c r="G2" s="645" t="s">
        <v>444</v>
      </c>
      <c r="H2" s="645" t="s">
        <v>445</v>
      </c>
      <c r="I2" s="645" t="s">
        <v>446</v>
      </c>
    </row>
    <row r="3" spans="1:1007" x14ac:dyDescent="0.2">
      <c r="A3" s="379" t="s">
        <v>458</v>
      </c>
      <c r="B3" s="388">
        <v>11500</v>
      </c>
      <c r="C3" s="388">
        <v>11400</v>
      </c>
      <c r="D3" s="388">
        <v>14200</v>
      </c>
      <c r="E3" s="388">
        <v>14330</v>
      </c>
      <c r="F3" s="388"/>
      <c r="G3" s="388"/>
      <c r="H3" s="388"/>
      <c r="I3" s="388"/>
    </row>
    <row r="4" spans="1:1007" s="3" customFormat="1" x14ac:dyDescent="0.2">
      <c r="A4" s="652" t="s">
        <v>459</v>
      </c>
      <c r="B4" s="388">
        <v>11500</v>
      </c>
      <c r="C4" s="388">
        <v>11400</v>
      </c>
      <c r="D4" s="388">
        <v>14200</v>
      </c>
      <c r="E4" s="388">
        <v>14330</v>
      </c>
      <c r="F4" s="388"/>
      <c r="G4" s="388"/>
      <c r="H4" s="388"/>
      <c r="I4" s="388"/>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c r="DM4" s="263"/>
      <c r="DN4" s="263"/>
      <c r="DO4" s="263"/>
      <c r="DP4" s="263"/>
      <c r="DQ4" s="263"/>
      <c r="DR4" s="263"/>
      <c r="DS4" s="263"/>
      <c r="DT4" s="263"/>
      <c r="DU4" s="263"/>
      <c r="DV4" s="263"/>
      <c r="DW4" s="263"/>
      <c r="DX4" s="263"/>
      <c r="DY4" s="263"/>
      <c r="DZ4" s="263"/>
      <c r="EA4" s="263"/>
      <c r="EB4" s="263"/>
      <c r="EC4" s="263"/>
      <c r="ED4" s="263"/>
      <c r="EE4" s="263"/>
      <c r="EF4" s="263"/>
      <c r="EG4" s="263"/>
      <c r="EH4" s="263"/>
      <c r="EI4" s="263"/>
      <c r="EJ4" s="263"/>
      <c r="EK4" s="263"/>
      <c r="EL4" s="263"/>
      <c r="EM4" s="263"/>
      <c r="EN4" s="263"/>
      <c r="EO4" s="263"/>
      <c r="EP4" s="263"/>
      <c r="EQ4" s="263"/>
      <c r="ER4" s="263"/>
      <c r="ES4" s="263"/>
      <c r="ET4" s="263"/>
      <c r="EU4" s="263"/>
      <c r="EV4" s="263"/>
      <c r="EW4" s="263"/>
      <c r="EX4" s="263"/>
      <c r="EY4" s="263"/>
      <c r="EZ4" s="263"/>
      <c r="FA4" s="263"/>
      <c r="FB4" s="263"/>
      <c r="FC4" s="263"/>
      <c r="FD4" s="263"/>
      <c r="FE4" s="263"/>
      <c r="FF4" s="263"/>
      <c r="FG4" s="263"/>
      <c r="FH4" s="263"/>
      <c r="FI4" s="263"/>
      <c r="FJ4" s="263"/>
      <c r="FK4" s="263"/>
      <c r="FL4" s="263"/>
      <c r="FM4" s="263"/>
      <c r="FN4" s="263"/>
      <c r="FO4" s="263"/>
      <c r="FP4" s="263"/>
      <c r="FQ4" s="263"/>
      <c r="FR4" s="263"/>
      <c r="FS4" s="263"/>
      <c r="FT4" s="263"/>
      <c r="FU4" s="263"/>
      <c r="FV4" s="263"/>
      <c r="FW4" s="263"/>
      <c r="FX4" s="263"/>
      <c r="FY4" s="263"/>
      <c r="FZ4" s="263"/>
      <c r="GA4" s="263"/>
      <c r="GB4" s="263"/>
      <c r="GC4" s="263"/>
      <c r="GD4" s="263"/>
      <c r="GE4" s="263"/>
      <c r="GF4" s="263"/>
      <c r="GG4" s="263"/>
      <c r="GH4" s="263"/>
      <c r="GI4" s="263"/>
      <c r="GJ4" s="263"/>
      <c r="GK4" s="263"/>
      <c r="GL4" s="263"/>
      <c r="GM4" s="263"/>
      <c r="GN4" s="263"/>
      <c r="GO4" s="263"/>
      <c r="GP4" s="263"/>
      <c r="GQ4" s="263"/>
      <c r="GR4" s="263"/>
      <c r="GS4" s="263"/>
      <c r="GT4" s="263"/>
      <c r="GU4" s="263"/>
      <c r="GV4" s="263"/>
      <c r="GW4" s="263"/>
      <c r="GX4" s="263"/>
      <c r="GY4" s="263"/>
      <c r="GZ4" s="263"/>
      <c r="HA4" s="263"/>
      <c r="HB4" s="263"/>
      <c r="HC4" s="263"/>
      <c r="HD4" s="263"/>
      <c r="HE4" s="263"/>
      <c r="HF4" s="263"/>
      <c r="HG4" s="263"/>
      <c r="HH4" s="263"/>
      <c r="HI4" s="263"/>
      <c r="HJ4" s="263"/>
      <c r="HK4" s="263"/>
      <c r="HL4" s="263"/>
      <c r="HM4" s="263"/>
      <c r="HN4" s="263"/>
      <c r="HO4" s="263"/>
      <c r="HP4" s="263"/>
      <c r="HQ4" s="263"/>
      <c r="HR4" s="263"/>
      <c r="HS4" s="263"/>
      <c r="HT4" s="263"/>
      <c r="HU4" s="263"/>
      <c r="HV4" s="263"/>
      <c r="HW4" s="263"/>
      <c r="HX4" s="263"/>
      <c r="HY4" s="263"/>
      <c r="HZ4" s="263"/>
      <c r="IA4" s="263"/>
      <c r="IB4" s="263"/>
      <c r="IC4" s="263"/>
      <c r="ID4" s="263"/>
      <c r="IE4" s="263"/>
      <c r="IF4" s="263"/>
      <c r="IG4" s="263"/>
      <c r="IH4" s="263"/>
      <c r="II4" s="263"/>
      <c r="IJ4" s="263"/>
      <c r="IK4" s="263"/>
      <c r="IL4" s="263"/>
      <c r="IM4" s="263"/>
      <c r="IN4" s="263"/>
      <c r="IO4" s="263"/>
      <c r="IP4" s="263"/>
      <c r="IQ4" s="263"/>
      <c r="IR4" s="263"/>
      <c r="IS4" s="263"/>
      <c r="IT4" s="263"/>
      <c r="IU4" s="263"/>
      <c r="IV4" s="263"/>
      <c r="IW4" s="263"/>
      <c r="IX4" s="263"/>
      <c r="IY4" s="263"/>
      <c r="IZ4" s="263"/>
      <c r="JA4" s="263"/>
      <c r="JB4" s="263"/>
      <c r="JC4" s="263"/>
      <c r="JD4" s="263"/>
      <c r="JE4" s="263"/>
      <c r="JF4" s="263"/>
      <c r="JG4" s="263"/>
      <c r="JH4" s="263"/>
      <c r="JI4" s="263"/>
      <c r="JJ4" s="263"/>
      <c r="JK4" s="263"/>
      <c r="JL4" s="263"/>
      <c r="JM4" s="263"/>
      <c r="JN4" s="263"/>
      <c r="JO4" s="263"/>
      <c r="JP4" s="263"/>
      <c r="JQ4" s="263"/>
      <c r="JR4" s="263"/>
      <c r="JS4" s="263"/>
      <c r="JT4" s="263"/>
      <c r="JU4" s="263"/>
      <c r="JV4" s="263"/>
      <c r="JW4" s="263"/>
      <c r="JX4" s="263"/>
      <c r="JY4" s="263"/>
      <c r="JZ4" s="263"/>
      <c r="KA4" s="263"/>
      <c r="KB4" s="263"/>
      <c r="KC4" s="263"/>
      <c r="KD4" s="263"/>
      <c r="KE4" s="263"/>
      <c r="KF4" s="263"/>
      <c r="KG4" s="263"/>
      <c r="KH4" s="263"/>
      <c r="KI4" s="263"/>
      <c r="KJ4" s="263"/>
      <c r="KK4" s="263"/>
      <c r="KL4" s="263"/>
      <c r="KM4" s="263"/>
      <c r="KN4" s="263"/>
      <c r="KO4" s="263"/>
      <c r="KP4" s="263"/>
      <c r="KQ4" s="263"/>
      <c r="KR4" s="263"/>
      <c r="KS4" s="263"/>
      <c r="KT4" s="263"/>
      <c r="KU4" s="263"/>
      <c r="KV4" s="263"/>
      <c r="KW4" s="263"/>
      <c r="KX4" s="263"/>
      <c r="KY4" s="263"/>
      <c r="KZ4" s="263"/>
      <c r="LA4" s="263"/>
      <c r="LB4" s="263"/>
      <c r="LC4" s="263"/>
      <c r="LD4" s="263"/>
      <c r="LE4" s="263"/>
      <c r="LF4" s="263"/>
      <c r="LG4" s="263"/>
      <c r="LH4" s="263"/>
      <c r="LI4" s="263"/>
      <c r="LJ4" s="263"/>
      <c r="LK4" s="263"/>
      <c r="LL4" s="263"/>
      <c r="LM4" s="263"/>
      <c r="LN4" s="263"/>
      <c r="LO4" s="263"/>
      <c r="LP4" s="263"/>
      <c r="LQ4" s="263"/>
      <c r="LR4" s="263"/>
      <c r="LS4" s="263"/>
      <c r="LT4" s="263"/>
      <c r="LU4" s="263"/>
      <c r="LV4" s="263"/>
      <c r="LW4" s="263"/>
      <c r="LX4" s="263"/>
      <c r="LY4" s="263"/>
      <c r="LZ4" s="263"/>
      <c r="MA4" s="263"/>
      <c r="MB4" s="263"/>
      <c r="MC4" s="263"/>
      <c r="MD4" s="263"/>
      <c r="ME4" s="263"/>
      <c r="MF4" s="263"/>
      <c r="MG4" s="263"/>
      <c r="MH4" s="263"/>
      <c r="MI4" s="263"/>
      <c r="MJ4" s="263"/>
      <c r="MK4" s="263"/>
      <c r="ML4" s="263"/>
      <c r="MM4" s="263"/>
      <c r="MN4" s="263"/>
      <c r="MO4" s="263"/>
      <c r="MP4" s="263"/>
      <c r="MQ4" s="263"/>
      <c r="MR4" s="263"/>
      <c r="MS4" s="263"/>
      <c r="MT4" s="263"/>
      <c r="MU4" s="263"/>
      <c r="MV4" s="263"/>
      <c r="MW4" s="263"/>
      <c r="MX4" s="263"/>
      <c r="MY4" s="263"/>
      <c r="MZ4" s="263"/>
      <c r="NA4" s="263"/>
      <c r="NB4" s="263"/>
      <c r="NC4" s="263"/>
      <c r="ND4" s="263"/>
      <c r="NE4" s="263"/>
      <c r="NF4" s="263"/>
      <c r="NG4" s="263"/>
      <c r="NH4" s="263"/>
      <c r="NI4" s="263"/>
      <c r="NJ4" s="263"/>
      <c r="NK4" s="263"/>
      <c r="NL4" s="263"/>
      <c r="NM4" s="263"/>
      <c r="NN4" s="263"/>
      <c r="NO4" s="263"/>
      <c r="NP4" s="263"/>
      <c r="NQ4" s="263"/>
      <c r="NR4" s="263"/>
      <c r="NS4" s="263"/>
      <c r="NT4" s="263"/>
      <c r="NU4" s="263"/>
      <c r="NV4" s="263"/>
      <c r="NW4" s="263"/>
      <c r="NX4" s="263"/>
      <c r="NY4" s="263"/>
      <c r="NZ4" s="263"/>
      <c r="OA4" s="263"/>
      <c r="OB4" s="263"/>
      <c r="OC4" s="263"/>
      <c r="OD4" s="263"/>
      <c r="OE4" s="263"/>
      <c r="OF4" s="263"/>
      <c r="OG4" s="263"/>
      <c r="OH4" s="263"/>
      <c r="OI4" s="263"/>
      <c r="OJ4" s="263"/>
      <c r="OK4" s="263"/>
      <c r="OL4" s="263"/>
      <c r="OM4" s="263"/>
      <c r="ON4" s="263"/>
      <c r="OO4" s="263"/>
      <c r="OP4" s="263"/>
      <c r="OQ4" s="263"/>
      <c r="OR4" s="263"/>
      <c r="OS4" s="263"/>
      <c r="OT4" s="263"/>
      <c r="OU4" s="263"/>
      <c r="OV4" s="263"/>
      <c r="OW4" s="263"/>
      <c r="OX4" s="263"/>
      <c r="OY4" s="263"/>
      <c r="OZ4" s="263"/>
      <c r="PA4" s="263"/>
      <c r="PB4" s="263"/>
      <c r="PC4" s="263"/>
      <c r="PD4" s="263"/>
      <c r="PE4" s="263"/>
      <c r="PF4" s="263"/>
      <c r="PG4" s="263"/>
      <c r="PH4" s="263"/>
      <c r="PI4" s="263"/>
      <c r="PJ4" s="263"/>
      <c r="PK4" s="263"/>
      <c r="PL4" s="263"/>
      <c r="PM4" s="263"/>
      <c r="PN4" s="263"/>
      <c r="PO4" s="263"/>
      <c r="PP4" s="263"/>
      <c r="PQ4" s="263"/>
      <c r="PR4" s="263"/>
      <c r="PS4" s="263"/>
      <c r="PT4" s="263"/>
      <c r="PU4" s="263"/>
      <c r="PV4" s="263"/>
      <c r="PW4" s="263"/>
      <c r="PX4" s="263"/>
      <c r="PY4" s="263"/>
      <c r="PZ4" s="263"/>
      <c r="QA4" s="263"/>
      <c r="QB4" s="263"/>
      <c r="QC4" s="263"/>
      <c r="QD4" s="263"/>
      <c r="QE4" s="263"/>
      <c r="QF4" s="263"/>
      <c r="QG4" s="263"/>
      <c r="QH4" s="263"/>
      <c r="QI4" s="263"/>
      <c r="QJ4" s="263"/>
      <c r="QK4" s="263"/>
      <c r="QL4" s="263"/>
      <c r="QM4" s="263"/>
      <c r="QN4" s="263"/>
      <c r="QO4" s="263"/>
      <c r="QP4" s="263"/>
      <c r="QQ4" s="263"/>
      <c r="QR4" s="263"/>
      <c r="QS4" s="263"/>
      <c r="QT4" s="263"/>
      <c r="QU4" s="263"/>
      <c r="QV4" s="263"/>
      <c r="QW4" s="263"/>
      <c r="QX4" s="263"/>
      <c r="QY4" s="263"/>
      <c r="QZ4" s="263"/>
      <c r="RA4" s="263"/>
      <c r="RB4" s="263"/>
      <c r="RC4" s="263"/>
      <c r="RD4" s="263"/>
      <c r="RE4" s="263"/>
      <c r="RF4" s="263"/>
      <c r="RG4" s="263"/>
      <c r="RH4" s="263"/>
      <c r="RI4" s="263"/>
      <c r="RJ4" s="263"/>
      <c r="RK4" s="263"/>
      <c r="RL4" s="263"/>
      <c r="RM4" s="263"/>
      <c r="RN4" s="263"/>
      <c r="RO4" s="263"/>
      <c r="RP4" s="263"/>
      <c r="RQ4" s="263"/>
      <c r="RR4" s="263"/>
      <c r="RS4" s="263"/>
      <c r="RT4" s="263"/>
      <c r="RU4" s="263"/>
      <c r="RV4" s="263"/>
      <c r="RW4" s="263"/>
      <c r="RX4" s="263"/>
      <c r="RY4" s="263"/>
      <c r="RZ4" s="263"/>
      <c r="SA4" s="263"/>
      <c r="SB4" s="263"/>
      <c r="SC4" s="263"/>
      <c r="SD4" s="263"/>
      <c r="SE4" s="263"/>
      <c r="SF4" s="263"/>
      <c r="SG4" s="263"/>
      <c r="SH4" s="263"/>
      <c r="SI4" s="263"/>
      <c r="SJ4" s="263"/>
      <c r="SK4" s="263"/>
      <c r="SL4" s="263"/>
      <c r="SM4" s="263"/>
      <c r="SN4" s="263"/>
      <c r="SO4" s="263"/>
      <c r="SP4" s="263"/>
      <c r="SQ4" s="263"/>
      <c r="SR4" s="263"/>
      <c r="SS4" s="263"/>
      <c r="ST4" s="263"/>
      <c r="SU4" s="263"/>
      <c r="SV4" s="263"/>
      <c r="SW4" s="263"/>
      <c r="SX4" s="263"/>
      <c r="SY4" s="263"/>
      <c r="SZ4" s="263"/>
      <c r="TA4" s="263"/>
      <c r="TB4" s="263"/>
      <c r="TC4" s="263"/>
      <c r="TD4" s="263"/>
      <c r="TE4" s="263"/>
      <c r="TF4" s="263"/>
      <c r="TG4" s="263"/>
      <c r="TH4" s="263"/>
      <c r="TI4" s="263"/>
      <c r="TJ4" s="263"/>
      <c r="TK4" s="263"/>
      <c r="TL4" s="263"/>
      <c r="TM4" s="263"/>
      <c r="TN4" s="263"/>
      <c r="TO4" s="263"/>
      <c r="TP4" s="263"/>
      <c r="TQ4" s="263"/>
      <c r="TR4" s="263"/>
      <c r="TS4" s="263"/>
      <c r="TT4" s="263"/>
      <c r="TU4" s="263"/>
      <c r="TV4" s="263"/>
      <c r="TW4" s="263"/>
      <c r="TX4" s="263"/>
      <c r="TY4" s="263"/>
      <c r="TZ4" s="263"/>
      <c r="UA4" s="263"/>
      <c r="UB4" s="263"/>
      <c r="UC4" s="263"/>
      <c r="UD4" s="263"/>
      <c r="UE4" s="263"/>
      <c r="UF4" s="263"/>
      <c r="UG4" s="263"/>
      <c r="UH4" s="263"/>
      <c r="UI4" s="263"/>
      <c r="UJ4" s="263"/>
      <c r="UK4" s="263"/>
      <c r="UL4" s="263"/>
      <c r="UM4" s="263"/>
      <c r="UN4" s="263"/>
      <c r="UO4" s="263"/>
      <c r="UP4" s="263"/>
      <c r="UQ4" s="263"/>
      <c r="UR4" s="263"/>
      <c r="US4" s="263"/>
      <c r="UT4" s="263"/>
      <c r="UU4" s="263"/>
      <c r="UV4" s="263"/>
      <c r="UW4" s="263"/>
      <c r="UX4" s="263"/>
      <c r="UY4" s="263"/>
      <c r="UZ4" s="263"/>
      <c r="VA4" s="263"/>
      <c r="VB4" s="263"/>
      <c r="VC4" s="263"/>
      <c r="VD4" s="263"/>
      <c r="VE4" s="263"/>
      <c r="VF4" s="263"/>
      <c r="VG4" s="263"/>
      <c r="VH4" s="263"/>
      <c r="VI4" s="263"/>
      <c r="VJ4" s="263"/>
      <c r="VK4" s="263"/>
      <c r="VL4" s="263"/>
      <c r="VM4" s="263"/>
      <c r="VN4" s="263"/>
      <c r="VO4" s="263"/>
      <c r="VP4" s="263"/>
      <c r="VQ4" s="263"/>
      <c r="VR4" s="263"/>
      <c r="VS4" s="263"/>
      <c r="VT4" s="263"/>
      <c r="VU4" s="263"/>
      <c r="VV4" s="263"/>
      <c r="VW4" s="263"/>
      <c r="VX4" s="263"/>
      <c r="VY4" s="263"/>
      <c r="VZ4" s="263"/>
      <c r="WA4" s="263"/>
      <c r="WB4" s="263"/>
      <c r="WC4" s="263"/>
      <c r="WD4" s="263"/>
      <c r="WE4" s="263"/>
      <c r="WF4" s="263"/>
      <c r="WG4" s="263"/>
      <c r="WH4" s="263"/>
      <c r="WI4" s="263"/>
      <c r="WJ4" s="263"/>
      <c r="WK4" s="263"/>
      <c r="WL4" s="263"/>
      <c r="WM4" s="263"/>
      <c r="WN4" s="263"/>
      <c r="WO4" s="263"/>
      <c r="WP4" s="263"/>
      <c r="WQ4" s="263"/>
      <c r="WR4" s="263"/>
      <c r="WS4" s="263"/>
      <c r="WT4" s="263"/>
      <c r="WU4" s="263"/>
      <c r="WV4" s="263"/>
      <c r="WW4" s="263"/>
      <c r="WX4" s="263"/>
      <c r="WY4" s="263"/>
      <c r="WZ4" s="263"/>
      <c r="XA4" s="263"/>
      <c r="XB4" s="263"/>
      <c r="XC4" s="263"/>
      <c r="XD4" s="263"/>
      <c r="XE4" s="263"/>
      <c r="XF4" s="263"/>
      <c r="XG4" s="263"/>
      <c r="XH4" s="263"/>
      <c r="XI4" s="263"/>
      <c r="XJ4" s="263"/>
      <c r="XK4" s="263"/>
      <c r="XL4" s="263"/>
      <c r="XM4" s="263"/>
      <c r="XN4" s="263"/>
      <c r="XO4" s="263"/>
      <c r="XP4" s="263"/>
      <c r="XQ4" s="263"/>
      <c r="XR4" s="263"/>
      <c r="XS4" s="263"/>
      <c r="XT4" s="263"/>
      <c r="XU4" s="263"/>
      <c r="XV4" s="263"/>
      <c r="XW4" s="263"/>
      <c r="XX4" s="263"/>
      <c r="XY4" s="263"/>
      <c r="XZ4" s="263"/>
      <c r="YA4" s="263"/>
      <c r="YB4" s="263"/>
      <c r="YC4" s="263"/>
      <c r="YD4" s="263"/>
      <c r="YE4" s="263"/>
      <c r="YF4" s="263"/>
      <c r="YG4" s="263"/>
      <c r="YH4" s="263"/>
      <c r="YI4" s="263"/>
      <c r="YJ4" s="263"/>
      <c r="YK4" s="263"/>
      <c r="YL4" s="263"/>
      <c r="YM4" s="263"/>
      <c r="YN4" s="263"/>
      <c r="YO4" s="263"/>
      <c r="YP4" s="263"/>
      <c r="YQ4" s="263"/>
      <c r="YR4" s="263"/>
      <c r="YS4" s="263"/>
      <c r="YT4" s="263"/>
      <c r="YU4" s="263"/>
      <c r="YV4" s="263"/>
      <c r="YW4" s="263"/>
      <c r="YX4" s="263"/>
      <c r="YY4" s="263"/>
      <c r="YZ4" s="263"/>
      <c r="ZA4" s="263"/>
      <c r="ZB4" s="263"/>
      <c r="ZC4" s="263"/>
      <c r="ZD4" s="263"/>
      <c r="ZE4" s="263"/>
      <c r="ZF4" s="263"/>
      <c r="ZG4" s="263"/>
      <c r="ZH4" s="263"/>
      <c r="ZI4" s="263"/>
      <c r="ZJ4" s="263"/>
      <c r="ZK4" s="263"/>
      <c r="ZL4" s="263"/>
      <c r="ZM4" s="263"/>
      <c r="ZN4" s="263"/>
      <c r="ZO4" s="263"/>
      <c r="ZP4" s="263"/>
      <c r="ZQ4" s="263"/>
      <c r="ZR4" s="263"/>
      <c r="ZS4" s="263"/>
      <c r="ZT4" s="263"/>
      <c r="ZU4" s="263"/>
      <c r="ZV4" s="263"/>
      <c r="ZW4" s="263"/>
      <c r="ZX4" s="263"/>
      <c r="ZY4" s="263"/>
      <c r="ZZ4" s="263"/>
      <c r="AAA4" s="263"/>
      <c r="AAB4" s="263"/>
      <c r="AAC4" s="263"/>
      <c r="AAD4" s="263"/>
      <c r="AAE4" s="263"/>
      <c r="AAF4" s="263"/>
      <c r="AAG4" s="263"/>
      <c r="AAH4" s="263"/>
      <c r="AAI4" s="263"/>
      <c r="AAJ4" s="263"/>
      <c r="AAK4" s="263"/>
      <c r="AAL4" s="263"/>
      <c r="AAM4" s="263"/>
      <c r="AAN4" s="263"/>
      <c r="AAO4" s="263"/>
      <c r="AAP4" s="263"/>
      <c r="AAQ4" s="263"/>
      <c r="AAR4" s="263"/>
      <c r="AAS4" s="263"/>
      <c r="AAT4" s="263"/>
      <c r="AAU4" s="263"/>
      <c r="AAV4" s="263"/>
      <c r="AAW4" s="263"/>
      <c r="AAX4" s="263"/>
      <c r="AAY4" s="263"/>
      <c r="AAZ4" s="263"/>
      <c r="ABA4" s="263"/>
      <c r="ABB4" s="263"/>
      <c r="ABC4" s="263"/>
      <c r="ABD4" s="263"/>
      <c r="ABE4" s="263"/>
      <c r="ABF4" s="263"/>
      <c r="ABG4" s="263"/>
      <c r="ABH4" s="263"/>
      <c r="ABI4" s="263"/>
      <c r="ABJ4" s="263"/>
      <c r="ABK4" s="263"/>
      <c r="ABL4" s="263"/>
      <c r="ABM4" s="263"/>
      <c r="ABN4" s="263"/>
      <c r="ABO4" s="263"/>
      <c r="ABP4" s="263"/>
      <c r="ABQ4" s="263"/>
      <c r="ABR4" s="263"/>
      <c r="ABS4" s="263"/>
      <c r="ABT4" s="263"/>
      <c r="ABU4" s="263"/>
      <c r="ABV4" s="263"/>
      <c r="ABW4" s="263"/>
      <c r="ABX4" s="263"/>
      <c r="ABY4" s="263"/>
      <c r="ABZ4" s="263"/>
      <c r="ACA4" s="263"/>
      <c r="ACB4" s="263"/>
      <c r="ACC4" s="263"/>
      <c r="ACD4" s="263"/>
      <c r="ACE4" s="263"/>
      <c r="ACF4" s="263"/>
      <c r="ACG4" s="263"/>
      <c r="ACH4" s="263"/>
      <c r="ACI4" s="263"/>
      <c r="ACJ4" s="263"/>
      <c r="ACK4" s="263"/>
      <c r="ACL4" s="263"/>
      <c r="ACM4" s="263"/>
      <c r="ACN4" s="263"/>
      <c r="ACO4" s="263"/>
      <c r="ACP4" s="263"/>
      <c r="ACQ4" s="263"/>
      <c r="ACR4" s="263"/>
      <c r="ACS4" s="263"/>
      <c r="ACT4" s="263"/>
      <c r="ACU4" s="263"/>
      <c r="ACV4" s="263"/>
      <c r="ACW4" s="263"/>
      <c r="ACX4" s="263"/>
      <c r="ACY4" s="263"/>
      <c r="ACZ4" s="263"/>
      <c r="ADA4" s="263"/>
      <c r="ADB4" s="263"/>
      <c r="ADC4" s="263"/>
      <c r="ADD4" s="263"/>
      <c r="ADE4" s="263"/>
      <c r="ADF4" s="263"/>
      <c r="ADG4" s="263"/>
      <c r="ADH4" s="263"/>
      <c r="ADI4" s="263"/>
      <c r="ADJ4" s="263"/>
      <c r="ADK4" s="263"/>
      <c r="ADL4" s="263"/>
      <c r="ADM4" s="263"/>
      <c r="ADN4" s="263"/>
      <c r="ADO4" s="263"/>
      <c r="ADP4" s="263"/>
      <c r="ADQ4" s="263"/>
      <c r="ADR4" s="263"/>
      <c r="ADS4" s="263"/>
      <c r="ADT4" s="263"/>
      <c r="ADU4" s="263"/>
      <c r="ADV4" s="263"/>
      <c r="ADW4" s="263"/>
      <c r="ADX4" s="263"/>
      <c r="ADY4" s="263"/>
      <c r="ADZ4" s="263"/>
      <c r="AEA4" s="263"/>
      <c r="AEB4" s="263"/>
      <c r="AEC4" s="263"/>
      <c r="AED4" s="263"/>
      <c r="AEE4" s="263"/>
      <c r="AEF4" s="263"/>
      <c r="AEG4" s="263"/>
      <c r="AEH4" s="263"/>
      <c r="AEI4" s="263"/>
      <c r="AEJ4" s="263"/>
      <c r="AEK4" s="263"/>
      <c r="AEL4" s="263"/>
      <c r="AEM4" s="263"/>
      <c r="AEN4" s="263"/>
      <c r="AEO4" s="263"/>
      <c r="AEP4" s="263"/>
      <c r="AEQ4" s="263"/>
      <c r="AER4" s="263"/>
      <c r="AES4" s="263"/>
      <c r="AET4" s="263"/>
      <c r="AEU4" s="263"/>
      <c r="AEV4" s="263"/>
      <c r="AEW4" s="263"/>
      <c r="AEX4" s="263"/>
      <c r="AEY4" s="263"/>
      <c r="AEZ4" s="263"/>
      <c r="AFA4" s="263"/>
      <c r="AFB4" s="263"/>
      <c r="AFC4" s="263"/>
      <c r="AFD4" s="263"/>
      <c r="AFE4" s="263"/>
      <c r="AFF4" s="263"/>
      <c r="AFG4" s="263"/>
      <c r="AFH4" s="263"/>
      <c r="AFI4" s="263"/>
      <c r="AFJ4" s="263"/>
      <c r="AFK4" s="263"/>
      <c r="AFL4" s="263"/>
      <c r="AFM4" s="263"/>
      <c r="AFN4" s="263"/>
      <c r="AFO4" s="263"/>
      <c r="AFP4" s="263"/>
      <c r="AFQ4" s="263"/>
      <c r="AFR4" s="263"/>
      <c r="AFS4" s="263"/>
      <c r="AFT4" s="263"/>
      <c r="AFU4" s="263"/>
      <c r="AFV4" s="263"/>
      <c r="AFW4" s="263"/>
      <c r="AFX4" s="263"/>
      <c r="AFY4" s="263"/>
      <c r="AFZ4" s="263"/>
      <c r="AGA4" s="263"/>
      <c r="AGB4" s="263"/>
      <c r="AGC4" s="263"/>
      <c r="AGD4" s="263"/>
      <c r="AGE4" s="263"/>
      <c r="AGF4" s="263"/>
      <c r="AGG4" s="263"/>
      <c r="AGH4" s="263"/>
      <c r="AGI4" s="263"/>
      <c r="AGJ4" s="263"/>
      <c r="AGK4" s="263"/>
      <c r="AGL4" s="263"/>
      <c r="AGM4" s="263"/>
      <c r="AGN4" s="263"/>
      <c r="AGO4" s="263"/>
      <c r="AGP4" s="263"/>
      <c r="AGQ4" s="263"/>
      <c r="AGR4" s="263"/>
      <c r="AGS4" s="263"/>
      <c r="AGT4" s="263"/>
      <c r="AGU4" s="263"/>
      <c r="AGV4" s="263"/>
      <c r="AGW4" s="263"/>
      <c r="AGX4" s="263"/>
      <c r="AGY4" s="263"/>
      <c r="AGZ4" s="263"/>
      <c r="AHA4" s="263"/>
      <c r="AHB4" s="263"/>
      <c r="AHC4" s="263"/>
      <c r="AHD4" s="263"/>
      <c r="AHE4" s="263"/>
      <c r="AHF4" s="263"/>
      <c r="AHG4" s="263"/>
      <c r="AHH4" s="263"/>
      <c r="AHI4" s="263"/>
      <c r="AHJ4" s="263"/>
      <c r="AHK4" s="263"/>
      <c r="AHL4" s="263"/>
      <c r="AHM4" s="263"/>
      <c r="AHN4" s="263"/>
      <c r="AHO4" s="263"/>
      <c r="AHP4" s="263"/>
      <c r="AHQ4" s="263"/>
      <c r="AHR4" s="263"/>
      <c r="AHS4" s="263"/>
      <c r="AHT4" s="263"/>
      <c r="AHU4" s="263"/>
      <c r="AHV4" s="263"/>
      <c r="AHW4" s="263"/>
      <c r="AHX4" s="263"/>
      <c r="AHY4" s="263"/>
      <c r="AHZ4" s="263"/>
      <c r="AIA4" s="263"/>
      <c r="AIB4" s="263"/>
      <c r="AIC4" s="263"/>
      <c r="AID4" s="263"/>
      <c r="AIE4" s="263"/>
      <c r="AIF4" s="263"/>
      <c r="AIG4" s="263"/>
      <c r="AIH4" s="263"/>
      <c r="AII4" s="263"/>
      <c r="AIJ4" s="263"/>
      <c r="AIK4" s="263"/>
      <c r="AIL4" s="263"/>
      <c r="AIM4" s="263"/>
      <c r="AIN4" s="263"/>
      <c r="AIO4" s="263"/>
      <c r="AIP4" s="263"/>
      <c r="AIQ4" s="263"/>
      <c r="AIR4" s="263"/>
      <c r="AIS4" s="263"/>
      <c r="AIT4" s="263"/>
      <c r="AIU4" s="263"/>
      <c r="AIV4" s="263"/>
      <c r="AIW4" s="263"/>
      <c r="AIX4" s="263"/>
      <c r="AIY4" s="263"/>
      <c r="AIZ4" s="263"/>
      <c r="AJA4" s="263"/>
      <c r="AJB4" s="263"/>
      <c r="AJC4" s="263"/>
      <c r="AJD4" s="263"/>
      <c r="AJE4" s="263"/>
      <c r="AJF4" s="263"/>
      <c r="AJG4" s="263"/>
      <c r="AJH4" s="263"/>
      <c r="AJI4" s="263"/>
      <c r="AJJ4" s="263"/>
      <c r="AJK4" s="263"/>
      <c r="AJL4" s="263"/>
      <c r="AJM4" s="263"/>
      <c r="AJN4" s="263"/>
      <c r="AJO4" s="263"/>
      <c r="AJP4" s="263"/>
      <c r="AJQ4" s="263"/>
      <c r="AJR4" s="263"/>
      <c r="AJS4" s="263"/>
      <c r="AJT4" s="263"/>
      <c r="AJU4" s="263"/>
      <c r="AJV4" s="263"/>
      <c r="AJW4" s="263"/>
      <c r="AJX4" s="263"/>
      <c r="AJY4" s="263"/>
      <c r="AJZ4" s="263"/>
      <c r="AKA4" s="263"/>
      <c r="AKB4" s="263"/>
      <c r="AKC4" s="263"/>
      <c r="AKD4" s="263"/>
      <c r="AKE4" s="263"/>
      <c r="AKF4" s="263"/>
      <c r="AKG4" s="263"/>
      <c r="AKH4" s="263"/>
      <c r="AKI4" s="263"/>
      <c r="AKJ4" s="263"/>
      <c r="AKK4" s="263"/>
      <c r="AKL4" s="263"/>
      <c r="AKM4" s="263"/>
      <c r="AKN4" s="263"/>
      <c r="AKO4" s="263"/>
      <c r="AKP4" s="263"/>
      <c r="AKQ4" s="263"/>
      <c r="AKR4" s="263"/>
      <c r="AKS4" s="263"/>
      <c r="AKT4" s="263"/>
      <c r="AKU4" s="263"/>
      <c r="AKV4" s="263"/>
      <c r="AKW4" s="263"/>
      <c r="AKX4" s="263"/>
      <c r="AKY4" s="263"/>
      <c r="AKZ4" s="263"/>
      <c r="ALA4" s="263"/>
      <c r="ALB4" s="263"/>
      <c r="ALC4" s="263"/>
      <c r="ALD4" s="263"/>
      <c r="ALE4" s="263"/>
      <c r="ALF4" s="263"/>
      <c r="ALG4" s="263"/>
      <c r="ALH4" s="263"/>
      <c r="ALI4" s="263"/>
      <c r="ALJ4" s="263"/>
      <c r="ALK4" s="263"/>
      <c r="ALL4" s="263"/>
      <c r="ALM4" s="263"/>
      <c r="ALN4" s="263"/>
      <c r="ALO4" s="263"/>
      <c r="ALP4" s="263"/>
      <c r="ALQ4" s="263"/>
      <c r="ALR4" s="263"/>
      <c r="ALS4" s="263"/>
    </row>
    <row r="5" spans="1:1007" s="3" customFormat="1" x14ac:dyDescent="0.2">
      <c r="A5" s="379" t="s">
        <v>460</v>
      </c>
      <c r="B5" s="388">
        <v>11500</v>
      </c>
      <c r="C5" s="388">
        <v>13100</v>
      </c>
      <c r="D5" s="388">
        <v>16200</v>
      </c>
      <c r="E5" s="388">
        <v>18380</v>
      </c>
      <c r="F5" s="388"/>
      <c r="G5" s="388"/>
      <c r="H5" s="388"/>
      <c r="I5" s="388"/>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c r="DM5" s="263"/>
      <c r="DN5" s="263"/>
      <c r="DO5" s="263"/>
      <c r="DP5" s="263"/>
      <c r="DQ5" s="263"/>
      <c r="DR5" s="263"/>
      <c r="DS5" s="263"/>
      <c r="DT5" s="263"/>
      <c r="DU5" s="263"/>
      <c r="DV5" s="263"/>
      <c r="DW5" s="263"/>
      <c r="DX5" s="263"/>
      <c r="DY5" s="263"/>
      <c r="DZ5" s="263"/>
      <c r="EA5" s="263"/>
      <c r="EB5" s="263"/>
      <c r="EC5" s="263"/>
      <c r="ED5" s="263"/>
      <c r="EE5" s="263"/>
      <c r="EF5" s="263"/>
      <c r="EG5" s="263"/>
      <c r="EH5" s="263"/>
      <c r="EI5" s="263"/>
      <c r="EJ5" s="263"/>
      <c r="EK5" s="263"/>
      <c r="EL5" s="263"/>
      <c r="EM5" s="263"/>
      <c r="EN5" s="263"/>
      <c r="EO5" s="263"/>
      <c r="EP5" s="263"/>
      <c r="EQ5" s="263"/>
      <c r="ER5" s="263"/>
      <c r="ES5" s="263"/>
      <c r="ET5" s="263"/>
      <c r="EU5" s="263"/>
      <c r="EV5" s="263"/>
      <c r="EW5" s="263"/>
      <c r="EX5" s="263"/>
      <c r="EY5" s="263"/>
      <c r="EZ5" s="263"/>
      <c r="FA5" s="263"/>
      <c r="FB5" s="263"/>
      <c r="FC5" s="263"/>
      <c r="FD5" s="263"/>
      <c r="FE5" s="263"/>
      <c r="FF5" s="263"/>
      <c r="FG5" s="263"/>
      <c r="FH5" s="263"/>
      <c r="FI5" s="263"/>
      <c r="FJ5" s="263"/>
      <c r="FK5" s="263"/>
      <c r="FL5" s="263"/>
      <c r="FM5" s="263"/>
      <c r="FN5" s="263"/>
      <c r="FO5" s="263"/>
      <c r="FP5" s="263"/>
      <c r="FQ5" s="263"/>
      <c r="FR5" s="263"/>
      <c r="FS5" s="263"/>
      <c r="FT5" s="263"/>
      <c r="FU5" s="263"/>
      <c r="FV5" s="263"/>
      <c r="FW5" s="263"/>
      <c r="FX5" s="263"/>
      <c r="FY5" s="263"/>
      <c r="FZ5" s="263"/>
      <c r="GA5" s="263"/>
      <c r="GB5" s="263"/>
      <c r="GC5" s="263"/>
      <c r="GD5" s="263"/>
      <c r="GE5" s="263"/>
      <c r="GF5" s="263"/>
      <c r="GG5" s="263"/>
      <c r="GH5" s="263"/>
      <c r="GI5" s="263"/>
      <c r="GJ5" s="263"/>
      <c r="GK5" s="263"/>
      <c r="GL5" s="263"/>
      <c r="GM5" s="263"/>
      <c r="GN5" s="263"/>
      <c r="GO5" s="263"/>
      <c r="GP5" s="263"/>
      <c r="GQ5" s="263"/>
      <c r="GR5" s="263"/>
      <c r="GS5" s="263"/>
      <c r="GT5" s="263"/>
      <c r="GU5" s="263"/>
      <c r="GV5" s="263"/>
      <c r="GW5" s="263"/>
      <c r="GX5" s="263"/>
      <c r="GY5" s="263"/>
      <c r="GZ5" s="263"/>
      <c r="HA5" s="263"/>
      <c r="HB5" s="263"/>
      <c r="HC5" s="263"/>
      <c r="HD5" s="263"/>
      <c r="HE5" s="263"/>
      <c r="HF5" s="263"/>
      <c r="HG5" s="263"/>
      <c r="HH5" s="263"/>
      <c r="HI5" s="263"/>
      <c r="HJ5" s="263"/>
      <c r="HK5" s="263"/>
      <c r="HL5" s="263"/>
      <c r="HM5" s="263"/>
      <c r="HN5" s="263"/>
      <c r="HO5" s="263"/>
      <c r="HP5" s="263"/>
      <c r="HQ5" s="263"/>
      <c r="HR5" s="263"/>
      <c r="HS5" s="263"/>
      <c r="HT5" s="263"/>
      <c r="HU5" s="263"/>
      <c r="HV5" s="263"/>
      <c r="HW5" s="263"/>
      <c r="HX5" s="263"/>
      <c r="HY5" s="263"/>
      <c r="HZ5" s="263"/>
      <c r="IA5" s="263"/>
      <c r="IB5" s="263"/>
      <c r="IC5" s="263"/>
      <c r="ID5" s="263"/>
      <c r="IE5" s="263"/>
      <c r="IF5" s="263"/>
      <c r="IG5" s="263"/>
      <c r="IH5" s="263"/>
      <c r="II5" s="263"/>
      <c r="IJ5" s="263"/>
      <c r="IK5" s="263"/>
      <c r="IL5" s="263"/>
      <c r="IM5" s="263"/>
      <c r="IN5" s="263"/>
      <c r="IO5" s="263"/>
      <c r="IP5" s="263"/>
      <c r="IQ5" s="263"/>
      <c r="IR5" s="263"/>
      <c r="IS5" s="263"/>
      <c r="IT5" s="263"/>
      <c r="IU5" s="263"/>
      <c r="IV5" s="263"/>
      <c r="IW5" s="263"/>
      <c r="IX5" s="263"/>
      <c r="IY5" s="263"/>
      <c r="IZ5" s="263"/>
      <c r="JA5" s="263"/>
      <c r="JB5" s="263"/>
      <c r="JC5" s="263"/>
      <c r="JD5" s="263"/>
      <c r="JE5" s="263"/>
      <c r="JF5" s="263"/>
      <c r="JG5" s="263"/>
      <c r="JH5" s="263"/>
      <c r="JI5" s="263"/>
      <c r="JJ5" s="263"/>
      <c r="JK5" s="263"/>
      <c r="JL5" s="263"/>
      <c r="JM5" s="263"/>
      <c r="JN5" s="263"/>
      <c r="JO5" s="263"/>
      <c r="JP5" s="263"/>
      <c r="JQ5" s="263"/>
      <c r="JR5" s="263"/>
      <c r="JS5" s="263"/>
      <c r="JT5" s="263"/>
      <c r="JU5" s="263"/>
      <c r="JV5" s="263"/>
      <c r="JW5" s="263"/>
      <c r="JX5" s="263"/>
      <c r="JY5" s="263"/>
      <c r="JZ5" s="263"/>
      <c r="KA5" s="263"/>
      <c r="KB5" s="263"/>
      <c r="KC5" s="263"/>
      <c r="KD5" s="263"/>
      <c r="KE5" s="263"/>
      <c r="KF5" s="263"/>
      <c r="KG5" s="263"/>
      <c r="KH5" s="263"/>
      <c r="KI5" s="263"/>
      <c r="KJ5" s="263"/>
      <c r="KK5" s="263"/>
      <c r="KL5" s="263"/>
      <c r="KM5" s="263"/>
      <c r="KN5" s="263"/>
      <c r="KO5" s="263"/>
      <c r="KP5" s="263"/>
      <c r="KQ5" s="263"/>
      <c r="KR5" s="263"/>
      <c r="KS5" s="263"/>
      <c r="KT5" s="263"/>
      <c r="KU5" s="263"/>
      <c r="KV5" s="263"/>
      <c r="KW5" s="263"/>
      <c r="KX5" s="263"/>
      <c r="KY5" s="263"/>
      <c r="KZ5" s="263"/>
      <c r="LA5" s="263"/>
      <c r="LB5" s="263"/>
      <c r="LC5" s="263"/>
      <c r="LD5" s="263"/>
      <c r="LE5" s="263"/>
      <c r="LF5" s="263"/>
      <c r="LG5" s="263"/>
      <c r="LH5" s="263"/>
      <c r="LI5" s="263"/>
      <c r="LJ5" s="263"/>
      <c r="LK5" s="263"/>
      <c r="LL5" s="263"/>
      <c r="LM5" s="263"/>
      <c r="LN5" s="263"/>
      <c r="LO5" s="263"/>
      <c r="LP5" s="263"/>
      <c r="LQ5" s="263"/>
      <c r="LR5" s="263"/>
      <c r="LS5" s="263"/>
      <c r="LT5" s="263"/>
      <c r="LU5" s="263"/>
      <c r="LV5" s="263"/>
      <c r="LW5" s="263"/>
      <c r="LX5" s="263"/>
      <c r="LY5" s="263"/>
      <c r="LZ5" s="263"/>
      <c r="MA5" s="263"/>
      <c r="MB5" s="263"/>
      <c r="MC5" s="263"/>
      <c r="MD5" s="263"/>
      <c r="ME5" s="263"/>
      <c r="MF5" s="263"/>
      <c r="MG5" s="263"/>
      <c r="MH5" s="263"/>
      <c r="MI5" s="263"/>
      <c r="MJ5" s="263"/>
      <c r="MK5" s="263"/>
      <c r="ML5" s="263"/>
      <c r="MM5" s="263"/>
      <c r="MN5" s="263"/>
      <c r="MO5" s="263"/>
      <c r="MP5" s="263"/>
      <c r="MQ5" s="263"/>
      <c r="MR5" s="263"/>
      <c r="MS5" s="263"/>
      <c r="MT5" s="263"/>
      <c r="MU5" s="263"/>
      <c r="MV5" s="263"/>
      <c r="MW5" s="263"/>
      <c r="MX5" s="263"/>
      <c r="MY5" s="263"/>
      <c r="MZ5" s="263"/>
      <c r="NA5" s="263"/>
      <c r="NB5" s="263"/>
      <c r="NC5" s="263"/>
      <c r="ND5" s="263"/>
      <c r="NE5" s="263"/>
      <c r="NF5" s="263"/>
      <c r="NG5" s="263"/>
      <c r="NH5" s="263"/>
      <c r="NI5" s="263"/>
      <c r="NJ5" s="263"/>
      <c r="NK5" s="263"/>
      <c r="NL5" s="263"/>
      <c r="NM5" s="263"/>
      <c r="NN5" s="263"/>
      <c r="NO5" s="263"/>
      <c r="NP5" s="263"/>
      <c r="NQ5" s="263"/>
      <c r="NR5" s="263"/>
      <c r="NS5" s="263"/>
      <c r="NT5" s="263"/>
      <c r="NU5" s="263"/>
      <c r="NV5" s="263"/>
      <c r="NW5" s="263"/>
      <c r="NX5" s="263"/>
      <c r="NY5" s="263"/>
      <c r="NZ5" s="263"/>
      <c r="OA5" s="263"/>
      <c r="OB5" s="263"/>
      <c r="OC5" s="263"/>
      <c r="OD5" s="263"/>
      <c r="OE5" s="263"/>
      <c r="OF5" s="263"/>
      <c r="OG5" s="263"/>
      <c r="OH5" s="263"/>
      <c r="OI5" s="263"/>
      <c r="OJ5" s="263"/>
      <c r="OK5" s="263"/>
      <c r="OL5" s="263"/>
      <c r="OM5" s="263"/>
      <c r="ON5" s="263"/>
      <c r="OO5" s="263"/>
      <c r="OP5" s="263"/>
      <c r="OQ5" s="263"/>
      <c r="OR5" s="263"/>
      <c r="OS5" s="263"/>
      <c r="OT5" s="263"/>
      <c r="OU5" s="263"/>
      <c r="OV5" s="263"/>
      <c r="OW5" s="263"/>
      <c r="OX5" s="263"/>
      <c r="OY5" s="263"/>
      <c r="OZ5" s="263"/>
      <c r="PA5" s="263"/>
      <c r="PB5" s="263"/>
      <c r="PC5" s="263"/>
      <c r="PD5" s="263"/>
      <c r="PE5" s="263"/>
      <c r="PF5" s="263"/>
      <c r="PG5" s="263"/>
      <c r="PH5" s="263"/>
      <c r="PI5" s="263"/>
      <c r="PJ5" s="263"/>
      <c r="PK5" s="263"/>
      <c r="PL5" s="263"/>
      <c r="PM5" s="263"/>
      <c r="PN5" s="263"/>
      <c r="PO5" s="263"/>
      <c r="PP5" s="263"/>
      <c r="PQ5" s="263"/>
      <c r="PR5" s="263"/>
      <c r="PS5" s="263"/>
      <c r="PT5" s="263"/>
      <c r="PU5" s="263"/>
      <c r="PV5" s="263"/>
      <c r="PW5" s="263"/>
      <c r="PX5" s="263"/>
      <c r="PY5" s="263"/>
      <c r="PZ5" s="263"/>
      <c r="QA5" s="263"/>
      <c r="QB5" s="263"/>
      <c r="QC5" s="263"/>
      <c r="QD5" s="263"/>
      <c r="QE5" s="263"/>
      <c r="QF5" s="263"/>
      <c r="QG5" s="263"/>
      <c r="QH5" s="263"/>
      <c r="QI5" s="263"/>
      <c r="QJ5" s="263"/>
      <c r="QK5" s="263"/>
      <c r="QL5" s="263"/>
      <c r="QM5" s="263"/>
      <c r="QN5" s="263"/>
      <c r="QO5" s="263"/>
      <c r="QP5" s="263"/>
      <c r="QQ5" s="263"/>
      <c r="QR5" s="263"/>
      <c r="QS5" s="263"/>
      <c r="QT5" s="263"/>
      <c r="QU5" s="263"/>
      <c r="QV5" s="263"/>
      <c r="QW5" s="263"/>
      <c r="QX5" s="263"/>
      <c r="QY5" s="263"/>
      <c r="QZ5" s="263"/>
      <c r="RA5" s="263"/>
      <c r="RB5" s="263"/>
      <c r="RC5" s="263"/>
      <c r="RD5" s="263"/>
      <c r="RE5" s="263"/>
      <c r="RF5" s="263"/>
      <c r="RG5" s="263"/>
      <c r="RH5" s="263"/>
      <c r="RI5" s="263"/>
      <c r="RJ5" s="263"/>
      <c r="RK5" s="263"/>
      <c r="RL5" s="263"/>
      <c r="RM5" s="263"/>
      <c r="RN5" s="263"/>
      <c r="RO5" s="263"/>
      <c r="RP5" s="263"/>
      <c r="RQ5" s="263"/>
      <c r="RR5" s="263"/>
      <c r="RS5" s="263"/>
      <c r="RT5" s="263"/>
      <c r="RU5" s="263"/>
      <c r="RV5" s="263"/>
      <c r="RW5" s="263"/>
      <c r="RX5" s="263"/>
      <c r="RY5" s="263"/>
      <c r="RZ5" s="263"/>
      <c r="SA5" s="263"/>
      <c r="SB5" s="263"/>
      <c r="SC5" s="263"/>
      <c r="SD5" s="263"/>
      <c r="SE5" s="263"/>
      <c r="SF5" s="263"/>
      <c r="SG5" s="263"/>
      <c r="SH5" s="263"/>
      <c r="SI5" s="263"/>
      <c r="SJ5" s="263"/>
      <c r="SK5" s="263"/>
      <c r="SL5" s="263"/>
      <c r="SM5" s="263"/>
      <c r="SN5" s="263"/>
      <c r="SO5" s="263"/>
      <c r="SP5" s="263"/>
      <c r="SQ5" s="263"/>
      <c r="SR5" s="263"/>
      <c r="SS5" s="263"/>
      <c r="ST5" s="263"/>
      <c r="SU5" s="263"/>
      <c r="SV5" s="263"/>
      <c r="SW5" s="263"/>
      <c r="SX5" s="263"/>
      <c r="SY5" s="263"/>
      <c r="SZ5" s="263"/>
      <c r="TA5" s="263"/>
      <c r="TB5" s="263"/>
      <c r="TC5" s="263"/>
      <c r="TD5" s="263"/>
      <c r="TE5" s="263"/>
      <c r="TF5" s="263"/>
      <c r="TG5" s="263"/>
      <c r="TH5" s="263"/>
      <c r="TI5" s="263"/>
      <c r="TJ5" s="263"/>
      <c r="TK5" s="263"/>
      <c r="TL5" s="263"/>
      <c r="TM5" s="263"/>
      <c r="TN5" s="263"/>
      <c r="TO5" s="263"/>
      <c r="TP5" s="263"/>
      <c r="TQ5" s="263"/>
      <c r="TR5" s="263"/>
      <c r="TS5" s="263"/>
      <c r="TT5" s="263"/>
      <c r="TU5" s="263"/>
      <c r="TV5" s="263"/>
      <c r="TW5" s="263"/>
      <c r="TX5" s="263"/>
      <c r="TY5" s="263"/>
      <c r="TZ5" s="263"/>
      <c r="UA5" s="263"/>
      <c r="UB5" s="263"/>
      <c r="UC5" s="263"/>
      <c r="UD5" s="263"/>
      <c r="UE5" s="263"/>
      <c r="UF5" s="263"/>
      <c r="UG5" s="263"/>
      <c r="UH5" s="263"/>
      <c r="UI5" s="263"/>
      <c r="UJ5" s="263"/>
      <c r="UK5" s="263"/>
      <c r="UL5" s="263"/>
      <c r="UM5" s="263"/>
      <c r="UN5" s="263"/>
      <c r="UO5" s="263"/>
      <c r="UP5" s="263"/>
      <c r="UQ5" s="263"/>
      <c r="UR5" s="263"/>
      <c r="US5" s="263"/>
      <c r="UT5" s="263"/>
      <c r="UU5" s="263"/>
      <c r="UV5" s="263"/>
      <c r="UW5" s="263"/>
      <c r="UX5" s="263"/>
      <c r="UY5" s="263"/>
      <c r="UZ5" s="263"/>
      <c r="VA5" s="263"/>
      <c r="VB5" s="263"/>
      <c r="VC5" s="263"/>
      <c r="VD5" s="263"/>
      <c r="VE5" s="263"/>
      <c r="VF5" s="263"/>
      <c r="VG5" s="263"/>
      <c r="VH5" s="263"/>
      <c r="VI5" s="263"/>
      <c r="VJ5" s="263"/>
      <c r="VK5" s="263"/>
      <c r="VL5" s="263"/>
      <c r="VM5" s="263"/>
      <c r="VN5" s="263"/>
      <c r="VO5" s="263"/>
      <c r="VP5" s="263"/>
      <c r="VQ5" s="263"/>
      <c r="VR5" s="263"/>
      <c r="VS5" s="263"/>
      <c r="VT5" s="263"/>
      <c r="VU5" s="263"/>
      <c r="VV5" s="263"/>
      <c r="VW5" s="263"/>
      <c r="VX5" s="263"/>
      <c r="VY5" s="263"/>
      <c r="VZ5" s="263"/>
      <c r="WA5" s="263"/>
      <c r="WB5" s="263"/>
      <c r="WC5" s="263"/>
      <c r="WD5" s="263"/>
      <c r="WE5" s="263"/>
      <c r="WF5" s="263"/>
      <c r="WG5" s="263"/>
      <c r="WH5" s="263"/>
      <c r="WI5" s="263"/>
      <c r="WJ5" s="263"/>
      <c r="WK5" s="263"/>
      <c r="WL5" s="263"/>
      <c r="WM5" s="263"/>
      <c r="WN5" s="263"/>
      <c r="WO5" s="263"/>
      <c r="WP5" s="263"/>
      <c r="WQ5" s="263"/>
      <c r="WR5" s="263"/>
      <c r="WS5" s="263"/>
      <c r="WT5" s="263"/>
      <c r="WU5" s="263"/>
      <c r="WV5" s="263"/>
      <c r="WW5" s="263"/>
      <c r="WX5" s="263"/>
      <c r="WY5" s="263"/>
      <c r="WZ5" s="263"/>
      <c r="XA5" s="263"/>
      <c r="XB5" s="263"/>
      <c r="XC5" s="263"/>
      <c r="XD5" s="263"/>
      <c r="XE5" s="263"/>
      <c r="XF5" s="263"/>
      <c r="XG5" s="263"/>
      <c r="XH5" s="263"/>
      <c r="XI5" s="263"/>
      <c r="XJ5" s="263"/>
      <c r="XK5" s="263"/>
      <c r="XL5" s="263"/>
      <c r="XM5" s="263"/>
      <c r="XN5" s="263"/>
      <c r="XO5" s="263"/>
      <c r="XP5" s="263"/>
      <c r="XQ5" s="263"/>
      <c r="XR5" s="263"/>
      <c r="XS5" s="263"/>
      <c r="XT5" s="263"/>
      <c r="XU5" s="263"/>
      <c r="XV5" s="263"/>
      <c r="XW5" s="263"/>
      <c r="XX5" s="263"/>
      <c r="XY5" s="263"/>
      <c r="XZ5" s="263"/>
      <c r="YA5" s="263"/>
      <c r="YB5" s="263"/>
      <c r="YC5" s="263"/>
      <c r="YD5" s="263"/>
      <c r="YE5" s="263"/>
      <c r="YF5" s="263"/>
      <c r="YG5" s="263"/>
      <c r="YH5" s="263"/>
      <c r="YI5" s="263"/>
      <c r="YJ5" s="263"/>
      <c r="YK5" s="263"/>
      <c r="YL5" s="263"/>
      <c r="YM5" s="263"/>
      <c r="YN5" s="263"/>
      <c r="YO5" s="263"/>
      <c r="YP5" s="263"/>
      <c r="YQ5" s="263"/>
      <c r="YR5" s="263"/>
      <c r="YS5" s="263"/>
      <c r="YT5" s="263"/>
      <c r="YU5" s="263"/>
      <c r="YV5" s="263"/>
      <c r="YW5" s="263"/>
      <c r="YX5" s="263"/>
      <c r="YY5" s="263"/>
      <c r="YZ5" s="263"/>
      <c r="ZA5" s="263"/>
      <c r="ZB5" s="263"/>
      <c r="ZC5" s="263"/>
      <c r="ZD5" s="263"/>
      <c r="ZE5" s="263"/>
      <c r="ZF5" s="263"/>
      <c r="ZG5" s="263"/>
      <c r="ZH5" s="263"/>
      <c r="ZI5" s="263"/>
      <c r="ZJ5" s="263"/>
      <c r="ZK5" s="263"/>
      <c r="ZL5" s="263"/>
      <c r="ZM5" s="263"/>
      <c r="ZN5" s="263"/>
      <c r="ZO5" s="263"/>
      <c r="ZP5" s="263"/>
      <c r="ZQ5" s="263"/>
      <c r="ZR5" s="263"/>
      <c r="ZS5" s="263"/>
      <c r="ZT5" s="263"/>
      <c r="ZU5" s="263"/>
      <c r="ZV5" s="263"/>
      <c r="ZW5" s="263"/>
      <c r="ZX5" s="263"/>
      <c r="ZY5" s="263"/>
      <c r="ZZ5" s="263"/>
      <c r="AAA5" s="263"/>
      <c r="AAB5" s="263"/>
      <c r="AAC5" s="263"/>
      <c r="AAD5" s="263"/>
      <c r="AAE5" s="263"/>
      <c r="AAF5" s="263"/>
      <c r="AAG5" s="263"/>
      <c r="AAH5" s="263"/>
      <c r="AAI5" s="263"/>
      <c r="AAJ5" s="263"/>
      <c r="AAK5" s="263"/>
      <c r="AAL5" s="263"/>
      <c r="AAM5" s="263"/>
      <c r="AAN5" s="263"/>
      <c r="AAO5" s="263"/>
      <c r="AAP5" s="263"/>
      <c r="AAQ5" s="263"/>
      <c r="AAR5" s="263"/>
      <c r="AAS5" s="263"/>
      <c r="AAT5" s="263"/>
      <c r="AAU5" s="263"/>
      <c r="AAV5" s="263"/>
      <c r="AAW5" s="263"/>
      <c r="AAX5" s="263"/>
      <c r="AAY5" s="263"/>
      <c r="AAZ5" s="263"/>
      <c r="ABA5" s="263"/>
      <c r="ABB5" s="263"/>
      <c r="ABC5" s="263"/>
      <c r="ABD5" s="263"/>
      <c r="ABE5" s="263"/>
      <c r="ABF5" s="263"/>
      <c r="ABG5" s="263"/>
      <c r="ABH5" s="263"/>
      <c r="ABI5" s="263"/>
      <c r="ABJ5" s="263"/>
      <c r="ABK5" s="263"/>
      <c r="ABL5" s="263"/>
      <c r="ABM5" s="263"/>
      <c r="ABN5" s="263"/>
      <c r="ABO5" s="263"/>
      <c r="ABP5" s="263"/>
      <c r="ABQ5" s="263"/>
      <c r="ABR5" s="263"/>
      <c r="ABS5" s="263"/>
      <c r="ABT5" s="263"/>
      <c r="ABU5" s="263"/>
      <c r="ABV5" s="263"/>
      <c r="ABW5" s="263"/>
      <c r="ABX5" s="263"/>
      <c r="ABY5" s="263"/>
      <c r="ABZ5" s="263"/>
      <c r="ACA5" s="263"/>
      <c r="ACB5" s="263"/>
      <c r="ACC5" s="263"/>
      <c r="ACD5" s="263"/>
      <c r="ACE5" s="263"/>
      <c r="ACF5" s="263"/>
      <c r="ACG5" s="263"/>
      <c r="ACH5" s="263"/>
      <c r="ACI5" s="263"/>
      <c r="ACJ5" s="263"/>
      <c r="ACK5" s="263"/>
      <c r="ACL5" s="263"/>
      <c r="ACM5" s="263"/>
      <c r="ACN5" s="263"/>
      <c r="ACO5" s="263"/>
      <c r="ACP5" s="263"/>
      <c r="ACQ5" s="263"/>
      <c r="ACR5" s="263"/>
      <c r="ACS5" s="263"/>
      <c r="ACT5" s="263"/>
      <c r="ACU5" s="263"/>
      <c r="ACV5" s="263"/>
      <c r="ACW5" s="263"/>
      <c r="ACX5" s="263"/>
      <c r="ACY5" s="263"/>
      <c r="ACZ5" s="263"/>
      <c r="ADA5" s="263"/>
      <c r="ADB5" s="263"/>
      <c r="ADC5" s="263"/>
      <c r="ADD5" s="263"/>
      <c r="ADE5" s="263"/>
      <c r="ADF5" s="263"/>
      <c r="ADG5" s="263"/>
      <c r="ADH5" s="263"/>
      <c r="ADI5" s="263"/>
      <c r="ADJ5" s="263"/>
      <c r="ADK5" s="263"/>
      <c r="ADL5" s="263"/>
      <c r="ADM5" s="263"/>
      <c r="ADN5" s="263"/>
      <c r="ADO5" s="263"/>
      <c r="ADP5" s="263"/>
      <c r="ADQ5" s="263"/>
      <c r="ADR5" s="263"/>
      <c r="ADS5" s="263"/>
      <c r="ADT5" s="263"/>
      <c r="ADU5" s="263"/>
      <c r="ADV5" s="263"/>
      <c r="ADW5" s="263"/>
      <c r="ADX5" s="263"/>
      <c r="ADY5" s="263"/>
      <c r="ADZ5" s="263"/>
      <c r="AEA5" s="263"/>
      <c r="AEB5" s="263"/>
      <c r="AEC5" s="263"/>
      <c r="AED5" s="263"/>
      <c r="AEE5" s="263"/>
      <c r="AEF5" s="263"/>
      <c r="AEG5" s="263"/>
      <c r="AEH5" s="263"/>
      <c r="AEI5" s="263"/>
      <c r="AEJ5" s="263"/>
      <c r="AEK5" s="263"/>
      <c r="AEL5" s="263"/>
      <c r="AEM5" s="263"/>
      <c r="AEN5" s="263"/>
      <c r="AEO5" s="263"/>
      <c r="AEP5" s="263"/>
      <c r="AEQ5" s="263"/>
      <c r="AER5" s="263"/>
      <c r="AES5" s="263"/>
      <c r="AET5" s="263"/>
      <c r="AEU5" s="263"/>
      <c r="AEV5" s="263"/>
      <c r="AEW5" s="263"/>
      <c r="AEX5" s="263"/>
      <c r="AEY5" s="263"/>
      <c r="AEZ5" s="263"/>
      <c r="AFA5" s="263"/>
      <c r="AFB5" s="263"/>
      <c r="AFC5" s="263"/>
      <c r="AFD5" s="263"/>
      <c r="AFE5" s="263"/>
      <c r="AFF5" s="263"/>
      <c r="AFG5" s="263"/>
      <c r="AFH5" s="263"/>
      <c r="AFI5" s="263"/>
      <c r="AFJ5" s="263"/>
      <c r="AFK5" s="263"/>
      <c r="AFL5" s="263"/>
      <c r="AFM5" s="263"/>
      <c r="AFN5" s="263"/>
      <c r="AFO5" s="263"/>
      <c r="AFP5" s="263"/>
      <c r="AFQ5" s="263"/>
      <c r="AFR5" s="263"/>
      <c r="AFS5" s="263"/>
      <c r="AFT5" s="263"/>
      <c r="AFU5" s="263"/>
      <c r="AFV5" s="263"/>
      <c r="AFW5" s="263"/>
      <c r="AFX5" s="263"/>
      <c r="AFY5" s="263"/>
      <c r="AFZ5" s="263"/>
      <c r="AGA5" s="263"/>
      <c r="AGB5" s="263"/>
      <c r="AGC5" s="263"/>
      <c r="AGD5" s="263"/>
      <c r="AGE5" s="263"/>
      <c r="AGF5" s="263"/>
      <c r="AGG5" s="263"/>
      <c r="AGH5" s="263"/>
      <c r="AGI5" s="263"/>
      <c r="AGJ5" s="263"/>
      <c r="AGK5" s="263"/>
      <c r="AGL5" s="263"/>
      <c r="AGM5" s="263"/>
      <c r="AGN5" s="263"/>
      <c r="AGO5" s="263"/>
      <c r="AGP5" s="263"/>
      <c r="AGQ5" s="263"/>
      <c r="AGR5" s="263"/>
      <c r="AGS5" s="263"/>
      <c r="AGT5" s="263"/>
      <c r="AGU5" s="263"/>
      <c r="AGV5" s="263"/>
      <c r="AGW5" s="263"/>
      <c r="AGX5" s="263"/>
      <c r="AGY5" s="263"/>
      <c r="AGZ5" s="263"/>
      <c r="AHA5" s="263"/>
      <c r="AHB5" s="263"/>
      <c r="AHC5" s="263"/>
      <c r="AHD5" s="263"/>
      <c r="AHE5" s="263"/>
      <c r="AHF5" s="263"/>
      <c r="AHG5" s="263"/>
      <c r="AHH5" s="263"/>
      <c r="AHI5" s="263"/>
      <c r="AHJ5" s="263"/>
      <c r="AHK5" s="263"/>
      <c r="AHL5" s="263"/>
      <c r="AHM5" s="263"/>
      <c r="AHN5" s="263"/>
      <c r="AHO5" s="263"/>
      <c r="AHP5" s="263"/>
      <c r="AHQ5" s="263"/>
      <c r="AHR5" s="263"/>
      <c r="AHS5" s="263"/>
      <c r="AHT5" s="263"/>
      <c r="AHU5" s="263"/>
      <c r="AHV5" s="263"/>
      <c r="AHW5" s="263"/>
      <c r="AHX5" s="263"/>
      <c r="AHY5" s="263"/>
      <c r="AHZ5" s="263"/>
      <c r="AIA5" s="263"/>
      <c r="AIB5" s="263"/>
      <c r="AIC5" s="263"/>
      <c r="AID5" s="263"/>
      <c r="AIE5" s="263"/>
      <c r="AIF5" s="263"/>
      <c r="AIG5" s="263"/>
      <c r="AIH5" s="263"/>
      <c r="AII5" s="263"/>
      <c r="AIJ5" s="263"/>
      <c r="AIK5" s="263"/>
      <c r="AIL5" s="263"/>
      <c r="AIM5" s="263"/>
      <c r="AIN5" s="263"/>
      <c r="AIO5" s="263"/>
      <c r="AIP5" s="263"/>
      <c r="AIQ5" s="263"/>
      <c r="AIR5" s="263"/>
      <c r="AIS5" s="263"/>
      <c r="AIT5" s="263"/>
      <c r="AIU5" s="263"/>
      <c r="AIV5" s="263"/>
      <c r="AIW5" s="263"/>
      <c r="AIX5" s="263"/>
      <c r="AIY5" s="263"/>
      <c r="AIZ5" s="263"/>
      <c r="AJA5" s="263"/>
      <c r="AJB5" s="263"/>
      <c r="AJC5" s="263"/>
      <c r="AJD5" s="263"/>
      <c r="AJE5" s="263"/>
      <c r="AJF5" s="263"/>
      <c r="AJG5" s="263"/>
      <c r="AJH5" s="263"/>
      <c r="AJI5" s="263"/>
      <c r="AJJ5" s="263"/>
      <c r="AJK5" s="263"/>
      <c r="AJL5" s="263"/>
      <c r="AJM5" s="263"/>
      <c r="AJN5" s="263"/>
      <c r="AJO5" s="263"/>
      <c r="AJP5" s="263"/>
      <c r="AJQ5" s="263"/>
      <c r="AJR5" s="263"/>
      <c r="AJS5" s="263"/>
      <c r="AJT5" s="263"/>
      <c r="AJU5" s="263"/>
      <c r="AJV5" s="263"/>
      <c r="AJW5" s="263"/>
      <c r="AJX5" s="263"/>
      <c r="AJY5" s="263"/>
      <c r="AJZ5" s="263"/>
      <c r="AKA5" s="263"/>
      <c r="AKB5" s="263"/>
      <c r="AKC5" s="263"/>
      <c r="AKD5" s="263"/>
      <c r="AKE5" s="263"/>
      <c r="AKF5" s="263"/>
      <c r="AKG5" s="263"/>
      <c r="AKH5" s="263"/>
      <c r="AKI5" s="263"/>
      <c r="AKJ5" s="263"/>
      <c r="AKK5" s="263"/>
      <c r="AKL5" s="263"/>
      <c r="AKM5" s="263"/>
      <c r="AKN5" s="263"/>
      <c r="AKO5" s="263"/>
      <c r="AKP5" s="263"/>
      <c r="AKQ5" s="263"/>
      <c r="AKR5" s="263"/>
      <c r="AKS5" s="263"/>
      <c r="AKT5" s="263"/>
      <c r="AKU5" s="263"/>
      <c r="AKV5" s="263"/>
      <c r="AKW5" s="263"/>
      <c r="AKX5" s="263"/>
      <c r="AKY5" s="263"/>
      <c r="AKZ5" s="263"/>
      <c r="ALA5" s="263"/>
      <c r="ALB5" s="263"/>
      <c r="ALC5" s="263"/>
      <c r="ALD5" s="263"/>
      <c r="ALE5" s="263"/>
      <c r="ALF5" s="263"/>
      <c r="ALG5" s="263"/>
      <c r="ALH5" s="263"/>
      <c r="ALI5" s="263"/>
      <c r="ALJ5" s="263"/>
      <c r="ALK5" s="263"/>
      <c r="ALL5" s="263"/>
      <c r="ALM5" s="263"/>
      <c r="ALN5" s="263"/>
      <c r="ALO5" s="263"/>
      <c r="ALP5" s="263"/>
      <c r="ALQ5" s="263"/>
      <c r="ALR5" s="263"/>
      <c r="ALS5" s="263"/>
    </row>
    <row r="6" spans="1:1007" s="3" customFormat="1" x14ac:dyDescent="0.2">
      <c r="A6" s="652" t="s">
        <v>461</v>
      </c>
      <c r="B6" s="388">
        <v>24000</v>
      </c>
      <c r="C6" s="388">
        <v>15000</v>
      </c>
      <c r="D6" s="388">
        <v>18500</v>
      </c>
      <c r="E6" s="388"/>
      <c r="F6" s="388"/>
      <c r="G6" s="388"/>
      <c r="H6" s="388"/>
      <c r="I6" s="388"/>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c r="DM6" s="263"/>
      <c r="DN6" s="263"/>
      <c r="DO6" s="263"/>
      <c r="DP6" s="263"/>
      <c r="DQ6" s="263"/>
      <c r="DR6" s="263"/>
      <c r="DS6" s="263"/>
      <c r="DT6" s="263"/>
      <c r="DU6" s="263"/>
      <c r="DV6" s="263"/>
      <c r="DW6" s="263"/>
      <c r="DX6" s="263"/>
      <c r="DY6" s="263"/>
      <c r="DZ6" s="263"/>
      <c r="EA6" s="263"/>
      <c r="EB6" s="263"/>
      <c r="EC6" s="263"/>
      <c r="ED6" s="263"/>
      <c r="EE6" s="263"/>
      <c r="EF6" s="263"/>
      <c r="EG6" s="263"/>
      <c r="EH6" s="263"/>
      <c r="EI6" s="263"/>
      <c r="EJ6" s="263"/>
      <c r="EK6" s="263"/>
      <c r="EL6" s="263"/>
      <c r="EM6" s="263"/>
      <c r="EN6" s="263"/>
      <c r="EO6" s="263"/>
      <c r="EP6" s="263"/>
      <c r="EQ6" s="263"/>
      <c r="ER6" s="263"/>
      <c r="ES6" s="263"/>
      <c r="ET6" s="263"/>
      <c r="EU6" s="263"/>
      <c r="EV6" s="263"/>
      <c r="EW6" s="263"/>
      <c r="EX6" s="263"/>
      <c r="EY6" s="263"/>
      <c r="EZ6" s="263"/>
      <c r="FA6" s="263"/>
      <c r="FB6" s="263"/>
      <c r="FC6" s="263"/>
      <c r="FD6" s="263"/>
      <c r="FE6" s="263"/>
      <c r="FF6" s="263"/>
      <c r="FG6" s="263"/>
      <c r="FH6" s="263"/>
      <c r="FI6" s="263"/>
      <c r="FJ6" s="263"/>
      <c r="FK6" s="263"/>
      <c r="FL6" s="263"/>
      <c r="FM6" s="263"/>
      <c r="FN6" s="263"/>
      <c r="FO6" s="263"/>
      <c r="FP6" s="263"/>
      <c r="FQ6" s="263"/>
      <c r="FR6" s="263"/>
      <c r="FS6" s="263"/>
      <c r="FT6" s="263"/>
      <c r="FU6" s="263"/>
      <c r="FV6" s="263"/>
      <c r="FW6" s="263"/>
      <c r="FX6" s="263"/>
      <c r="FY6" s="263"/>
      <c r="FZ6" s="263"/>
      <c r="GA6" s="263"/>
      <c r="GB6" s="263"/>
      <c r="GC6" s="263"/>
      <c r="GD6" s="263"/>
      <c r="GE6" s="263"/>
      <c r="GF6" s="263"/>
      <c r="GG6" s="263"/>
      <c r="GH6" s="263"/>
      <c r="GI6" s="263"/>
      <c r="GJ6" s="263"/>
      <c r="GK6" s="263"/>
      <c r="GL6" s="263"/>
      <c r="GM6" s="263"/>
      <c r="GN6" s="263"/>
      <c r="GO6" s="263"/>
      <c r="GP6" s="263"/>
      <c r="GQ6" s="263"/>
      <c r="GR6" s="263"/>
      <c r="GS6" s="263"/>
      <c r="GT6" s="263"/>
      <c r="GU6" s="263"/>
      <c r="GV6" s="263"/>
      <c r="GW6" s="263"/>
      <c r="GX6" s="263"/>
      <c r="GY6" s="263"/>
      <c r="GZ6" s="263"/>
      <c r="HA6" s="263"/>
      <c r="HB6" s="263"/>
      <c r="HC6" s="263"/>
      <c r="HD6" s="263"/>
      <c r="HE6" s="263"/>
      <c r="HF6" s="263"/>
      <c r="HG6" s="263"/>
      <c r="HH6" s="263"/>
      <c r="HI6" s="263"/>
      <c r="HJ6" s="263"/>
      <c r="HK6" s="263"/>
      <c r="HL6" s="263"/>
      <c r="HM6" s="263"/>
      <c r="HN6" s="263"/>
      <c r="HO6" s="263"/>
      <c r="HP6" s="263"/>
      <c r="HQ6" s="263"/>
      <c r="HR6" s="263"/>
      <c r="HS6" s="263"/>
      <c r="HT6" s="263"/>
      <c r="HU6" s="263"/>
      <c r="HV6" s="263"/>
      <c r="HW6" s="263"/>
      <c r="HX6" s="263"/>
      <c r="HY6" s="263"/>
      <c r="HZ6" s="263"/>
      <c r="IA6" s="263"/>
      <c r="IB6" s="263"/>
      <c r="IC6" s="263"/>
      <c r="ID6" s="263"/>
      <c r="IE6" s="263"/>
      <c r="IF6" s="263"/>
      <c r="IG6" s="263"/>
      <c r="IH6" s="263"/>
      <c r="II6" s="263"/>
      <c r="IJ6" s="263"/>
      <c r="IK6" s="263"/>
      <c r="IL6" s="263"/>
      <c r="IM6" s="263"/>
      <c r="IN6" s="263"/>
      <c r="IO6" s="263"/>
      <c r="IP6" s="263"/>
      <c r="IQ6" s="263"/>
      <c r="IR6" s="263"/>
      <c r="IS6" s="263"/>
      <c r="IT6" s="263"/>
      <c r="IU6" s="263"/>
      <c r="IV6" s="263"/>
      <c r="IW6" s="263"/>
      <c r="IX6" s="263"/>
      <c r="IY6" s="263"/>
      <c r="IZ6" s="263"/>
      <c r="JA6" s="263"/>
      <c r="JB6" s="263"/>
      <c r="JC6" s="263"/>
      <c r="JD6" s="263"/>
      <c r="JE6" s="263"/>
      <c r="JF6" s="263"/>
      <c r="JG6" s="263"/>
      <c r="JH6" s="263"/>
      <c r="JI6" s="263"/>
      <c r="JJ6" s="263"/>
      <c r="JK6" s="263"/>
      <c r="JL6" s="263"/>
      <c r="JM6" s="263"/>
      <c r="JN6" s="263"/>
      <c r="JO6" s="263"/>
      <c r="JP6" s="263"/>
      <c r="JQ6" s="263"/>
      <c r="JR6" s="263"/>
      <c r="JS6" s="263"/>
      <c r="JT6" s="263"/>
      <c r="JU6" s="263"/>
      <c r="JV6" s="263"/>
      <c r="JW6" s="263"/>
      <c r="JX6" s="263"/>
      <c r="JY6" s="263"/>
      <c r="JZ6" s="263"/>
      <c r="KA6" s="263"/>
      <c r="KB6" s="263"/>
      <c r="KC6" s="263"/>
      <c r="KD6" s="263"/>
      <c r="KE6" s="263"/>
      <c r="KF6" s="263"/>
      <c r="KG6" s="263"/>
      <c r="KH6" s="263"/>
      <c r="KI6" s="263"/>
      <c r="KJ6" s="263"/>
      <c r="KK6" s="263"/>
      <c r="KL6" s="263"/>
      <c r="KM6" s="263"/>
      <c r="KN6" s="263"/>
      <c r="KO6" s="263"/>
      <c r="KP6" s="263"/>
      <c r="KQ6" s="263"/>
      <c r="KR6" s="263"/>
      <c r="KS6" s="263"/>
      <c r="KT6" s="263"/>
      <c r="KU6" s="263"/>
      <c r="KV6" s="263"/>
      <c r="KW6" s="263"/>
      <c r="KX6" s="263"/>
      <c r="KY6" s="263"/>
      <c r="KZ6" s="263"/>
      <c r="LA6" s="263"/>
      <c r="LB6" s="263"/>
      <c r="LC6" s="263"/>
      <c r="LD6" s="263"/>
      <c r="LE6" s="263"/>
      <c r="LF6" s="263"/>
      <c r="LG6" s="263"/>
      <c r="LH6" s="263"/>
      <c r="LI6" s="263"/>
      <c r="LJ6" s="263"/>
      <c r="LK6" s="263"/>
      <c r="LL6" s="263"/>
      <c r="LM6" s="263"/>
      <c r="LN6" s="263"/>
      <c r="LO6" s="263"/>
      <c r="LP6" s="263"/>
      <c r="LQ6" s="263"/>
      <c r="LR6" s="263"/>
      <c r="LS6" s="263"/>
      <c r="LT6" s="263"/>
      <c r="LU6" s="263"/>
      <c r="LV6" s="263"/>
      <c r="LW6" s="263"/>
      <c r="LX6" s="263"/>
      <c r="LY6" s="263"/>
      <c r="LZ6" s="263"/>
      <c r="MA6" s="263"/>
      <c r="MB6" s="263"/>
      <c r="MC6" s="263"/>
      <c r="MD6" s="263"/>
      <c r="ME6" s="263"/>
      <c r="MF6" s="263"/>
      <c r="MG6" s="263"/>
      <c r="MH6" s="263"/>
      <c r="MI6" s="263"/>
      <c r="MJ6" s="263"/>
      <c r="MK6" s="263"/>
      <c r="ML6" s="263"/>
      <c r="MM6" s="263"/>
      <c r="MN6" s="263"/>
      <c r="MO6" s="263"/>
      <c r="MP6" s="263"/>
      <c r="MQ6" s="263"/>
      <c r="MR6" s="263"/>
      <c r="MS6" s="263"/>
      <c r="MT6" s="263"/>
      <c r="MU6" s="263"/>
      <c r="MV6" s="263"/>
      <c r="MW6" s="263"/>
      <c r="MX6" s="263"/>
      <c r="MY6" s="263"/>
      <c r="MZ6" s="263"/>
      <c r="NA6" s="263"/>
      <c r="NB6" s="263"/>
      <c r="NC6" s="263"/>
      <c r="ND6" s="263"/>
      <c r="NE6" s="263"/>
      <c r="NF6" s="263"/>
      <c r="NG6" s="263"/>
      <c r="NH6" s="263"/>
      <c r="NI6" s="263"/>
      <c r="NJ6" s="263"/>
      <c r="NK6" s="263"/>
      <c r="NL6" s="263"/>
      <c r="NM6" s="263"/>
      <c r="NN6" s="263"/>
      <c r="NO6" s="263"/>
      <c r="NP6" s="263"/>
      <c r="NQ6" s="263"/>
      <c r="NR6" s="263"/>
      <c r="NS6" s="263"/>
      <c r="NT6" s="263"/>
      <c r="NU6" s="263"/>
      <c r="NV6" s="263"/>
      <c r="NW6" s="263"/>
      <c r="NX6" s="263"/>
      <c r="NY6" s="263"/>
      <c r="NZ6" s="263"/>
      <c r="OA6" s="263"/>
      <c r="OB6" s="263"/>
      <c r="OC6" s="263"/>
      <c r="OD6" s="263"/>
      <c r="OE6" s="263"/>
      <c r="OF6" s="263"/>
      <c r="OG6" s="263"/>
      <c r="OH6" s="263"/>
      <c r="OI6" s="263"/>
      <c r="OJ6" s="263"/>
      <c r="OK6" s="263"/>
      <c r="OL6" s="263"/>
      <c r="OM6" s="263"/>
      <c r="ON6" s="263"/>
      <c r="OO6" s="263"/>
      <c r="OP6" s="263"/>
      <c r="OQ6" s="263"/>
      <c r="OR6" s="263"/>
      <c r="OS6" s="263"/>
      <c r="OT6" s="263"/>
      <c r="OU6" s="263"/>
      <c r="OV6" s="263"/>
      <c r="OW6" s="263"/>
      <c r="OX6" s="263"/>
      <c r="OY6" s="263"/>
      <c r="OZ6" s="263"/>
      <c r="PA6" s="263"/>
      <c r="PB6" s="263"/>
      <c r="PC6" s="263"/>
      <c r="PD6" s="263"/>
      <c r="PE6" s="263"/>
      <c r="PF6" s="263"/>
      <c r="PG6" s="263"/>
      <c r="PH6" s="263"/>
      <c r="PI6" s="263"/>
      <c r="PJ6" s="263"/>
      <c r="PK6" s="263"/>
      <c r="PL6" s="263"/>
      <c r="PM6" s="263"/>
      <c r="PN6" s="263"/>
      <c r="PO6" s="263"/>
      <c r="PP6" s="263"/>
      <c r="PQ6" s="263"/>
      <c r="PR6" s="263"/>
      <c r="PS6" s="263"/>
      <c r="PT6" s="263"/>
      <c r="PU6" s="263"/>
      <c r="PV6" s="263"/>
      <c r="PW6" s="263"/>
      <c r="PX6" s="263"/>
      <c r="PY6" s="263"/>
      <c r="PZ6" s="263"/>
      <c r="QA6" s="263"/>
      <c r="QB6" s="263"/>
      <c r="QC6" s="263"/>
      <c r="QD6" s="263"/>
      <c r="QE6" s="263"/>
      <c r="QF6" s="263"/>
      <c r="QG6" s="263"/>
      <c r="QH6" s="263"/>
      <c r="QI6" s="263"/>
      <c r="QJ6" s="263"/>
      <c r="QK6" s="263"/>
      <c r="QL6" s="263"/>
      <c r="QM6" s="263"/>
      <c r="QN6" s="263"/>
      <c r="QO6" s="263"/>
      <c r="QP6" s="263"/>
      <c r="QQ6" s="263"/>
      <c r="QR6" s="263"/>
      <c r="QS6" s="263"/>
      <c r="QT6" s="263"/>
      <c r="QU6" s="263"/>
      <c r="QV6" s="263"/>
      <c r="QW6" s="263"/>
      <c r="QX6" s="263"/>
      <c r="QY6" s="263"/>
      <c r="QZ6" s="263"/>
      <c r="RA6" s="263"/>
      <c r="RB6" s="263"/>
      <c r="RC6" s="263"/>
      <c r="RD6" s="263"/>
      <c r="RE6" s="263"/>
      <c r="RF6" s="263"/>
      <c r="RG6" s="263"/>
      <c r="RH6" s="263"/>
      <c r="RI6" s="263"/>
      <c r="RJ6" s="263"/>
      <c r="RK6" s="263"/>
      <c r="RL6" s="263"/>
      <c r="RM6" s="263"/>
      <c r="RN6" s="263"/>
      <c r="RO6" s="263"/>
      <c r="RP6" s="263"/>
      <c r="RQ6" s="263"/>
      <c r="RR6" s="263"/>
      <c r="RS6" s="263"/>
      <c r="RT6" s="263"/>
      <c r="RU6" s="263"/>
      <c r="RV6" s="263"/>
      <c r="RW6" s="263"/>
      <c r="RX6" s="263"/>
      <c r="RY6" s="263"/>
      <c r="RZ6" s="263"/>
      <c r="SA6" s="263"/>
      <c r="SB6" s="263"/>
      <c r="SC6" s="263"/>
      <c r="SD6" s="263"/>
      <c r="SE6" s="263"/>
      <c r="SF6" s="263"/>
      <c r="SG6" s="263"/>
      <c r="SH6" s="263"/>
      <c r="SI6" s="263"/>
      <c r="SJ6" s="263"/>
      <c r="SK6" s="263"/>
      <c r="SL6" s="263"/>
      <c r="SM6" s="263"/>
      <c r="SN6" s="263"/>
      <c r="SO6" s="263"/>
      <c r="SP6" s="263"/>
      <c r="SQ6" s="263"/>
      <c r="SR6" s="263"/>
      <c r="SS6" s="263"/>
      <c r="ST6" s="263"/>
      <c r="SU6" s="263"/>
      <c r="SV6" s="263"/>
      <c r="SW6" s="263"/>
      <c r="SX6" s="263"/>
      <c r="SY6" s="263"/>
      <c r="SZ6" s="263"/>
      <c r="TA6" s="263"/>
      <c r="TB6" s="263"/>
      <c r="TC6" s="263"/>
      <c r="TD6" s="263"/>
      <c r="TE6" s="263"/>
      <c r="TF6" s="263"/>
      <c r="TG6" s="263"/>
      <c r="TH6" s="263"/>
      <c r="TI6" s="263"/>
      <c r="TJ6" s="263"/>
      <c r="TK6" s="263"/>
      <c r="TL6" s="263"/>
      <c r="TM6" s="263"/>
      <c r="TN6" s="263"/>
      <c r="TO6" s="263"/>
      <c r="TP6" s="263"/>
      <c r="TQ6" s="263"/>
      <c r="TR6" s="263"/>
      <c r="TS6" s="263"/>
      <c r="TT6" s="263"/>
      <c r="TU6" s="263"/>
      <c r="TV6" s="263"/>
      <c r="TW6" s="263"/>
      <c r="TX6" s="263"/>
      <c r="TY6" s="263"/>
      <c r="TZ6" s="263"/>
      <c r="UA6" s="263"/>
      <c r="UB6" s="263"/>
      <c r="UC6" s="263"/>
      <c r="UD6" s="263"/>
      <c r="UE6" s="263"/>
      <c r="UF6" s="263"/>
      <c r="UG6" s="263"/>
      <c r="UH6" s="263"/>
      <c r="UI6" s="263"/>
      <c r="UJ6" s="263"/>
      <c r="UK6" s="263"/>
      <c r="UL6" s="263"/>
      <c r="UM6" s="263"/>
      <c r="UN6" s="263"/>
      <c r="UO6" s="263"/>
      <c r="UP6" s="263"/>
      <c r="UQ6" s="263"/>
      <c r="UR6" s="263"/>
      <c r="US6" s="263"/>
      <c r="UT6" s="263"/>
      <c r="UU6" s="263"/>
      <c r="UV6" s="263"/>
      <c r="UW6" s="263"/>
      <c r="UX6" s="263"/>
      <c r="UY6" s="263"/>
      <c r="UZ6" s="263"/>
      <c r="VA6" s="263"/>
      <c r="VB6" s="263"/>
      <c r="VC6" s="263"/>
      <c r="VD6" s="263"/>
      <c r="VE6" s="263"/>
      <c r="VF6" s="263"/>
      <c r="VG6" s="263"/>
      <c r="VH6" s="263"/>
      <c r="VI6" s="263"/>
      <c r="VJ6" s="263"/>
      <c r="VK6" s="263"/>
      <c r="VL6" s="263"/>
      <c r="VM6" s="263"/>
      <c r="VN6" s="263"/>
      <c r="VO6" s="263"/>
      <c r="VP6" s="263"/>
      <c r="VQ6" s="263"/>
      <c r="VR6" s="263"/>
      <c r="VS6" s="263"/>
      <c r="VT6" s="263"/>
      <c r="VU6" s="263"/>
      <c r="VV6" s="263"/>
      <c r="VW6" s="263"/>
      <c r="VX6" s="263"/>
      <c r="VY6" s="263"/>
      <c r="VZ6" s="263"/>
      <c r="WA6" s="263"/>
      <c r="WB6" s="263"/>
      <c r="WC6" s="263"/>
      <c r="WD6" s="263"/>
      <c r="WE6" s="263"/>
      <c r="WF6" s="263"/>
      <c r="WG6" s="263"/>
      <c r="WH6" s="263"/>
      <c r="WI6" s="263"/>
      <c r="WJ6" s="263"/>
      <c r="WK6" s="263"/>
      <c r="WL6" s="263"/>
      <c r="WM6" s="263"/>
      <c r="WN6" s="263"/>
      <c r="WO6" s="263"/>
      <c r="WP6" s="263"/>
      <c r="WQ6" s="263"/>
      <c r="WR6" s="263"/>
      <c r="WS6" s="263"/>
      <c r="WT6" s="263"/>
      <c r="WU6" s="263"/>
      <c r="WV6" s="263"/>
      <c r="WW6" s="263"/>
      <c r="WX6" s="263"/>
      <c r="WY6" s="263"/>
      <c r="WZ6" s="263"/>
      <c r="XA6" s="263"/>
      <c r="XB6" s="263"/>
      <c r="XC6" s="263"/>
      <c r="XD6" s="263"/>
      <c r="XE6" s="263"/>
      <c r="XF6" s="263"/>
      <c r="XG6" s="263"/>
      <c r="XH6" s="263"/>
      <c r="XI6" s="263"/>
      <c r="XJ6" s="263"/>
      <c r="XK6" s="263"/>
      <c r="XL6" s="263"/>
      <c r="XM6" s="263"/>
      <c r="XN6" s="263"/>
      <c r="XO6" s="263"/>
      <c r="XP6" s="263"/>
      <c r="XQ6" s="263"/>
      <c r="XR6" s="263"/>
      <c r="XS6" s="263"/>
      <c r="XT6" s="263"/>
      <c r="XU6" s="263"/>
      <c r="XV6" s="263"/>
      <c r="XW6" s="263"/>
      <c r="XX6" s="263"/>
      <c r="XY6" s="263"/>
      <c r="XZ6" s="263"/>
      <c r="YA6" s="263"/>
      <c r="YB6" s="263"/>
      <c r="YC6" s="263"/>
      <c r="YD6" s="263"/>
      <c r="YE6" s="263"/>
      <c r="YF6" s="263"/>
      <c r="YG6" s="263"/>
      <c r="YH6" s="263"/>
      <c r="YI6" s="263"/>
      <c r="YJ6" s="263"/>
      <c r="YK6" s="263"/>
      <c r="YL6" s="263"/>
      <c r="YM6" s="263"/>
      <c r="YN6" s="263"/>
      <c r="YO6" s="263"/>
      <c r="YP6" s="263"/>
      <c r="YQ6" s="263"/>
      <c r="YR6" s="263"/>
      <c r="YS6" s="263"/>
      <c r="YT6" s="263"/>
      <c r="YU6" s="263"/>
      <c r="YV6" s="263"/>
      <c r="YW6" s="263"/>
      <c r="YX6" s="263"/>
      <c r="YY6" s="263"/>
      <c r="YZ6" s="263"/>
      <c r="ZA6" s="263"/>
      <c r="ZB6" s="263"/>
      <c r="ZC6" s="263"/>
      <c r="ZD6" s="263"/>
      <c r="ZE6" s="263"/>
      <c r="ZF6" s="263"/>
      <c r="ZG6" s="263"/>
      <c r="ZH6" s="263"/>
      <c r="ZI6" s="263"/>
      <c r="ZJ6" s="263"/>
      <c r="ZK6" s="263"/>
      <c r="ZL6" s="263"/>
      <c r="ZM6" s="263"/>
      <c r="ZN6" s="263"/>
      <c r="ZO6" s="263"/>
      <c r="ZP6" s="263"/>
      <c r="ZQ6" s="263"/>
      <c r="ZR6" s="263"/>
      <c r="ZS6" s="263"/>
      <c r="ZT6" s="263"/>
      <c r="ZU6" s="263"/>
      <c r="ZV6" s="263"/>
      <c r="ZW6" s="263"/>
      <c r="ZX6" s="263"/>
      <c r="ZY6" s="263"/>
      <c r="ZZ6" s="263"/>
      <c r="AAA6" s="263"/>
      <c r="AAB6" s="263"/>
      <c r="AAC6" s="263"/>
      <c r="AAD6" s="263"/>
      <c r="AAE6" s="263"/>
      <c r="AAF6" s="263"/>
      <c r="AAG6" s="263"/>
      <c r="AAH6" s="263"/>
      <c r="AAI6" s="263"/>
      <c r="AAJ6" s="263"/>
      <c r="AAK6" s="263"/>
      <c r="AAL6" s="263"/>
      <c r="AAM6" s="263"/>
      <c r="AAN6" s="263"/>
      <c r="AAO6" s="263"/>
      <c r="AAP6" s="263"/>
      <c r="AAQ6" s="263"/>
      <c r="AAR6" s="263"/>
      <c r="AAS6" s="263"/>
      <c r="AAT6" s="263"/>
      <c r="AAU6" s="263"/>
      <c r="AAV6" s="263"/>
      <c r="AAW6" s="263"/>
      <c r="AAX6" s="263"/>
      <c r="AAY6" s="263"/>
      <c r="AAZ6" s="263"/>
      <c r="ABA6" s="263"/>
      <c r="ABB6" s="263"/>
      <c r="ABC6" s="263"/>
      <c r="ABD6" s="263"/>
      <c r="ABE6" s="263"/>
      <c r="ABF6" s="263"/>
      <c r="ABG6" s="263"/>
      <c r="ABH6" s="263"/>
      <c r="ABI6" s="263"/>
      <c r="ABJ6" s="263"/>
      <c r="ABK6" s="263"/>
      <c r="ABL6" s="263"/>
      <c r="ABM6" s="263"/>
      <c r="ABN6" s="263"/>
      <c r="ABO6" s="263"/>
      <c r="ABP6" s="263"/>
      <c r="ABQ6" s="263"/>
      <c r="ABR6" s="263"/>
      <c r="ABS6" s="263"/>
      <c r="ABT6" s="263"/>
      <c r="ABU6" s="263"/>
      <c r="ABV6" s="263"/>
      <c r="ABW6" s="263"/>
      <c r="ABX6" s="263"/>
      <c r="ABY6" s="263"/>
      <c r="ABZ6" s="263"/>
      <c r="ACA6" s="263"/>
      <c r="ACB6" s="263"/>
      <c r="ACC6" s="263"/>
      <c r="ACD6" s="263"/>
      <c r="ACE6" s="263"/>
      <c r="ACF6" s="263"/>
      <c r="ACG6" s="263"/>
      <c r="ACH6" s="263"/>
      <c r="ACI6" s="263"/>
      <c r="ACJ6" s="263"/>
      <c r="ACK6" s="263"/>
      <c r="ACL6" s="263"/>
      <c r="ACM6" s="263"/>
      <c r="ACN6" s="263"/>
      <c r="ACO6" s="263"/>
      <c r="ACP6" s="263"/>
      <c r="ACQ6" s="263"/>
      <c r="ACR6" s="263"/>
      <c r="ACS6" s="263"/>
      <c r="ACT6" s="263"/>
      <c r="ACU6" s="263"/>
      <c r="ACV6" s="263"/>
      <c r="ACW6" s="263"/>
      <c r="ACX6" s="263"/>
      <c r="ACY6" s="263"/>
      <c r="ACZ6" s="263"/>
      <c r="ADA6" s="263"/>
      <c r="ADB6" s="263"/>
      <c r="ADC6" s="263"/>
      <c r="ADD6" s="263"/>
      <c r="ADE6" s="263"/>
      <c r="ADF6" s="263"/>
      <c r="ADG6" s="263"/>
      <c r="ADH6" s="263"/>
      <c r="ADI6" s="263"/>
      <c r="ADJ6" s="263"/>
      <c r="ADK6" s="263"/>
      <c r="ADL6" s="263"/>
      <c r="ADM6" s="263"/>
      <c r="ADN6" s="263"/>
      <c r="ADO6" s="263"/>
      <c r="ADP6" s="263"/>
      <c r="ADQ6" s="263"/>
      <c r="ADR6" s="263"/>
      <c r="ADS6" s="263"/>
      <c r="ADT6" s="263"/>
      <c r="ADU6" s="263"/>
      <c r="ADV6" s="263"/>
      <c r="ADW6" s="263"/>
      <c r="ADX6" s="263"/>
      <c r="ADY6" s="263"/>
      <c r="ADZ6" s="263"/>
      <c r="AEA6" s="263"/>
      <c r="AEB6" s="263"/>
      <c r="AEC6" s="263"/>
      <c r="AED6" s="263"/>
      <c r="AEE6" s="263"/>
      <c r="AEF6" s="263"/>
      <c r="AEG6" s="263"/>
      <c r="AEH6" s="263"/>
      <c r="AEI6" s="263"/>
      <c r="AEJ6" s="263"/>
      <c r="AEK6" s="263"/>
      <c r="AEL6" s="263"/>
      <c r="AEM6" s="263"/>
      <c r="AEN6" s="263"/>
      <c r="AEO6" s="263"/>
      <c r="AEP6" s="263"/>
      <c r="AEQ6" s="263"/>
      <c r="AER6" s="263"/>
      <c r="AES6" s="263"/>
      <c r="AET6" s="263"/>
      <c r="AEU6" s="263"/>
      <c r="AEV6" s="263"/>
      <c r="AEW6" s="263"/>
      <c r="AEX6" s="263"/>
      <c r="AEY6" s="263"/>
      <c r="AEZ6" s="263"/>
      <c r="AFA6" s="263"/>
      <c r="AFB6" s="263"/>
      <c r="AFC6" s="263"/>
      <c r="AFD6" s="263"/>
      <c r="AFE6" s="263"/>
      <c r="AFF6" s="263"/>
      <c r="AFG6" s="263"/>
      <c r="AFH6" s="263"/>
      <c r="AFI6" s="263"/>
      <c r="AFJ6" s="263"/>
      <c r="AFK6" s="263"/>
      <c r="AFL6" s="263"/>
      <c r="AFM6" s="263"/>
      <c r="AFN6" s="263"/>
      <c r="AFO6" s="263"/>
      <c r="AFP6" s="263"/>
      <c r="AFQ6" s="263"/>
      <c r="AFR6" s="263"/>
      <c r="AFS6" s="263"/>
      <c r="AFT6" s="263"/>
      <c r="AFU6" s="263"/>
      <c r="AFV6" s="263"/>
      <c r="AFW6" s="263"/>
      <c r="AFX6" s="263"/>
      <c r="AFY6" s="263"/>
      <c r="AFZ6" s="263"/>
      <c r="AGA6" s="263"/>
      <c r="AGB6" s="263"/>
      <c r="AGC6" s="263"/>
      <c r="AGD6" s="263"/>
      <c r="AGE6" s="263"/>
      <c r="AGF6" s="263"/>
      <c r="AGG6" s="263"/>
      <c r="AGH6" s="263"/>
      <c r="AGI6" s="263"/>
      <c r="AGJ6" s="263"/>
      <c r="AGK6" s="263"/>
      <c r="AGL6" s="263"/>
      <c r="AGM6" s="263"/>
      <c r="AGN6" s="263"/>
      <c r="AGO6" s="263"/>
      <c r="AGP6" s="263"/>
      <c r="AGQ6" s="263"/>
      <c r="AGR6" s="263"/>
      <c r="AGS6" s="263"/>
      <c r="AGT6" s="263"/>
      <c r="AGU6" s="263"/>
      <c r="AGV6" s="263"/>
      <c r="AGW6" s="263"/>
      <c r="AGX6" s="263"/>
      <c r="AGY6" s="263"/>
      <c r="AGZ6" s="263"/>
      <c r="AHA6" s="263"/>
      <c r="AHB6" s="263"/>
      <c r="AHC6" s="263"/>
      <c r="AHD6" s="263"/>
      <c r="AHE6" s="263"/>
      <c r="AHF6" s="263"/>
      <c r="AHG6" s="263"/>
      <c r="AHH6" s="263"/>
      <c r="AHI6" s="263"/>
      <c r="AHJ6" s="263"/>
      <c r="AHK6" s="263"/>
      <c r="AHL6" s="263"/>
      <c r="AHM6" s="263"/>
      <c r="AHN6" s="263"/>
      <c r="AHO6" s="263"/>
      <c r="AHP6" s="263"/>
      <c r="AHQ6" s="263"/>
      <c r="AHR6" s="263"/>
      <c r="AHS6" s="263"/>
      <c r="AHT6" s="263"/>
      <c r="AHU6" s="263"/>
      <c r="AHV6" s="263"/>
      <c r="AHW6" s="263"/>
      <c r="AHX6" s="263"/>
      <c r="AHY6" s="263"/>
      <c r="AHZ6" s="263"/>
      <c r="AIA6" s="263"/>
      <c r="AIB6" s="263"/>
      <c r="AIC6" s="263"/>
      <c r="AID6" s="263"/>
      <c r="AIE6" s="263"/>
      <c r="AIF6" s="263"/>
      <c r="AIG6" s="263"/>
      <c r="AIH6" s="263"/>
      <c r="AII6" s="263"/>
      <c r="AIJ6" s="263"/>
      <c r="AIK6" s="263"/>
      <c r="AIL6" s="263"/>
      <c r="AIM6" s="263"/>
      <c r="AIN6" s="263"/>
      <c r="AIO6" s="263"/>
      <c r="AIP6" s="263"/>
      <c r="AIQ6" s="263"/>
      <c r="AIR6" s="263"/>
      <c r="AIS6" s="263"/>
      <c r="AIT6" s="263"/>
      <c r="AIU6" s="263"/>
      <c r="AIV6" s="263"/>
      <c r="AIW6" s="263"/>
      <c r="AIX6" s="263"/>
      <c r="AIY6" s="263"/>
      <c r="AIZ6" s="263"/>
      <c r="AJA6" s="263"/>
      <c r="AJB6" s="263"/>
      <c r="AJC6" s="263"/>
      <c r="AJD6" s="263"/>
      <c r="AJE6" s="263"/>
      <c r="AJF6" s="263"/>
      <c r="AJG6" s="263"/>
      <c r="AJH6" s="263"/>
      <c r="AJI6" s="263"/>
      <c r="AJJ6" s="263"/>
      <c r="AJK6" s="263"/>
      <c r="AJL6" s="263"/>
      <c r="AJM6" s="263"/>
      <c r="AJN6" s="263"/>
      <c r="AJO6" s="263"/>
      <c r="AJP6" s="263"/>
      <c r="AJQ6" s="263"/>
      <c r="AJR6" s="263"/>
      <c r="AJS6" s="263"/>
      <c r="AJT6" s="263"/>
      <c r="AJU6" s="263"/>
      <c r="AJV6" s="263"/>
      <c r="AJW6" s="263"/>
      <c r="AJX6" s="263"/>
      <c r="AJY6" s="263"/>
      <c r="AJZ6" s="263"/>
      <c r="AKA6" s="263"/>
      <c r="AKB6" s="263"/>
      <c r="AKC6" s="263"/>
      <c r="AKD6" s="263"/>
      <c r="AKE6" s="263"/>
      <c r="AKF6" s="263"/>
      <c r="AKG6" s="263"/>
      <c r="AKH6" s="263"/>
      <c r="AKI6" s="263"/>
      <c r="AKJ6" s="263"/>
      <c r="AKK6" s="263"/>
      <c r="AKL6" s="263"/>
      <c r="AKM6" s="263"/>
      <c r="AKN6" s="263"/>
      <c r="AKO6" s="263"/>
      <c r="AKP6" s="263"/>
      <c r="AKQ6" s="263"/>
      <c r="AKR6" s="263"/>
      <c r="AKS6" s="263"/>
      <c r="AKT6" s="263"/>
      <c r="AKU6" s="263"/>
      <c r="AKV6" s="263"/>
      <c r="AKW6" s="263"/>
      <c r="AKX6" s="263"/>
      <c r="AKY6" s="263"/>
      <c r="AKZ6" s="263"/>
      <c r="ALA6" s="263"/>
      <c r="ALB6" s="263"/>
      <c r="ALC6" s="263"/>
      <c r="ALD6" s="263"/>
      <c r="ALE6" s="263"/>
      <c r="ALF6" s="263"/>
      <c r="ALG6" s="263"/>
      <c r="ALH6" s="263"/>
      <c r="ALI6" s="263"/>
      <c r="ALJ6" s="263"/>
      <c r="ALK6" s="263"/>
      <c r="ALL6" s="263"/>
      <c r="ALM6" s="263"/>
      <c r="ALN6" s="263"/>
      <c r="ALO6" s="263"/>
      <c r="ALP6" s="263"/>
      <c r="ALQ6" s="263"/>
      <c r="ALR6" s="263"/>
      <c r="ALS6" s="263"/>
    </row>
    <row r="7" spans="1:1007" ht="13.5" thickBot="1" x14ac:dyDescent="0.25">
      <c r="A7" s="366"/>
      <c r="B7" s="389"/>
      <c r="C7" s="389"/>
      <c r="D7" s="389"/>
      <c r="E7" s="366"/>
    </row>
    <row r="8" spans="1:1007" ht="15" thickBot="1" x14ac:dyDescent="0.25">
      <c r="A8" s="369" t="s">
        <v>272</v>
      </c>
      <c r="B8" s="387" t="s">
        <v>275</v>
      </c>
      <c r="C8" s="387" t="s">
        <v>269</v>
      </c>
      <c r="D8" s="387" t="s">
        <v>270</v>
      </c>
      <c r="E8" s="646" t="s">
        <v>442</v>
      </c>
      <c r="F8" s="646" t="s">
        <v>443</v>
      </c>
      <c r="G8" s="646" t="s">
        <v>444</v>
      </c>
      <c r="H8" s="646" t="s">
        <v>445</v>
      </c>
      <c r="I8" s="646" t="s">
        <v>446</v>
      </c>
    </row>
    <row r="9" spans="1:1007" x14ac:dyDescent="0.2">
      <c r="A9" s="379" t="s">
        <v>458</v>
      </c>
      <c r="B9" s="388">
        <v>11.9</v>
      </c>
      <c r="C9" s="388">
        <v>10.3</v>
      </c>
      <c r="D9" s="388">
        <v>10.8</v>
      </c>
      <c r="E9" s="388">
        <v>11</v>
      </c>
      <c r="F9" s="388"/>
      <c r="G9" s="388"/>
      <c r="H9" s="388"/>
      <c r="I9" s="388"/>
    </row>
    <row r="10" spans="1:1007" s="3" customFormat="1" x14ac:dyDescent="0.2">
      <c r="A10" s="652" t="s">
        <v>459</v>
      </c>
      <c r="B10" s="388">
        <v>11.9</v>
      </c>
      <c r="C10" s="388">
        <v>10.3</v>
      </c>
      <c r="D10" s="388">
        <v>10.9</v>
      </c>
      <c r="E10" s="388">
        <v>11</v>
      </c>
      <c r="F10" s="388"/>
      <c r="G10" s="388"/>
      <c r="H10" s="388"/>
      <c r="I10" s="388"/>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c r="DM10" s="263"/>
      <c r="DN10" s="263"/>
      <c r="DO10" s="263"/>
      <c r="DP10" s="263"/>
      <c r="DQ10" s="263"/>
      <c r="DR10" s="263"/>
      <c r="DS10" s="263"/>
      <c r="DT10" s="263"/>
      <c r="DU10" s="263"/>
      <c r="DV10" s="263"/>
      <c r="DW10" s="263"/>
      <c r="DX10" s="263"/>
      <c r="DY10" s="263"/>
      <c r="DZ10" s="263"/>
      <c r="EA10" s="263"/>
      <c r="EB10" s="263"/>
      <c r="EC10" s="263"/>
      <c r="ED10" s="263"/>
      <c r="EE10" s="263"/>
      <c r="EF10" s="263"/>
      <c r="EG10" s="263"/>
      <c r="EH10" s="263"/>
      <c r="EI10" s="263"/>
      <c r="EJ10" s="263"/>
      <c r="EK10" s="263"/>
      <c r="EL10" s="263"/>
      <c r="EM10" s="263"/>
      <c r="EN10" s="263"/>
      <c r="EO10" s="263"/>
      <c r="EP10" s="263"/>
      <c r="EQ10" s="263"/>
      <c r="ER10" s="263"/>
      <c r="ES10" s="263"/>
      <c r="ET10" s="263"/>
      <c r="EU10" s="263"/>
      <c r="EV10" s="263"/>
      <c r="EW10" s="263"/>
      <c r="EX10" s="263"/>
      <c r="EY10" s="263"/>
      <c r="EZ10" s="263"/>
      <c r="FA10" s="263"/>
      <c r="FB10" s="263"/>
      <c r="FC10" s="263"/>
      <c r="FD10" s="263"/>
      <c r="FE10" s="263"/>
      <c r="FF10" s="263"/>
      <c r="FG10" s="263"/>
      <c r="FH10" s="263"/>
      <c r="FI10" s="263"/>
      <c r="FJ10" s="263"/>
      <c r="FK10" s="263"/>
      <c r="FL10" s="263"/>
      <c r="FM10" s="263"/>
      <c r="FN10" s="263"/>
      <c r="FO10" s="263"/>
      <c r="FP10" s="263"/>
      <c r="FQ10" s="263"/>
      <c r="FR10" s="263"/>
      <c r="FS10" s="263"/>
      <c r="FT10" s="263"/>
      <c r="FU10" s="263"/>
      <c r="FV10" s="263"/>
      <c r="FW10" s="263"/>
      <c r="FX10" s="263"/>
      <c r="FY10" s="263"/>
      <c r="FZ10" s="263"/>
      <c r="GA10" s="263"/>
      <c r="GB10" s="263"/>
      <c r="GC10" s="263"/>
      <c r="GD10" s="263"/>
      <c r="GE10" s="263"/>
      <c r="GF10" s="263"/>
      <c r="GG10" s="263"/>
      <c r="GH10" s="263"/>
      <c r="GI10" s="263"/>
      <c r="GJ10" s="263"/>
      <c r="GK10" s="263"/>
      <c r="GL10" s="263"/>
      <c r="GM10" s="263"/>
      <c r="GN10" s="263"/>
      <c r="GO10" s="263"/>
      <c r="GP10" s="263"/>
      <c r="GQ10" s="263"/>
      <c r="GR10" s="263"/>
      <c r="GS10" s="263"/>
      <c r="GT10" s="263"/>
      <c r="GU10" s="263"/>
      <c r="GV10" s="263"/>
      <c r="GW10" s="263"/>
      <c r="GX10" s="263"/>
      <c r="GY10" s="263"/>
      <c r="GZ10" s="263"/>
      <c r="HA10" s="263"/>
      <c r="HB10" s="263"/>
      <c r="HC10" s="263"/>
      <c r="HD10" s="263"/>
      <c r="HE10" s="263"/>
      <c r="HF10" s="263"/>
      <c r="HG10" s="263"/>
      <c r="HH10" s="263"/>
      <c r="HI10" s="263"/>
      <c r="HJ10" s="263"/>
      <c r="HK10" s="263"/>
      <c r="HL10" s="263"/>
      <c r="HM10" s="263"/>
      <c r="HN10" s="263"/>
      <c r="HO10" s="263"/>
      <c r="HP10" s="263"/>
      <c r="HQ10" s="263"/>
      <c r="HR10" s="263"/>
      <c r="HS10" s="263"/>
      <c r="HT10" s="263"/>
      <c r="HU10" s="263"/>
      <c r="HV10" s="263"/>
      <c r="HW10" s="263"/>
      <c r="HX10" s="263"/>
      <c r="HY10" s="263"/>
      <c r="HZ10" s="263"/>
      <c r="IA10" s="263"/>
      <c r="IB10" s="263"/>
      <c r="IC10" s="263"/>
      <c r="ID10" s="263"/>
      <c r="IE10" s="263"/>
      <c r="IF10" s="263"/>
      <c r="IG10" s="263"/>
      <c r="IH10" s="263"/>
      <c r="II10" s="263"/>
      <c r="IJ10" s="263"/>
      <c r="IK10" s="263"/>
      <c r="IL10" s="263"/>
      <c r="IM10" s="263"/>
      <c r="IN10" s="263"/>
      <c r="IO10" s="263"/>
      <c r="IP10" s="263"/>
      <c r="IQ10" s="263"/>
      <c r="IR10" s="263"/>
      <c r="IS10" s="263"/>
      <c r="IT10" s="263"/>
      <c r="IU10" s="263"/>
      <c r="IV10" s="263"/>
      <c r="IW10" s="263"/>
      <c r="IX10" s="263"/>
      <c r="IY10" s="263"/>
      <c r="IZ10" s="263"/>
      <c r="JA10" s="263"/>
      <c r="JB10" s="263"/>
      <c r="JC10" s="263"/>
      <c r="JD10" s="263"/>
      <c r="JE10" s="263"/>
      <c r="JF10" s="263"/>
      <c r="JG10" s="263"/>
      <c r="JH10" s="263"/>
      <c r="JI10" s="263"/>
      <c r="JJ10" s="263"/>
      <c r="JK10" s="263"/>
      <c r="JL10" s="263"/>
      <c r="JM10" s="263"/>
      <c r="JN10" s="263"/>
      <c r="JO10" s="263"/>
      <c r="JP10" s="263"/>
      <c r="JQ10" s="263"/>
      <c r="JR10" s="263"/>
      <c r="JS10" s="263"/>
      <c r="JT10" s="263"/>
      <c r="JU10" s="263"/>
      <c r="JV10" s="263"/>
      <c r="JW10" s="263"/>
      <c r="JX10" s="263"/>
      <c r="JY10" s="263"/>
      <c r="JZ10" s="263"/>
      <c r="KA10" s="263"/>
      <c r="KB10" s="263"/>
      <c r="KC10" s="263"/>
      <c r="KD10" s="263"/>
      <c r="KE10" s="263"/>
      <c r="KF10" s="263"/>
      <c r="KG10" s="263"/>
      <c r="KH10" s="263"/>
      <c r="KI10" s="263"/>
      <c r="KJ10" s="263"/>
      <c r="KK10" s="263"/>
      <c r="KL10" s="263"/>
      <c r="KM10" s="263"/>
      <c r="KN10" s="263"/>
      <c r="KO10" s="263"/>
      <c r="KP10" s="263"/>
      <c r="KQ10" s="263"/>
      <c r="KR10" s="263"/>
      <c r="KS10" s="263"/>
      <c r="KT10" s="263"/>
      <c r="KU10" s="263"/>
      <c r="KV10" s="263"/>
      <c r="KW10" s="263"/>
      <c r="KX10" s="263"/>
      <c r="KY10" s="263"/>
      <c r="KZ10" s="263"/>
      <c r="LA10" s="263"/>
      <c r="LB10" s="263"/>
      <c r="LC10" s="263"/>
      <c r="LD10" s="263"/>
      <c r="LE10" s="263"/>
      <c r="LF10" s="263"/>
      <c r="LG10" s="263"/>
      <c r="LH10" s="263"/>
      <c r="LI10" s="263"/>
      <c r="LJ10" s="263"/>
      <c r="LK10" s="263"/>
      <c r="LL10" s="263"/>
      <c r="LM10" s="263"/>
      <c r="LN10" s="263"/>
      <c r="LO10" s="263"/>
      <c r="LP10" s="263"/>
      <c r="LQ10" s="263"/>
      <c r="LR10" s="263"/>
      <c r="LS10" s="263"/>
      <c r="LT10" s="263"/>
      <c r="LU10" s="263"/>
      <c r="LV10" s="263"/>
      <c r="LW10" s="263"/>
      <c r="LX10" s="263"/>
      <c r="LY10" s="263"/>
      <c r="LZ10" s="263"/>
      <c r="MA10" s="263"/>
      <c r="MB10" s="263"/>
      <c r="MC10" s="263"/>
      <c r="MD10" s="263"/>
      <c r="ME10" s="263"/>
      <c r="MF10" s="263"/>
      <c r="MG10" s="263"/>
      <c r="MH10" s="263"/>
      <c r="MI10" s="263"/>
      <c r="MJ10" s="263"/>
      <c r="MK10" s="263"/>
      <c r="ML10" s="263"/>
      <c r="MM10" s="263"/>
      <c r="MN10" s="263"/>
      <c r="MO10" s="263"/>
      <c r="MP10" s="263"/>
      <c r="MQ10" s="263"/>
      <c r="MR10" s="263"/>
      <c r="MS10" s="263"/>
      <c r="MT10" s="263"/>
      <c r="MU10" s="263"/>
      <c r="MV10" s="263"/>
      <c r="MW10" s="263"/>
      <c r="MX10" s="263"/>
      <c r="MY10" s="263"/>
      <c r="MZ10" s="263"/>
      <c r="NA10" s="263"/>
      <c r="NB10" s="263"/>
      <c r="NC10" s="263"/>
      <c r="ND10" s="263"/>
      <c r="NE10" s="263"/>
      <c r="NF10" s="263"/>
      <c r="NG10" s="263"/>
      <c r="NH10" s="263"/>
      <c r="NI10" s="263"/>
      <c r="NJ10" s="263"/>
      <c r="NK10" s="263"/>
      <c r="NL10" s="263"/>
      <c r="NM10" s="263"/>
      <c r="NN10" s="263"/>
      <c r="NO10" s="263"/>
      <c r="NP10" s="263"/>
      <c r="NQ10" s="263"/>
      <c r="NR10" s="263"/>
      <c r="NS10" s="263"/>
      <c r="NT10" s="263"/>
      <c r="NU10" s="263"/>
      <c r="NV10" s="263"/>
      <c r="NW10" s="263"/>
      <c r="NX10" s="263"/>
      <c r="NY10" s="263"/>
      <c r="NZ10" s="263"/>
      <c r="OA10" s="263"/>
      <c r="OB10" s="263"/>
      <c r="OC10" s="263"/>
      <c r="OD10" s="263"/>
      <c r="OE10" s="263"/>
      <c r="OF10" s="263"/>
      <c r="OG10" s="263"/>
      <c r="OH10" s="263"/>
      <c r="OI10" s="263"/>
      <c r="OJ10" s="263"/>
      <c r="OK10" s="263"/>
      <c r="OL10" s="263"/>
      <c r="OM10" s="263"/>
      <c r="ON10" s="263"/>
      <c r="OO10" s="263"/>
      <c r="OP10" s="263"/>
      <c r="OQ10" s="263"/>
      <c r="OR10" s="263"/>
      <c r="OS10" s="263"/>
      <c r="OT10" s="263"/>
      <c r="OU10" s="263"/>
      <c r="OV10" s="263"/>
      <c r="OW10" s="263"/>
      <c r="OX10" s="263"/>
      <c r="OY10" s="263"/>
      <c r="OZ10" s="263"/>
      <c r="PA10" s="263"/>
      <c r="PB10" s="263"/>
      <c r="PC10" s="263"/>
      <c r="PD10" s="263"/>
      <c r="PE10" s="263"/>
      <c r="PF10" s="263"/>
      <c r="PG10" s="263"/>
      <c r="PH10" s="263"/>
      <c r="PI10" s="263"/>
      <c r="PJ10" s="263"/>
      <c r="PK10" s="263"/>
      <c r="PL10" s="263"/>
      <c r="PM10" s="263"/>
      <c r="PN10" s="263"/>
      <c r="PO10" s="263"/>
      <c r="PP10" s="263"/>
      <c r="PQ10" s="263"/>
      <c r="PR10" s="263"/>
      <c r="PS10" s="263"/>
      <c r="PT10" s="263"/>
      <c r="PU10" s="263"/>
      <c r="PV10" s="263"/>
      <c r="PW10" s="263"/>
      <c r="PX10" s="263"/>
      <c r="PY10" s="263"/>
      <c r="PZ10" s="263"/>
      <c r="QA10" s="263"/>
      <c r="QB10" s="263"/>
      <c r="QC10" s="263"/>
      <c r="QD10" s="263"/>
      <c r="QE10" s="263"/>
      <c r="QF10" s="263"/>
      <c r="QG10" s="263"/>
      <c r="QH10" s="263"/>
      <c r="QI10" s="263"/>
      <c r="QJ10" s="263"/>
      <c r="QK10" s="263"/>
      <c r="QL10" s="263"/>
      <c r="QM10" s="263"/>
      <c r="QN10" s="263"/>
      <c r="QO10" s="263"/>
      <c r="QP10" s="263"/>
      <c r="QQ10" s="263"/>
      <c r="QR10" s="263"/>
      <c r="QS10" s="263"/>
      <c r="QT10" s="263"/>
      <c r="QU10" s="263"/>
      <c r="QV10" s="263"/>
      <c r="QW10" s="263"/>
      <c r="QX10" s="263"/>
      <c r="QY10" s="263"/>
      <c r="QZ10" s="263"/>
      <c r="RA10" s="263"/>
      <c r="RB10" s="263"/>
      <c r="RC10" s="263"/>
      <c r="RD10" s="263"/>
      <c r="RE10" s="263"/>
      <c r="RF10" s="263"/>
      <c r="RG10" s="263"/>
      <c r="RH10" s="263"/>
      <c r="RI10" s="263"/>
      <c r="RJ10" s="263"/>
      <c r="RK10" s="263"/>
      <c r="RL10" s="263"/>
      <c r="RM10" s="263"/>
      <c r="RN10" s="263"/>
      <c r="RO10" s="263"/>
      <c r="RP10" s="263"/>
      <c r="RQ10" s="263"/>
      <c r="RR10" s="263"/>
      <c r="RS10" s="263"/>
      <c r="RT10" s="263"/>
      <c r="RU10" s="263"/>
      <c r="RV10" s="263"/>
      <c r="RW10" s="263"/>
      <c r="RX10" s="263"/>
      <c r="RY10" s="263"/>
      <c r="RZ10" s="263"/>
      <c r="SA10" s="263"/>
      <c r="SB10" s="263"/>
      <c r="SC10" s="263"/>
      <c r="SD10" s="263"/>
      <c r="SE10" s="263"/>
      <c r="SF10" s="263"/>
      <c r="SG10" s="263"/>
      <c r="SH10" s="263"/>
      <c r="SI10" s="263"/>
      <c r="SJ10" s="263"/>
      <c r="SK10" s="263"/>
      <c r="SL10" s="263"/>
      <c r="SM10" s="263"/>
      <c r="SN10" s="263"/>
      <c r="SO10" s="263"/>
      <c r="SP10" s="263"/>
      <c r="SQ10" s="263"/>
      <c r="SR10" s="263"/>
      <c r="SS10" s="263"/>
      <c r="ST10" s="263"/>
      <c r="SU10" s="263"/>
      <c r="SV10" s="263"/>
      <c r="SW10" s="263"/>
      <c r="SX10" s="263"/>
      <c r="SY10" s="263"/>
      <c r="SZ10" s="263"/>
      <c r="TA10" s="263"/>
      <c r="TB10" s="263"/>
      <c r="TC10" s="263"/>
      <c r="TD10" s="263"/>
      <c r="TE10" s="263"/>
      <c r="TF10" s="263"/>
      <c r="TG10" s="263"/>
      <c r="TH10" s="263"/>
      <c r="TI10" s="263"/>
      <c r="TJ10" s="263"/>
      <c r="TK10" s="263"/>
      <c r="TL10" s="263"/>
      <c r="TM10" s="263"/>
      <c r="TN10" s="263"/>
      <c r="TO10" s="263"/>
      <c r="TP10" s="263"/>
      <c r="TQ10" s="263"/>
      <c r="TR10" s="263"/>
      <c r="TS10" s="263"/>
      <c r="TT10" s="263"/>
      <c r="TU10" s="263"/>
      <c r="TV10" s="263"/>
      <c r="TW10" s="263"/>
      <c r="TX10" s="263"/>
      <c r="TY10" s="263"/>
      <c r="TZ10" s="263"/>
      <c r="UA10" s="263"/>
      <c r="UB10" s="263"/>
      <c r="UC10" s="263"/>
      <c r="UD10" s="263"/>
      <c r="UE10" s="263"/>
      <c r="UF10" s="263"/>
      <c r="UG10" s="263"/>
      <c r="UH10" s="263"/>
      <c r="UI10" s="263"/>
      <c r="UJ10" s="263"/>
      <c r="UK10" s="263"/>
      <c r="UL10" s="263"/>
      <c r="UM10" s="263"/>
      <c r="UN10" s="263"/>
      <c r="UO10" s="263"/>
      <c r="UP10" s="263"/>
      <c r="UQ10" s="263"/>
      <c r="UR10" s="263"/>
      <c r="US10" s="263"/>
      <c r="UT10" s="263"/>
      <c r="UU10" s="263"/>
      <c r="UV10" s="263"/>
      <c r="UW10" s="263"/>
      <c r="UX10" s="263"/>
      <c r="UY10" s="263"/>
      <c r="UZ10" s="263"/>
      <c r="VA10" s="263"/>
      <c r="VB10" s="263"/>
      <c r="VC10" s="263"/>
      <c r="VD10" s="263"/>
      <c r="VE10" s="263"/>
      <c r="VF10" s="263"/>
      <c r="VG10" s="263"/>
      <c r="VH10" s="263"/>
      <c r="VI10" s="263"/>
      <c r="VJ10" s="263"/>
      <c r="VK10" s="263"/>
      <c r="VL10" s="263"/>
      <c r="VM10" s="263"/>
      <c r="VN10" s="263"/>
      <c r="VO10" s="263"/>
      <c r="VP10" s="263"/>
      <c r="VQ10" s="263"/>
      <c r="VR10" s="263"/>
      <c r="VS10" s="263"/>
      <c r="VT10" s="263"/>
      <c r="VU10" s="263"/>
      <c r="VV10" s="263"/>
      <c r="VW10" s="263"/>
      <c r="VX10" s="263"/>
      <c r="VY10" s="263"/>
      <c r="VZ10" s="263"/>
      <c r="WA10" s="263"/>
      <c r="WB10" s="263"/>
      <c r="WC10" s="263"/>
      <c r="WD10" s="263"/>
      <c r="WE10" s="263"/>
      <c r="WF10" s="263"/>
      <c r="WG10" s="263"/>
      <c r="WH10" s="263"/>
      <c r="WI10" s="263"/>
      <c r="WJ10" s="263"/>
      <c r="WK10" s="263"/>
      <c r="WL10" s="263"/>
      <c r="WM10" s="263"/>
      <c r="WN10" s="263"/>
      <c r="WO10" s="263"/>
      <c r="WP10" s="263"/>
      <c r="WQ10" s="263"/>
      <c r="WR10" s="263"/>
      <c r="WS10" s="263"/>
      <c r="WT10" s="263"/>
      <c r="WU10" s="263"/>
      <c r="WV10" s="263"/>
      <c r="WW10" s="263"/>
      <c r="WX10" s="263"/>
      <c r="WY10" s="263"/>
      <c r="WZ10" s="263"/>
      <c r="XA10" s="263"/>
      <c r="XB10" s="263"/>
      <c r="XC10" s="263"/>
      <c r="XD10" s="263"/>
      <c r="XE10" s="263"/>
      <c r="XF10" s="263"/>
      <c r="XG10" s="263"/>
      <c r="XH10" s="263"/>
      <c r="XI10" s="263"/>
      <c r="XJ10" s="263"/>
      <c r="XK10" s="263"/>
      <c r="XL10" s="263"/>
      <c r="XM10" s="263"/>
      <c r="XN10" s="263"/>
      <c r="XO10" s="263"/>
      <c r="XP10" s="263"/>
      <c r="XQ10" s="263"/>
      <c r="XR10" s="263"/>
      <c r="XS10" s="263"/>
      <c r="XT10" s="263"/>
      <c r="XU10" s="263"/>
      <c r="XV10" s="263"/>
      <c r="XW10" s="263"/>
      <c r="XX10" s="263"/>
      <c r="XY10" s="263"/>
      <c r="XZ10" s="263"/>
      <c r="YA10" s="263"/>
      <c r="YB10" s="263"/>
      <c r="YC10" s="263"/>
      <c r="YD10" s="263"/>
      <c r="YE10" s="263"/>
      <c r="YF10" s="263"/>
      <c r="YG10" s="263"/>
      <c r="YH10" s="263"/>
      <c r="YI10" s="263"/>
      <c r="YJ10" s="263"/>
      <c r="YK10" s="263"/>
      <c r="YL10" s="263"/>
      <c r="YM10" s="263"/>
      <c r="YN10" s="263"/>
      <c r="YO10" s="263"/>
      <c r="YP10" s="263"/>
      <c r="YQ10" s="263"/>
      <c r="YR10" s="263"/>
      <c r="YS10" s="263"/>
      <c r="YT10" s="263"/>
      <c r="YU10" s="263"/>
      <c r="YV10" s="263"/>
      <c r="YW10" s="263"/>
      <c r="YX10" s="263"/>
      <c r="YY10" s="263"/>
      <c r="YZ10" s="263"/>
      <c r="ZA10" s="263"/>
      <c r="ZB10" s="263"/>
      <c r="ZC10" s="263"/>
      <c r="ZD10" s="263"/>
      <c r="ZE10" s="263"/>
      <c r="ZF10" s="263"/>
      <c r="ZG10" s="263"/>
      <c r="ZH10" s="263"/>
      <c r="ZI10" s="263"/>
      <c r="ZJ10" s="263"/>
      <c r="ZK10" s="263"/>
      <c r="ZL10" s="263"/>
      <c r="ZM10" s="263"/>
      <c r="ZN10" s="263"/>
      <c r="ZO10" s="263"/>
      <c r="ZP10" s="263"/>
      <c r="ZQ10" s="263"/>
      <c r="ZR10" s="263"/>
      <c r="ZS10" s="263"/>
      <c r="ZT10" s="263"/>
      <c r="ZU10" s="263"/>
      <c r="ZV10" s="263"/>
      <c r="ZW10" s="263"/>
      <c r="ZX10" s="263"/>
      <c r="ZY10" s="263"/>
      <c r="ZZ10" s="263"/>
      <c r="AAA10" s="263"/>
      <c r="AAB10" s="263"/>
      <c r="AAC10" s="263"/>
      <c r="AAD10" s="263"/>
      <c r="AAE10" s="263"/>
      <c r="AAF10" s="263"/>
      <c r="AAG10" s="263"/>
      <c r="AAH10" s="263"/>
      <c r="AAI10" s="263"/>
      <c r="AAJ10" s="263"/>
      <c r="AAK10" s="263"/>
      <c r="AAL10" s="263"/>
      <c r="AAM10" s="263"/>
      <c r="AAN10" s="263"/>
      <c r="AAO10" s="263"/>
      <c r="AAP10" s="263"/>
      <c r="AAQ10" s="263"/>
      <c r="AAR10" s="263"/>
      <c r="AAS10" s="263"/>
      <c r="AAT10" s="263"/>
      <c r="AAU10" s="263"/>
      <c r="AAV10" s="263"/>
      <c r="AAW10" s="263"/>
      <c r="AAX10" s="263"/>
      <c r="AAY10" s="263"/>
      <c r="AAZ10" s="263"/>
      <c r="ABA10" s="263"/>
      <c r="ABB10" s="263"/>
      <c r="ABC10" s="263"/>
      <c r="ABD10" s="263"/>
      <c r="ABE10" s="263"/>
      <c r="ABF10" s="263"/>
      <c r="ABG10" s="263"/>
      <c r="ABH10" s="263"/>
      <c r="ABI10" s="263"/>
      <c r="ABJ10" s="263"/>
      <c r="ABK10" s="263"/>
      <c r="ABL10" s="263"/>
      <c r="ABM10" s="263"/>
      <c r="ABN10" s="263"/>
      <c r="ABO10" s="263"/>
      <c r="ABP10" s="263"/>
      <c r="ABQ10" s="263"/>
      <c r="ABR10" s="263"/>
      <c r="ABS10" s="263"/>
      <c r="ABT10" s="263"/>
      <c r="ABU10" s="263"/>
      <c r="ABV10" s="263"/>
      <c r="ABW10" s="263"/>
      <c r="ABX10" s="263"/>
      <c r="ABY10" s="263"/>
      <c r="ABZ10" s="263"/>
      <c r="ACA10" s="263"/>
      <c r="ACB10" s="263"/>
      <c r="ACC10" s="263"/>
      <c r="ACD10" s="263"/>
      <c r="ACE10" s="263"/>
      <c r="ACF10" s="263"/>
      <c r="ACG10" s="263"/>
      <c r="ACH10" s="263"/>
      <c r="ACI10" s="263"/>
      <c r="ACJ10" s="263"/>
      <c r="ACK10" s="263"/>
      <c r="ACL10" s="263"/>
      <c r="ACM10" s="263"/>
      <c r="ACN10" s="263"/>
      <c r="ACO10" s="263"/>
      <c r="ACP10" s="263"/>
      <c r="ACQ10" s="263"/>
      <c r="ACR10" s="263"/>
      <c r="ACS10" s="263"/>
      <c r="ACT10" s="263"/>
      <c r="ACU10" s="263"/>
      <c r="ACV10" s="263"/>
      <c r="ACW10" s="263"/>
      <c r="ACX10" s="263"/>
      <c r="ACY10" s="263"/>
      <c r="ACZ10" s="263"/>
      <c r="ADA10" s="263"/>
      <c r="ADB10" s="263"/>
      <c r="ADC10" s="263"/>
      <c r="ADD10" s="263"/>
      <c r="ADE10" s="263"/>
      <c r="ADF10" s="263"/>
      <c r="ADG10" s="263"/>
      <c r="ADH10" s="263"/>
      <c r="ADI10" s="263"/>
      <c r="ADJ10" s="263"/>
      <c r="ADK10" s="263"/>
      <c r="ADL10" s="263"/>
      <c r="ADM10" s="263"/>
      <c r="ADN10" s="263"/>
      <c r="ADO10" s="263"/>
      <c r="ADP10" s="263"/>
      <c r="ADQ10" s="263"/>
      <c r="ADR10" s="263"/>
      <c r="ADS10" s="263"/>
      <c r="ADT10" s="263"/>
      <c r="ADU10" s="263"/>
      <c r="ADV10" s="263"/>
      <c r="ADW10" s="263"/>
      <c r="ADX10" s="263"/>
      <c r="ADY10" s="263"/>
      <c r="ADZ10" s="263"/>
      <c r="AEA10" s="263"/>
      <c r="AEB10" s="263"/>
      <c r="AEC10" s="263"/>
      <c r="AED10" s="263"/>
      <c r="AEE10" s="263"/>
      <c r="AEF10" s="263"/>
      <c r="AEG10" s="263"/>
      <c r="AEH10" s="263"/>
      <c r="AEI10" s="263"/>
      <c r="AEJ10" s="263"/>
      <c r="AEK10" s="263"/>
      <c r="AEL10" s="263"/>
      <c r="AEM10" s="263"/>
      <c r="AEN10" s="263"/>
      <c r="AEO10" s="263"/>
      <c r="AEP10" s="263"/>
      <c r="AEQ10" s="263"/>
      <c r="AER10" s="263"/>
      <c r="AES10" s="263"/>
      <c r="AET10" s="263"/>
      <c r="AEU10" s="263"/>
      <c r="AEV10" s="263"/>
      <c r="AEW10" s="263"/>
      <c r="AEX10" s="263"/>
      <c r="AEY10" s="263"/>
      <c r="AEZ10" s="263"/>
      <c r="AFA10" s="263"/>
      <c r="AFB10" s="263"/>
      <c r="AFC10" s="263"/>
      <c r="AFD10" s="263"/>
      <c r="AFE10" s="263"/>
      <c r="AFF10" s="263"/>
      <c r="AFG10" s="263"/>
      <c r="AFH10" s="263"/>
      <c r="AFI10" s="263"/>
      <c r="AFJ10" s="263"/>
      <c r="AFK10" s="263"/>
      <c r="AFL10" s="263"/>
      <c r="AFM10" s="263"/>
      <c r="AFN10" s="263"/>
      <c r="AFO10" s="263"/>
      <c r="AFP10" s="263"/>
      <c r="AFQ10" s="263"/>
      <c r="AFR10" s="263"/>
      <c r="AFS10" s="263"/>
      <c r="AFT10" s="263"/>
      <c r="AFU10" s="263"/>
      <c r="AFV10" s="263"/>
      <c r="AFW10" s="263"/>
      <c r="AFX10" s="263"/>
      <c r="AFY10" s="263"/>
      <c r="AFZ10" s="263"/>
      <c r="AGA10" s="263"/>
      <c r="AGB10" s="263"/>
      <c r="AGC10" s="263"/>
      <c r="AGD10" s="263"/>
      <c r="AGE10" s="263"/>
      <c r="AGF10" s="263"/>
      <c r="AGG10" s="263"/>
      <c r="AGH10" s="263"/>
      <c r="AGI10" s="263"/>
      <c r="AGJ10" s="263"/>
      <c r="AGK10" s="263"/>
      <c r="AGL10" s="263"/>
      <c r="AGM10" s="263"/>
      <c r="AGN10" s="263"/>
      <c r="AGO10" s="263"/>
      <c r="AGP10" s="263"/>
      <c r="AGQ10" s="263"/>
      <c r="AGR10" s="263"/>
      <c r="AGS10" s="263"/>
      <c r="AGT10" s="263"/>
      <c r="AGU10" s="263"/>
      <c r="AGV10" s="263"/>
      <c r="AGW10" s="263"/>
      <c r="AGX10" s="263"/>
      <c r="AGY10" s="263"/>
      <c r="AGZ10" s="263"/>
      <c r="AHA10" s="263"/>
      <c r="AHB10" s="263"/>
      <c r="AHC10" s="263"/>
      <c r="AHD10" s="263"/>
      <c r="AHE10" s="263"/>
      <c r="AHF10" s="263"/>
      <c r="AHG10" s="263"/>
      <c r="AHH10" s="263"/>
      <c r="AHI10" s="263"/>
      <c r="AHJ10" s="263"/>
      <c r="AHK10" s="263"/>
      <c r="AHL10" s="263"/>
      <c r="AHM10" s="263"/>
      <c r="AHN10" s="263"/>
      <c r="AHO10" s="263"/>
      <c r="AHP10" s="263"/>
      <c r="AHQ10" s="263"/>
      <c r="AHR10" s="263"/>
      <c r="AHS10" s="263"/>
      <c r="AHT10" s="263"/>
      <c r="AHU10" s="263"/>
      <c r="AHV10" s="263"/>
      <c r="AHW10" s="263"/>
      <c r="AHX10" s="263"/>
      <c r="AHY10" s="263"/>
      <c r="AHZ10" s="263"/>
      <c r="AIA10" s="263"/>
      <c r="AIB10" s="263"/>
      <c r="AIC10" s="263"/>
      <c r="AID10" s="263"/>
      <c r="AIE10" s="263"/>
      <c r="AIF10" s="263"/>
      <c r="AIG10" s="263"/>
      <c r="AIH10" s="263"/>
      <c r="AII10" s="263"/>
      <c r="AIJ10" s="263"/>
      <c r="AIK10" s="263"/>
      <c r="AIL10" s="263"/>
      <c r="AIM10" s="263"/>
      <c r="AIN10" s="263"/>
      <c r="AIO10" s="263"/>
      <c r="AIP10" s="263"/>
      <c r="AIQ10" s="263"/>
      <c r="AIR10" s="263"/>
      <c r="AIS10" s="263"/>
      <c r="AIT10" s="263"/>
      <c r="AIU10" s="263"/>
      <c r="AIV10" s="263"/>
      <c r="AIW10" s="263"/>
      <c r="AIX10" s="263"/>
      <c r="AIY10" s="263"/>
      <c r="AIZ10" s="263"/>
      <c r="AJA10" s="263"/>
      <c r="AJB10" s="263"/>
      <c r="AJC10" s="263"/>
      <c r="AJD10" s="263"/>
      <c r="AJE10" s="263"/>
      <c r="AJF10" s="263"/>
      <c r="AJG10" s="263"/>
      <c r="AJH10" s="263"/>
      <c r="AJI10" s="263"/>
      <c r="AJJ10" s="263"/>
      <c r="AJK10" s="263"/>
      <c r="AJL10" s="263"/>
      <c r="AJM10" s="263"/>
      <c r="AJN10" s="263"/>
      <c r="AJO10" s="263"/>
      <c r="AJP10" s="263"/>
      <c r="AJQ10" s="263"/>
      <c r="AJR10" s="263"/>
      <c r="AJS10" s="263"/>
      <c r="AJT10" s="263"/>
      <c r="AJU10" s="263"/>
      <c r="AJV10" s="263"/>
      <c r="AJW10" s="263"/>
      <c r="AJX10" s="263"/>
      <c r="AJY10" s="263"/>
      <c r="AJZ10" s="263"/>
      <c r="AKA10" s="263"/>
      <c r="AKB10" s="263"/>
      <c r="AKC10" s="263"/>
      <c r="AKD10" s="263"/>
      <c r="AKE10" s="263"/>
      <c r="AKF10" s="263"/>
      <c r="AKG10" s="263"/>
      <c r="AKH10" s="263"/>
      <c r="AKI10" s="263"/>
      <c r="AKJ10" s="263"/>
      <c r="AKK10" s="263"/>
      <c r="AKL10" s="263"/>
      <c r="AKM10" s="263"/>
      <c r="AKN10" s="263"/>
      <c r="AKO10" s="263"/>
      <c r="AKP10" s="263"/>
      <c r="AKQ10" s="263"/>
      <c r="AKR10" s="263"/>
      <c r="AKS10" s="263"/>
      <c r="AKT10" s="263"/>
      <c r="AKU10" s="263"/>
      <c r="AKV10" s="263"/>
      <c r="AKW10" s="263"/>
      <c r="AKX10" s="263"/>
      <c r="AKY10" s="263"/>
      <c r="AKZ10" s="263"/>
      <c r="ALA10" s="263"/>
      <c r="ALB10" s="263"/>
      <c r="ALC10" s="263"/>
      <c r="ALD10" s="263"/>
      <c r="ALE10" s="263"/>
      <c r="ALF10" s="263"/>
      <c r="ALG10" s="263"/>
      <c r="ALH10" s="263"/>
      <c r="ALI10" s="263"/>
      <c r="ALJ10" s="263"/>
      <c r="ALK10" s="263"/>
      <c r="ALL10" s="263"/>
      <c r="ALM10" s="263"/>
      <c r="ALN10" s="263"/>
      <c r="ALO10" s="263"/>
      <c r="ALP10" s="263"/>
      <c r="ALQ10" s="263"/>
      <c r="ALR10" s="263"/>
      <c r="ALS10" s="263"/>
    </row>
    <row r="11" spans="1:1007" s="3" customFormat="1" x14ac:dyDescent="0.2">
      <c r="A11" s="379" t="s">
        <v>460</v>
      </c>
      <c r="B11" s="388">
        <v>13.3</v>
      </c>
      <c r="C11" s="388">
        <v>12</v>
      </c>
      <c r="D11" s="388">
        <v>11.2</v>
      </c>
      <c r="E11" s="388">
        <v>11.3</v>
      </c>
      <c r="F11" s="388"/>
      <c r="G11" s="388"/>
      <c r="H11" s="388"/>
      <c r="I11" s="388"/>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c r="DM11" s="263"/>
      <c r="DN11" s="263"/>
      <c r="DO11" s="263"/>
      <c r="DP11" s="263"/>
      <c r="DQ11" s="263"/>
      <c r="DR11" s="263"/>
      <c r="DS11" s="263"/>
      <c r="DT11" s="263"/>
      <c r="DU11" s="263"/>
      <c r="DV11" s="263"/>
      <c r="DW11" s="263"/>
      <c r="DX11" s="263"/>
      <c r="DY11" s="263"/>
      <c r="DZ11" s="263"/>
      <c r="EA11" s="263"/>
      <c r="EB11" s="263"/>
      <c r="EC11" s="263"/>
      <c r="ED11" s="263"/>
      <c r="EE11" s="263"/>
      <c r="EF11" s="263"/>
      <c r="EG11" s="263"/>
      <c r="EH11" s="263"/>
      <c r="EI11" s="263"/>
      <c r="EJ11" s="263"/>
      <c r="EK11" s="263"/>
      <c r="EL11" s="263"/>
      <c r="EM11" s="263"/>
      <c r="EN11" s="263"/>
      <c r="EO11" s="263"/>
      <c r="EP11" s="263"/>
      <c r="EQ11" s="263"/>
      <c r="ER11" s="263"/>
      <c r="ES11" s="263"/>
      <c r="ET11" s="263"/>
      <c r="EU11" s="263"/>
      <c r="EV11" s="263"/>
      <c r="EW11" s="263"/>
      <c r="EX11" s="263"/>
      <c r="EY11" s="263"/>
      <c r="EZ11" s="263"/>
      <c r="FA11" s="263"/>
      <c r="FB11" s="263"/>
      <c r="FC11" s="263"/>
      <c r="FD11" s="263"/>
      <c r="FE11" s="263"/>
      <c r="FF11" s="263"/>
      <c r="FG11" s="263"/>
      <c r="FH11" s="263"/>
      <c r="FI11" s="263"/>
      <c r="FJ11" s="263"/>
      <c r="FK11" s="263"/>
      <c r="FL11" s="263"/>
      <c r="FM11" s="263"/>
      <c r="FN11" s="263"/>
      <c r="FO11" s="263"/>
      <c r="FP11" s="263"/>
      <c r="FQ11" s="263"/>
      <c r="FR11" s="263"/>
      <c r="FS11" s="263"/>
      <c r="FT11" s="263"/>
      <c r="FU11" s="263"/>
      <c r="FV11" s="263"/>
      <c r="FW11" s="263"/>
      <c r="FX11" s="263"/>
      <c r="FY11" s="263"/>
      <c r="FZ11" s="263"/>
      <c r="GA11" s="263"/>
      <c r="GB11" s="263"/>
      <c r="GC11" s="263"/>
      <c r="GD11" s="263"/>
      <c r="GE11" s="263"/>
      <c r="GF11" s="263"/>
      <c r="GG11" s="263"/>
      <c r="GH11" s="263"/>
      <c r="GI11" s="263"/>
      <c r="GJ11" s="263"/>
      <c r="GK11" s="263"/>
      <c r="GL11" s="263"/>
      <c r="GM11" s="263"/>
      <c r="GN11" s="263"/>
      <c r="GO11" s="263"/>
      <c r="GP11" s="263"/>
      <c r="GQ11" s="263"/>
      <c r="GR11" s="263"/>
      <c r="GS11" s="263"/>
      <c r="GT11" s="263"/>
      <c r="GU11" s="263"/>
      <c r="GV11" s="263"/>
      <c r="GW11" s="263"/>
      <c r="GX11" s="263"/>
      <c r="GY11" s="263"/>
      <c r="GZ11" s="263"/>
      <c r="HA11" s="263"/>
      <c r="HB11" s="263"/>
      <c r="HC11" s="263"/>
      <c r="HD11" s="263"/>
      <c r="HE11" s="263"/>
      <c r="HF11" s="263"/>
      <c r="HG11" s="263"/>
      <c r="HH11" s="263"/>
      <c r="HI11" s="263"/>
      <c r="HJ11" s="263"/>
      <c r="HK11" s="263"/>
      <c r="HL11" s="263"/>
      <c r="HM11" s="263"/>
      <c r="HN11" s="263"/>
      <c r="HO11" s="263"/>
      <c r="HP11" s="263"/>
      <c r="HQ11" s="263"/>
      <c r="HR11" s="263"/>
      <c r="HS11" s="263"/>
      <c r="HT11" s="263"/>
      <c r="HU11" s="263"/>
      <c r="HV11" s="263"/>
      <c r="HW11" s="263"/>
      <c r="HX11" s="263"/>
      <c r="HY11" s="263"/>
      <c r="HZ11" s="263"/>
      <c r="IA11" s="263"/>
      <c r="IB11" s="263"/>
      <c r="IC11" s="263"/>
      <c r="ID11" s="263"/>
      <c r="IE11" s="263"/>
      <c r="IF11" s="263"/>
      <c r="IG11" s="263"/>
      <c r="IH11" s="263"/>
      <c r="II11" s="263"/>
      <c r="IJ11" s="263"/>
      <c r="IK11" s="263"/>
      <c r="IL11" s="263"/>
      <c r="IM11" s="263"/>
      <c r="IN11" s="263"/>
      <c r="IO11" s="263"/>
      <c r="IP11" s="263"/>
      <c r="IQ11" s="263"/>
      <c r="IR11" s="263"/>
      <c r="IS11" s="263"/>
      <c r="IT11" s="263"/>
      <c r="IU11" s="263"/>
      <c r="IV11" s="263"/>
      <c r="IW11" s="263"/>
      <c r="IX11" s="263"/>
      <c r="IY11" s="263"/>
      <c r="IZ11" s="263"/>
      <c r="JA11" s="263"/>
      <c r="JB11" s="263"/>
      <c r="JC11" s="263"/>
      <c r="JD11" s="263"/>
      <c r="JE11" s="263"/>
      <c r="JF11" s="263"/>
      <c r="JG11" s="263"/>
      <c r="JH11" s="263"/>
      <c r="JI11" s="263"/>
      <c r="JJ11" s="263"/>
      <c r="JK11" s="263"/>
      <c r="JL11" s="263"/>
      <c r="JM11" s="263"/>
      <c r="JN11" s="263"/>
      <c r="JO11" s="263"/>
      <c r="JP11" s="263"/>
      <c r="JQ11" s="263"/>
      <c r="JR11" s="263"/>
      <c r="JS11" s="263"/>
      <c r="JT11" s="263"/>
      <c r="JU11" s="263"/>
      <c r="JV11" s="263"/>
      <c r="JW11" s="263"/>
      <c r="JX11" s="263"/>
      <c r="JY11" s="263"/>
      <c r="JZ11" s="263"/>
      <c r="KA11" s="263"/>
      <c r="KB11" s="263"/>
      <c r="KC11" s="263"/>
      <c r="KD11" s="263"/>
      <c r="KE11" s="263"/>
      <c r="KF11" s="263"/>
      <c r="KG11" s="263"/>
      <c r="KH11" s="263"/>
      <c r="KI11" s="263"/>
      <c r="KJ11" s="263"/>
      <c r="KK11" s="263"/>
      <c r="KL11" s="263"/>
      <c r="KM11" s="263"/>
      <c r="KN11" s="263"/>
      <c r="KO11" s="263"/>
      <c r="KP11" s="263"/>
      <c r="KQ11" s="263"/>
      <c r="KR11" s="263"/>
      <c r="KS11" s="263"/>
      <c r="KT11" s="263"/>
      <c r="KU11" s="263"/>
      <c r="KV11" s="263"/>
      <c r="KW11" s="263"/>
      <c r="KX11" s="263"/>
      <c r="KY11" s="263"/>
      <c r="KZ11" s="263"/>
      <c r="LA11" s="263"/>
      <c r="LB11" s="263"/>
      <c r="LC11" s="263"/>
      <c r="LD11" s="263"/>
      <c r="LE11" s="263"/>
      <c r="LF11" s="263"/>
      <c r="LG11" s="263"/>
      <c r="LH11" s="263"/>
      <c r="LI11" s="263"/>
      <c r="LJ11" s="263"/>
      <c r="LK11" s="263"/>
      <c r="LL11" s="263"/>
      <c r="LM11" s="263"/>
      <c r="LN11" s="263"/>
      <c r="LO11" s="263"/>
      <c r="LP11" s="263"/>
      <c r="LQ11" s="263"/>
      <c r="LR11" s="263"/>
      <c r="LS11" s="263"/>
      <c r="LT11" s="263"/>
      <c r="LU11" s="263"/>
      <c r="LV11" s="263"/>
      <c r="LW11" s="263"/>
      <c r="LX11" s="263"/>
      <c r="LY11" s="263"/>
      <c r="LZ11" s="263"/>
      <c r="MA11" s="263"/>
      <c r="MB11" s="263"/>
      <c r="MC11" s="263"/>
      <c r="MD11" s="263"/>
      <c r="ME11" s="263"/>
      <c r="MF11" s="263"/>
      <c r="MG11" s="263"/>
      <c r="MH11" s="263"/>
      <c r="MI11" s="263"/>
      <c r="MJ11" s="263"/>
      <c r="MK11" s="263"/>
      <c r="ML11" s="263"/>
      <c r="MM11" s="263"/>
      <c r="MN11" s="263"/>
      <c r="MO11" s="263"/>
      <c r="MP11" s="263"/>
      <c r="MQ11" s="263"/>
      <c r="MR11" s="263"/>
      <c r="MS11" s="263"/>
      <c r="MT11" s="263"/>
      <c r="MU11" s="263"/>
      <c r="MV11" s="263"/>
      <c r="MW11" s="263"/>
      <c r="MX11" s="263"/>
      <c r="MY11" s="263"/>
      <c r="MZ11" s="263"/>
      <c r="NA11" s="263"/>
      <c r="NB11" s="263"/>
      <c r="NC11" s="263"/>
      <c r="ND11" s="263"/>
      <c r="NE11" s="263"/>
      <c r="NF11" s="263"/>
      <c r="NG11" s="263"/>
      <c r="NH11" s="263"/>
      <c r="NI11" s="263"/>
      <c r="NJ11" s="263"/>
      <c r="NK11" s="263"/>
      <c r="NL11" s="263"/>
      <c r="NM11" s="263"/>
      <c r="NN11" s="263"/>
      <c r="NO11" s="263"/>
      <c r="NP11" s="263"/>
      <c r="NQ11" s="263"/>
      <c r="NR11" s="263"/>
      <c r="NS11" s="263"/>
      <c r="NT11" s="263"/>
      <c r="NU11" s="263"/>
      <c r="NV11" s="263"/>
      <c r="NW11" s="263"/>
      <c r="NX11" s="263"/>
      <c r="NY11" s="263"/>
      <c r="NZ11" s="263"/>
      <c r="OA11" s="263"/>
      <c r="OB11" s="263"/>
      <c r="OC11" s="263"/>
      <c r="OD11" s="263"/>
      <c r="OE11" s="263"/>
      <c r="OF11" s="263"/>
      <c r="OG11" s="263"/>
      <c r="OH11" s="263"/>
      <c r="OI11" s="263"/>
      <c r="OJ11" s="263"/>
      <c r="OK11" s="263"/>
      <c r="OL11" s="263"/>
      <c r="OM11" s="263"/>
      <c r="ON11" s="263"/>
      <c r="OO11" s="263"/>
      <c r="OP11" s="263"/>
      <c r="OQ11" s="263"/>
      <c r="OR11" s="263"/>
      <c r="OS11" s="263"/>
      <c r="OT11" s="263"/>
      <c r="OU11" s="263"/>
      <c r="OV11" s="263"/>
      <c r="OW11" s="263"/>
      <c r="OX11" s="263"/>
      <c r="OY11" s="263"/>
      <c r="OZ11" s="263"/>
      <c r="PA11" s="263"/>
      <c r="PB11" s="263"/>
      <c r="PC11" s="263"/>
      <c r="PD11" s="263"/>
      <c r="PE11" s="263"/>
      <c r="PF11" s="263"/>
      <c r="PG11" s="263"/>
      <c r="PH11" s="263"/>
      <c r="PI11" s="263"/>
      <c r="PJ11" s="263"/>
      <c r="PK11" s="263"/>
      <c r="PL11" s="263"/>
      <c r="PM11" s="263"/>
      <c r="PN11" s="263"/>
      <c r="PO11" s="263"/>
      <c r="PP11" s="263"/>
      <c r="PQ11" s="263"/>
      <c r="PR11" s="263"/>
      <c r="PS11" s="263"/>
      <c r="PT11" s="263"/>
      <c r="PU11" s="263"/>
      <c r="PV11" s="263"/>
      <c r="PW11" s="263"/>
      <c r="PX11" s="263"/>
      <c r="PY11" s="263"/>
      <c r="PZ11" s="263"/>
      <c r="QA11" s="263"/>
      <c r="QB11" s="263"/>
      <c r="QC11" s="263"/>
      <c r="QD11" s="263"/>
      <c r="QE11" s="263"/>
      <c r="QF11" s="263"/>
      <c r="QG11" s="263"/>
      <c r="QH11" s="263"/>
      <c r="QI11" s="263"/>
      <c r="QJ11" s="263"/>
      <c r="QK11" s="263"/>
      <c r="QL11" s="263"/>
      <c r="QM11" s="263"/>
      <c r="QN11" s="263"/>
      <c r="QO11" s="263"/>
      <c r="QP11" s="263"/>
      <c r="QQ11" s="263"/>
      <c r="QR11" s="263"/>
      <c r="QS11" s="263"/>
      <c r="QT11" s="263"/>
      <c r="QU11" s="263"/>
      <c r="QV11" s="263"/>
      <c r="QW11" s="263"/>
      <c r="QX11" s="263"/>
      <c r="QY11" s="263"/>
      <c r="QZ11" s="263"/>
      <c r="RA11" s="263"/>
      <c r="RB11" s="263"/>
      <c r="RC11" s="263"/>
      <c r="RD11" s="263"/>
      <c r="RE11" s="263"/>
      <c r="RF11" s="263"/>
      <c r="RG11" s="263"/>
      <c r="RH11" s="263"/>
      <c r="RI11" s="263"/>
      <c r="RJ11" s="263"/>
      <c r="RK11" s="263"/>
      <c r="RL11" s="263"/>
      <c r="RM11" s="263"/>
      <c r="RN11" s="263"/>
      <c r="RO11" s="263"/>
      <c r="RP11" s="263"/>
      <c r="RQ11" s="263"/>
      <c r="RR11" s="263"/>
      <c r="RS11" s="263"/>
      <c r="RT11" s="263"/>
      <c r="RU11" s="263"/>
      <c r="RV11" s="263"/>
      <c r="RW11" s="263"/>
      <c r="RX11" s="263"/>
      <c r="RY11" s="263"/>
      <c r="RZ11" s="263"/>
      <c r="SA11" s="263"/>
      <c r="SB11" s="263"/>
      <c r="SC11" s="263"/>
      <c r="SD11" s="263"/>
      <c r="SE11" s="263"/>
      <c r="SF11" s="263"/>
      <c r="SG11" s="263"/>
      <c r="SH11" s="263"/>
      <c r="SI11" s="263"/>
      <c r="SJ11" s="263"/>
      <c r="SK11" s="263"/>
      <c r="SL11" s="263"/>
      <c r="SM11" s="263"/>
      <c r="SN11" s="263"/>
      <c r="SO11" s="263"/>
      <c r="SP11" s="263"/>
      <c r="SQ11" s="263"/>
      <c r="SR11" s="263"/>
      <c r="SS11" s="263"/>
      <c r="ST11" s="263"/>
      <c r="SU11" s="263"/>
      <c r="SV11" s="263"/>
      <c r="SW11" s="263"/>
      <c r="SX11" s="263"/>
      <c r="SY11" s="263"/>
      <c r="SZ11" s="263"/>
      <c r="TA11" s="263"/>
      <c r="TB11" s="263"/>
      <c r="TC11" s="263"/>
      <c r="TD11" s="263"/>
      <c r="TE11" s="263"/>
      <c r="TF11" s="263"/>
      <c r="TG11" s="263"/>
      <c r="TH11" s="263"/>
      <c r="TI11" s="263"/>
      <c r="TJ11" s="263"/>
      <c r="TK11" s="263"/>
      <c r="TL11" s="263"/>
      <c r="TM11" s="263"/>
      <c r="TN11" s="263"/>
      <c r="TO11" s="263"/>
      <c r="TP11" s="263"/>
      <c r="TQ11" s="263"/>
      <c r="TR11" s="263"/>
      <c r="TS11" s="263"/>
      <c r="TT11" s="263"/>
      <c r="TU11" s="263"/>
      <c r="TV11" s="263"/>
      <c r="TW11" s="263"/>
      <c r="TX11" s="263"/>
      <c r="TY11" s="263"/>
      <c r="TZ11" s="263"/>
      <c r="UA11" s="263"/>
      <c r="UB11" s="263"/>
      <c r="UC11" s="263"/>
      <c r="UD11" s="263"/>
      <c r="UE11" s="263"/>
      <c r="UF11" s="263"/>
      <c r="UG11" s="263"/>
      <c r="UH11" s="263"/>
      <c r="UI11" s="263"/>
      <c r="UJ11" s="263"/>
      <c r="UK11" s="263"/>
      <c r="UL11" s="263"/>
      <c r="UM11" s="263"/>
      <c r="UN11" s="263"/>
      <c r="UO11" s="263"/>
      <c r="UP11" s="263"/>
      <c r="UQ11" s="263"/>
      <c r="UR11" s="263"/>
      <c r="US11" s="263"/>
      <c r="UT11" s="263"/>
      <c r="UU11" s="263"/>
      <c r="UV11" s="263"/>
      <c r="UW11" s="263"/>
      <c r="UX11" s="263"/>
      <c r="UY11" s="263"/>
      <c r="UZ11" s="263"/>
      <c r="VA11" s="263"/>
      <c r="VB11" s="263"/>
      <c r="VC11" s="263"/>
      <c r="VD11" s="263"/>
      <c r="VE11" s="263"/>
      <c r="VF11" s="263"/>
      <c r="VG11" s="263"/>
      <c r="VH11" s="263"/>
      <c r="VI11" s="263"/>
      <c r="VJ11" s="263"/>
      <c r="VK11" s="263"/>
      <c r="VL11" s="263"/>
      <c r="VM11" s="263"/>
      <c r="VN11" s="263"/>
      <c r="VO11" s="263"/>
      <c r="VP11" s="263"/>
      <c r="VQ11" s="263"/>
      <c r="VR11" s="263"/>
      <c r="VS11" s="263"/>
      <c r="VT11" s="263"/>
      <c r="VU11" s="263"/>
      <c r="VV11" s="263"/>
      <c r="VW11" s="263"/>
      <c r="VX11" s="263"/>
      <c r="VY11" s="263"/>
      <c r="VZ11" s="263"/>
      <c r="WA11" s="263"/>
      <c r="WB11" s="263"/>
      <c r="WC11" s="263"/>
      <c r="WD11" s="263"/>
      <c r="WE11" s="263"/>
      <c r="WF11" s="263"/>
      <c r="WG11" s="263"/>
      <c r="WH11" s="263"/>
      <c r="WI11" s="263"/>
      <c r="WJ11" s="263"/>
      <c r="WK11" s="263"/>
      <c r="WL11" s="263"/>
      <c r="WM11" s="263"/>
      <c r="WN11" s="263"/>
      <c r="WO11" s="263"/>
      <c r="WP11" s="263"/>
      <c r="WQ11" s="263"/>
      <c r="WR11" s="263"/>
      <c r="WS11" s="263"/>
      <c r="WT11" s="263"/>
      <c r="WU11" s="263"/>
      <c r="WV11" s="263"/>
      <c r="WW11" s="263"/>
      <c r="WX11" s="263"/>
      <c r="WY11" s="263"/>
      <c r="WZ11" s="263"/>
      <c r="XA11" s="263"/>
      <c r="XB11" s="263"/>
      <c r="XC11" s="263"/>
      <c r="XD11" s="263"/>
      <c r="XE11" s="263"/>
      <c r="XF11" s="263"/>
      <c r="XG11" s="263"/>
      <c r="XH11" s="263"/>
      <c r="XI11" s="263"/>
      <c r="XJ11" s="263"/>
      <c r="XK11" s="263"/>
      <c r="XL11" s="263"/>
      <c r="XM11" s="263"/>
      <c r="XN11" s="263"/>
      <c r="XO11" s="263"/>
      <c r="XP11" s="263"/>
      <c r="XQ11" s="263"/>
      <c r="XR11" s="263"/>
      <c r="XS11" s="263"/>
      <c r="XT11" s="263"/>
      <c r="XU11" s="263"/>
      <c r="XV11" s="263"/>
      <c r="XW11" s="263"/>
      <c r="XX11" s="263"/>
      <c r="XY11" s="263"/>
      <c r="XZ11" s="263"/>
      <c r="YA11" s="263"/>
      <c r="YB11" s="263"/>
      <c r="YC11" s="263"/>
      <c r="YD11" s="263"/>
      <c r="YE11" s="263"/>
      <c r="YF11" s="263"/>
      <c r="YG11" s="263"/>
      <c r="YH11" s="263"/>
      <c r="YI11" s="263"/>
      <c r="YJ11" s="263"/>
      <c r="YK11" s="263"/>
      <c r="YL11" s="263"/>
      <c r="YM11" s="263"/>
      <c r="YN11" s="263"/>
      <c r="YO11" s="263"/>
      <c r="YP11" s="263"/>
      <c r="YQ11" s="263"/>
      <c r="YR11" s="263"/>
      <c r="YS11" s="263"/>
      <c r="YT11" s="263"/>
      <c r="YU11" s="263"/>
      <c r="YV11" s="263"/>
      <c r="YW11" s="263"/>
      <c r="YX11" s="263"/>
      <c r="YY11" s="263"/>
      <c r="YZ11" s="263"/>
      <c r="ZA11" s="263"/>
      <c r="ZB11" s="263"/>
      <c r="ZC11" s="263"/>
      <c r="ZD11" s="263"/>
      <c r="ZE11" s="263"/>
      <c r="ZF11" s="263"/>
      <c r="ZG11" s="263"/>
      <c r="ZH11" s="263"/>
      <c r="ZI11" s="263"/>
      <c r="ZJ11" s="263"/>
      <c r="ZK11" s="263"/>
      <c r="ZL11" s="263"/>
      <c r="ZM11" s="263"/>
      <c r="ZN11" s="263"/>
      <c r="ZO11" s="263"/>
      <c r="ZP11" s="263"/>
      <c r="ZQ11" s="263"/>
      <c r="ZR11" s="263"/>
      <c r="ZS11" s="263"/>
      <c r="ZT11" s="263"/>
      <c r="ZU11" s="263"/>
      <c r="ZV11" s="263"/>
      <c r="ZW11" s="263"/>
      <c r="ZX11" s="263"/>
      <c r="ZY11" s="263"/>
      <c r="ZZ11" s="263"/>
      <c r="AAA11" s="263"/>
      <c r="AAB11" s="263"/>
      <c r="AAC11" s="263"/>
      <c r="AAD11" s="263"/>
      <c r="AAE11" s="263"/>
      <c r="AAF11" s="263"/>
      <c r="AAG11" s="263"/>
      <c r="AAH11" s="263"/>
      <c r="AAI11" s="263"/>
      <c r="AAJ11" s="263"/>
      <c r="AAK11" s="263"/>
      <c r="AAL11" s="263"/>
      <c r="AAM11" s="263"/>
      <c r="AAN11" s="263"/>
      <c r="AAO11" s="263"/>
      <c r="AAP11" s="263"/>
      <c r="AAQ11" s="263"/>
      <c r="AAR11" s="263"/>
      <c r="AAS11" s="263"/>
      <c r="AAT11" s="263"/>
      <c r="AAU11" s="263"/>
      <c r="AAV11" s="263"/>
      <c r="AAW11" s="263"/>
      <c r="AAX11" s="263"/>
      <c r="AAY11" s="263"/>
      <c r="AAZ11" s="263"/>
      <c r="ABA11" s="263"/>
      <c r="ABB11" s="263"/>
      <c r="ABC11" s="263"/>
      <c r="ABD11" s="263"/>
      <c r="ABE11" s="263"/>
      <c r="ABF11" s="263"/>
      <c r="ABG11" s="263"/>
      <c r="ABH11" s="263"/>
      <c r="ABI11" s="263"/>
      <c r="ABJ11" s="263"/>
      <c r="ABK11" s="263"/>
      <c r="ABL11" s="263"/>
      <c r="ABM11" s="263"/>
      <c r="ABN11" s="263"/>
      <c r="ABO11" s="263"/>
      <c r="ABP11" s="263"/>
      <c r="ABQ11" s="263"/>
      <c r="ABR11" s="263"/>
      <c r="ABS11" s="263"/>
      <c r="ABT11" s="263"/>
      <c r="ABU11" s="263"/>
      <c r="ABV11" s="263"/>
      <c r="ABW11" s="263"/>
      <c r="ABX11" s="263"/>
      <c r="ABY11" s="263"/>
      <c r="ABZ11" s="263"/>
      <c r="ACA11" s="263"/>
      <c r="ACB11" s="263"/>
      <c r="ACC11" s="263"/>
      <c r="ACD11" s="263"/>
      <c r="ACE11" s="263"/>
      <c r="ACF11" s="263"/>
      <c r="ACG11" s="263"/>
      <c r="ACH11" s="263"/>
      <c r="ACI11" s="263"/>
      <c r="ACJ11" s="263"/>
      <c r="ACK11" s="263"/>
      <c r="ACL11" s="263"/>
      <c r="ACM11" s="263"/>
      <c r="ACN11" s="263"/>
      <c r="ACO11" s="263"/>
      <c r="ACP11" s="263"/>
      <c r="ACQ11" s="263"/>
      <c r="ACR11" s="263"/>
      <c r="ACS11" s="263"/>
      <c r="ACT11" s="263"/>
      <c r="ACU11" s="263"/>
      <c r="ACV11" s="263"/>
      <c r="ACW11" s="263"/>
      <c r="ACX11" s="263"/>
      <c r="ACY11" s="263"/>
      <c r="ACZ11" s="263"/>
      <c r="ADA11" s="263"/>
      <c r="ADB11" s="263"/>
      <c r="ADC11" s="263"/>
      <c r="ADD11" s="263"/>
      <c r="ADE11" s="263"/>
      <c r="ADF11" s="263"/>
      <c r="ADG11" s="263"/>
      <c r="ADH11" s="263"/>
      <c r="ADI11" s="263"/>
      <c r="ADJ11" s="263"/>
      <c r="ADK11" s="263"/>
      <c r="ADL11" s="263"/>
      <c r="ADM11" s="263"/>
      <c r="ADN11" s="263"/>
      <c r="ADO11" s="263"/>
      <c r="ADP11" s="263"/>
      <c r="ADQ11" s="263"/>
      <c r="ADR11" s="263"/>
      <c r="ADS11" s="263"/>
      <c r="ADT11" s="263"/>
      <c r="ADU11" s="263"/>
      <c r="ADV11" s="263"/>
      <c r="ADW11" s="263"/>
      <c r="ADX11" s="263"/>
      <c r="ADY11" s="263"/>
      <c r="ADZ11" s="263"/>
      <c r="AEA11" s="263"/>
      <c r="AEB11" s="263"/>
      <c r="AEC11" s="263"/>
      <c r="AED11" s="263"/>
      <c r="AEE11" s="263"/>
      <c r="AEF11" s="263"/>
      <c r="AEG11" s="263"/>
      <c r="AEH11" s="263"/>
      <c r="AEI11" s="263"/>
      <c r="AEJ11" s="263"/>
      <c r="AEK11" s="263"/>
      <c r="AEL11" s="263"/>
      <c r="AEM11" s="263"/>
      <c r="AEN11" s="263"/>
      <c r="AEO11" s="263"/>
      <c r="AEP11" s="263"/>
      <c r="AEQ11" s="263"/>
      <c r="AER11" s="263"/>
      <c r="AES11" s="263"/>
      <c r="AET11" s="263"/>
      <c r="AEU11" s="263"/>
      <c r="AEV11" s="263"/>
      <c r="AEW11" s="263"/>
      <c r="AEX11" s="263"/>
      <c r="AEY11" s="263"/>
      <c r="AEZ11" s="263"/>
      <c r="AFA11" s="263"/>
      <c r="AFB11" s="263"/>
      <c r="AFC11" s="263"/>
      <c r="AFD11" s="263"/>
      <c r="AFE11" s="263"/>
      <c r="AFF11" s="263"/>
      <c r="AFG11" s="263"/>
      <c r="AFH11" s="263"/>
      <c r="AFI11" s="263"/>
      <c r="AFJ11" s="263"/>
      <c r="AFK11" s="263"/>
      <c r="AFL11" s="263"/>
      <c r="AFM11" s="263"/>
      <c r="AFN11" s="263"/>
      <c r="AFO11" s="263"/>
      <c r="AFP11" s="263"/>
      <c r="AFQ11" s="263"/>
      <c r="AFR11" s="263"/>
      <c r="AFS11" s="263"/>
      <c r="AFT11" s="263"/>
      <c r="AFU11" s="263"/>
      <c r="AFV11" s="263"/>
      <c r="AFW11" s="263"/>
      <c r="AFX11" s="263"/>
      <c r="AFY11" s="263"/>
      <c r="AFZ11" s="263"/>
      <c r="AGA11" s="263"/>
      <c r="AGB11" s="263"/>
      <c r="AGC11" s="263"/>
      <c r="AGD11" s="263"/>
      <c r="AGE11" s="263"/>
      <c r="AGF11" s="263"/>
      <c r="AGG11" s="263"/>
      <c r="AGH11" s="263"/>
      <c r="AGI11" s="263"/>
      <c r="AGJ11" s="263"/>
      <c r="AGK11" s="263"/>
      <c r="AGL11" s="263"/>
      <c r="AGM11" s="263"/>
      <c r="AGN11" s="263"/>
      <c r="AGO11" s="263"/>
      <c r="AGP11" s="263"/>
      <c r="AGQ11" s="263"/>
      <c r="AGR11" s="263"/>
      <c r="AGS11" s="263"/>
      <c r="AGT11" s="263"/>
      <c r="AGU11" s="263"/>
      <c r="AGV11" s="263"/>
      <c r="AGW11" s="263"/>
      <c r="AGX11" s="263"/>
      <c r="AGY11" s="263"/>
      <c r="AGZ11" s="263"/>
      <c r="AHA11" s="263"/>
      <c r="AHB11" s="263"/>
      <c r="AHC11" s="263"/>
      <c r="AHD11" s="263"/>
      <c r="AHE11" s="263"/>
      <c r="AHF11" s="263"/>
      <c r="AHG11" s="263"/>
      <c r="AHH11" s="263"/>
      <c r="AHI11" s="263"/>
      <c r="AHJ11" s="263"/>
      <c r="AHK11" s="263"/>
      <c r="AHL11" s="263"/>
      <c r="AHM11" s="263"/>
      <c r="AHN11" s="263"/>
      <c r="AHO11" s="263"/>
      <c r="AHP11" s="263"/>
      <c r="AHQ11" s="263"/>
      <c r="AHR11" s="263"/>
      <c r="AHS11" s="263"/>
      <c r="AHT11" s="263"/>
      <c r="AHU11" s="263"/>
      <c r="AHV11" s="263"/>
      <c r="AHW11" s="263"/>
      <c r="AHX11" s="263"/>
      <c r="AHY11" s="263"/>
      <c r="AHZ11" s="263"/>
      <c r="AIA11" s="263"/>
      <c r="AIB11" s="263"/>
      <c r="AIC11" s="263"/>
      <c r="AID11" s="263"/>
      <c r="AIE11" s="263"/>
      <c r="AIF11" s="263"/>
      <c r="AIG11" s="263"/>
      <c r="AIH11" s="263"/>
      <c r="AII11" s="263"/>
      <c r="AIJ11" s="263"/>
      <c r="AIK11" s="263"/>
      <c r="AIL11" s="263"/>
      <c r="AIM11" s="263"/>
      <c r="AIN11" s="263"/>
      <c r="AIO11" s="263"/>
      <c r="AIP11" s="263"/>
      <c r="AIQ11" s="263"/>
      <c r="AIR11" s="263"/>
      <c r="AIS11" s="263"/>
      <c r="AIT11" s="263"/>
      <c r="AIU11" s="263"/>
      <c r="AIV11" s="263"/>
      <c r="AIW11" s="263"/>
      <c r="AIX11" s="263"/>
      <c r="AIY11" s="263"/>
      <c r="AIZ11" s="263"/>
      <c r="AJA11" s="263"/>
      <c r="AJB11" s="263"/>
      <c r="AJC11" s="263"/>
      <c r="AJD11" s="263"/>
      <c r="AJE11" s="263"/>
      <c r="AJF11" s="263"/>
      <c r="AJG11" s="263"/>
      <c r="AJH11" s="263"/>
      <c r="AJI11" s="263"/>
      <c r="AJJ11" s="263"/>
      <c r="AJK11" s="263"/>
      <c r="AJL11" s="263"/>
      <c r="AJM11" s="263"/>
      <c r="AJN11" s="263"/>
      <c r="AJO11" s="263"/>
      <c r="AJP11" s="263"/>
      <c r="AJQ11" s="263"/>
      <c r="AJR11" s="263"/>
      <c r="AJS11" s="263"/>
      <c r="AJT11" s="263"/>
      <c r="AJU11" s="263"/>
      <c r="AJV11" s="263"/>
      <c r="AJW11" s="263"/>
      <c r="AJX11" s="263"/>
      <c r="AJY11" s="263"/>
      <c r="AJZ11" s="263"/>
      <c r="AKA11" s="263"/>
      <c r="AKB11" s="263"/>
      <c r="AKC11" s="263"/>
      <c r="AKD11" s="263"/>
      <c r="AKE11" s="263"/>
      <c r="AKF11" s="263"/>
      <c r="AKG11" s="263"/>
      <c r="AKH11" s="263"/>
      <c r="AKI11" s="263"/>
      <c r="AKJ11" s="263"/>
      <c r="AKK11" s="263"/>
      <c r="AKL11" s="263"/>
      <c r="AKM11" s="263"/>
      <c r="AKN11" s="263"/>
      <c r="AKO11" s="263"/>
      <c r="AKP11" s="263"/>
      <c r="AKQ11" s="263"/>
      <c r="AKR11" s="263"/>
      <c r="AKS11" s="263"/>
      <c r="AKT11" s="263"/>
      <c r="AKU11" s="263"/>
      <c r="AKV11" s="263"/>
      <c r="AKW11" s="263"/>
      <c r="AKX11" s="263"/>
      <c r="AKY11" s="263"/>
      <c r="AKZ11" s="263"/>
      <c r="ALA11" s="263"/>
      <c r="ALB11" s="263"/>
      <c r="ALC11" s="263"/>
      <c r="ALD11" s="263"/>
      <c r="ALE11" s="263"/>
      <c r="ALF11" s="263"/>
      <c r="ALG11" s="263"/>
      <c r="ALH11" s="263"/>
      <c r="ALI11" s="263"/>
      <c r="ALJ11" s="263"/>
      <c r="ALK11" s="263"/>
      <c r="ALL11" s="263"/>
      <c r="ALM11" s="263"/>
      <c r="ALN11" s="263"/>
      <c r="ALO11" s="263"/>
      <c r="ALP11" s="263"/>
      <c r="ALQ11" s="263"/>
      <c r="ALR11" s="263"/>
      <c r="ALS11" s="263"/>
    </row>
    <row r="12" spans="1:1007" x14ac:dyDescent="0.2">
      <c r="A12" s="652" t="s">
        <v>461</v>
      </c>
      <c r="B12" s="388">
        <v>17.5</v>
      </c>
      <c r="C12" s="388">
        <v>15</v>
      </c>
      <c r="D12" s="388">
        <v>16</v>
      </c>
      <c r="E12" s="388"/>
      <c r="F12" s="388"/>
      <c r="G12" s="388"/>
      <c r="H12" s="388"/>
      <c r="I12" s="388"/>
    </row>
    <row r="13" spans="1:1007" ht="13.5" thickBot="1" x14ac:dyDescent="0.25">
      <c r="A13" s="366"/>
      <c r="B13" s="386"/>
      <c r="C13" s="386"/>
      <c r="D13" s="264"/>
    </row>
    <row r="14" spans="1:1007" ht="15" thickBot="1" x14ac:dyDescent="0.25">
      <c r="A14" s="369" t="s">
        <v>271</v>
      </c>
      <c r="B14" s="387" t="s">
        <v>275</v>
      </c>
      <c r="C14" s="387" t="s">
        <v>269</v>
      </c>
      <c r="D14" s="387" t="s">
        <v>270</v>
      </c>
      <c r="E14" s="647" t="s">
        <v>442</v>
      </c>
      <c r="F14" s="647" t="s">
        <v>443</v>
      </c>
      <c r="G14" s="647" t="s">
        <v>444</v>
      </c>
      <c r="H14" s="647" t="s">
        <v>445</v>
      </c>
      <c r="I14" s="647" t="s">
        <v>446</v>
      </c>
      <c r="J14" s="365"/>
      <c r="K14" s="365"/>
      <c r="L14" s="365"/>
    </row>
    <row r="15" spans="1:1007" x14ac:dyDescent="0.2">
      <c r="A15" s="379" t="s">
        <v>266</v>
      </c>
      <c r="B15" s="391">
        <v>0.2</v>
      </c>
      <c r="C15" s="391">
        <v>0.2</v>
      </c>
      <c r="D15" s="391">
        <v>0.15</v>
      </c>
      <c r="E15" s="649">
        <v>0.2</v>
      </c>
      <c r="F15" s="644"/>
      <c r="G15" s="644"/>
      <c r="H15" s="644"/>
      <c r="I15" s="644"/>
      <c r="J15" s="363"/>
      <c r="K15" s="363"/>
      <c r="L15" s="363"/>
    </row>
    <row r="16" spans="1:1007" x14ac:dyDescent="0.2">
      <c r="A16" s="379" t="s">
        <v>267</v>
      </c>
      <c r="B16" s="392">
        <v>0.8</v>
      </c>
      <c r="C16" s="392">
        <v>0.8</v>
      </c>
      <c r="D16" s="392">
        <v>0.85</v>
      </c>
      <c r="E16" s="650">
        <v>0.8</v>
      </c>
      <c r="F16" s="643"/>
      <c r="G16" s="643"/>
      <c r="H16" s="643"/>
      <c r="I16" s="643"/>
      <c r="J16" s="363"/>
      <c r="K16" s="363"/>
      <c r="L16" s="363"/>
    </row>
    <row r="17" spans="1:12" x14ac:dyDescent="0.2">
      <c r="A17" s="379" t="s">
        <v>273</v>
      </c>
      <c r="B17" s="393">
        <v>0.12</v>
      </c>
      <c r="C17" s="393">
        <v>0.11</v>
      </c>
      <c r="D17" s="393">
        <v>9.5000000000000001E-2</v>
      </c>
      <c r="E17" s="651">
        <v>0.12</v>
      </c>
      <c r="F17" s="643"/>
      <c r="G17" s="643"/>
      <c r="H17" s="643"/>
      <c r="I17" s="643"/>
      <c r="J17" s="363"/>
      <c r="K17" s="363"/>
      <c r="L17" s="363"/>
    </row>
    <row r="18" spans="1:12" x14ac:dyDescent="0.2">
      <c r="A18" s="379" t="s">
        <v>274</v>
      </c>
      <c r="B18" s="394">
        <v>0.02</v>
      </c>
      <c r="C18" s="394">
        <v>1.4999999999999999E-2</v>
      </c>
      <c r="D18" s="394">
        <v>1.7000000000000001E-2</v>
      </c>
      <c r="E18" s="648">
        <v>4.4999999999999998E-2</v>
      </c>
      <c r="F18" s="643"/>
      <c r="G18" s="643"/>
      <c r="H18" s="643"/>
      <c r="I18" s="643"/>
      <c r="J18" s="363"/>
      <c r="K18" s="363"/>
      <c r="L18" s="363"/>
    </row>
    <row r="19" spans="1:12" x14ac:dyDescent="0.2">
      <c r="A19" s="379"/>
      <c r="B19" s="395"/>
      <c r="C19" s="395"/>
      <c r="D19" s="395"/>
      <c r="E19" s="642"/>
      <c r="F19" s="643"/>
      <c r="G19" s="643"/>
      <c r="H19" s="643"/>
      <c r="I19" s="643"/>
      <c r="J19" s="363"/>
      <c r="K19" s="363"/>
      <c r="L19" s="363"/>
    </row>
    <row r="20" spans="1:12" x14ac:dyDescent="0.2">
      <c r="A20" s="379" t="s">
        <v>268</v>
      </c>
      <c r="B20" s="394">
        <v>5.0000000000000001E-3</v>
      </c>
      <c r="C20" s="394">
        <v>5.0000000000000001E-3</v>
      </c>
      <c r="D20" s="394">
        <v>2E-3</v>
      </c>
      <c r="E20" s="648">
        <v>0</v>
      </c>
      <c r="F20" s="643"/>
      <c r="G20" s="643"/>
      <c r="H20" s="643"/>
      <c r="I20" s="643"/>
      <c r="J20" s="363"/>
      <c r="K20" s="363"/>
      <c r="L20" s="363"/>
    </row>
    <row r="21" spans="1:12" x14ac:dyDescent="0.2">
      <c r="A21" s="379" t="s">
        <v>340</v>
      </c>
      <c r="B21" s="522">
        <v>1.4999999999999999E-2</v>
      </c>
      <c r="C21" s="522">
        <v>1.4999999999999999E-2</v>
      </c>
      <c r="D21" s="522">
        <v>1.4999999999999999E-2</v>
      </c>
      <c r="E21" s="648">
        <v>0.02</v>
      </c>
      <c r="F21" s="641"/>
      <c r="G21" s="641"/>
      <c r="H21" s="641"/>
      <c r="I21" s="641"/>
    </row>
    <row r="22" spans="1:12" x14ac:dyDescent="0.2">
      <c r="A22" s="366"/>
      <c r="B22" s="366"/>
      <c r="C22" s="366"/>
      <c r="D22" s="362"/>
    </row>
    <row r="23" spans="1:12" x14ac:dyDescent="0.2">
      <c r="A23" s="366"/>
      <c r="B23" s="366"/>
      <c r="C23" s="366"/>
    </row>
    <row r="24" spans="1:12" ht="14.25" x14ac:dyDescent="0.2">
      <c r="A24" s="369" t="s">
        <v>464</v>
      </c>
      <c r="B24" s="366"/>
      <c r="C24" s="366"/>
    </row>
    <row r="25" spans="1:12" x14ac:dyDescent="0.2">
      <c r="A25" s="379" t="s">
        <v>458</v>
      </c>
      <c r="B25" s="366"/>
      <c r="C25" s="366"/>
    </row>
    <row r="26" spans="1:12" x14ac:dyDescent="0.2">
      <c r="A26" s="379" t="s">
        <v>459</v>
      </c>
      <c r="B26" s="366"/>
      <c r="C26" s="366"/>
    </row>
    <row r="27" spans="1:12" x14ac:dyDescent="0.2">
      <c r="A27" s="379" t="s">
        <v>460</v>
      </c>
      <c r="B27" s="366"/>
      <c r="C27" s="366"/>
    </row>
    <row r="28" spans="1:12" x14ac:dyDescent="0.2">
      <c r="A28" s="379" t="s">
        <v>461</v>
      </c>
      <c r="B28" s="366"/>
      <c r="C28" s="366"/>
    </row>
    <row r="29" spans="1:12" x14ac:dyDescent="0.2">
      <c r="A29" s="367"/>
      <c r="B29" s="366"/>
      <c r="C29" s="366"/>
    </row>
    <row r="30" spans="1:12" ht="14.25" x14ac:dyDescent="0.2">
      <c r="A30" s="369" t="s">
        <v>465</v>
      </c>
      <c r="B30" s="366"/>
      <c r="C30" s="366"/>
    </row>
    <row r="31" spans="1:12" x14ac:dyDescent="0.2">
      <c r="A31" s="379" t="s">
        <v>458</v>
      </c>
      <c r="B31" s="366"/>
      <c r="C31" s="366"/>
    </row>
    <row r="32" spans="1:12" x14ac:dyDescent="0.2">
      <c r="A32" s="379" t="s">
        <v>459</v>
      </c>
      <c r="B32" s="366"/>
      <c r="C32" s="366"/>
    </row>
    <row r="33" spans="1:1007" s="3" customFormat="1" x14ac:dyDescent="0.2">
      <c r="A33" s="379" t="s">
        <v>460</v>
      </c>
      <c r="B33" s="366"/>
      <c r="C33" s="326"/>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c r="DM33" s="263"/>
      <c r="DN33" s="263"/>
      <c r="DO33" s="263"/>
      <c r="DP33" s="263"/>
      <c r="DQ33" s="263"/>
      <c r="DR33" s="263"/>
      <c r="DS33" s="263"/>
      <c r="DT33" s="263"/>
      <c r="DU33" s="263"/>
      <c r="DV33" s="263"/>
      <c r="DW33" s="263"/>
      <c r="DX33" s="263"/>
      <c r="DY33" s="263"/>
      <c r="DZ33" s="263"/>
      <c r="EA33" s="263"/>
      <c r="EB33" s="263"/>
      <c r="EC33" s="263"/>
      <c r="ED33" s="263"/>
      <c r="EE33" s="263"/>
      <c r="EF33" s="263"/>
      <c r="EG33" s="263"/>
      <c r="EH33" s="263"/>
      <c r="EI33" s="263"/>
      <c r="EJ33" s="263"/>
      <c r="EK33" s="263"/>
      <c r="EL33" s="263"/>
      <c r="EM33" s="263"/>
      <c r="EN33" s="263"/>
      <c r="EO33" s="263"/>
      <c r="EP33" s="263"/>
      <c r="EQ33" s="263"/>
      <c r="ER33" s="263"/>
      <c r="ES33" s="263"/>
      <c r="ET33" s="263"/>
      <c r="EU33" s="263"/>
      <c r="EV33" s="263"/>
      <c r="EW33" s="263"/>
      <c r="EX33" s="263"/>
      <c r="EY33" s="263"/>
      <c r="EZ33" s="263"/>
      <c r="FA33" s="263"/>
      <c r="FB33" s="263"/>
      <c r="FC33" s="263"/>
      <c r="FD33" s="263"/>
      <c r="FE33" s="263"/>
      <c r="FF33" s="263"/>
      <c r="FG33" s="263"/>
      <c r="FH33" s="263"/>
      <c r="FI33" s="263"/>
      <c r="FJ33" s="263"/>
      <c r="FK33" s="263"/>
      <c r="FL33" s="263"/>
      <c r="FM33" s="263"/>
      <c r="FN33" s="263"/>
      <c r="FO33" s="263"/>
      <c r="FP33" s="263"/>
      <c r="FQ33" s="263"/>
      <c r="FR33" s="263"/>
      <c r="FS33" s="263"/>
      <c r="FT33" s="263"/>
      <c r="FU33" s="263"/>
      <c r="FV33" s="263"/>
      <c r="FW33" s="263"/>
      <c r="FX33" s="263"/>
      <c r="FY33" s="263"/>
      <c r="FZ33" s="263"/>
      <c r="GA33" s="263"/>
      <c r="GB33" s="263"/>
      <c r="GC33" s="263"/>
      <c r="GD33" s="263"/>
      <c r="GE33" s="263"/>
      <c r="GF33" s="263"/>
      <c r="GG33" s="263"/>
      <c r="GH33" s="263"/>
      <c r="GI33" s="263"/>
      <c r="GJ33" s="263"/>
      <c r="GK33" s="263"/>
      <c r="GL33" s="263"/>
      <c r="GM33" s="263"/>
      <c r="GN33" s="263"/>
      <c r="GO33" s="263"/>
      <c r="GP33" s="263"/>
      <c r="GQ33" s="263"/>
      <c r="GR33" s="263"/>
      <c r="GS33" s="263"/>
      <c r="GT33" s="263"/>
      <c r="GU33" s="263"/>
      <c r="GV33" s="263"/>
      <c r="GW33" s="263"/>
      <c r="GX33" s="263"/>
      <c r="GY33" s="263"/>
      <c r="GZ33" s="263"/>
      <c r="HA33" s="263"/>
      <c r="HB33" s="263"/>
      <c r="HC33" s="263"/>
      <c r="HD33" s="263"/>
      <c r="HE33" s="263"/>
      <c r="HF33" s="263"/>
      <c r="HG33" s="263"/>
      <c r="HH33" s="263"/>
      <c r="HI33" s="263"/>
      <c r="HJ33" s="263"/>
      <c r="HK33" s="263"/>
      <c r="HL33" s="263"/>
      <c r="HM33" s="263"/>
      <c r="HN33" s="263"/>
      <c r="HO33" s="263"/>
      <c r="HP33" s="263"/>
      <c r="HQ33" s="263"/>
      <c r="HR33" s="263"/>
      <c r="HS33" s="263"/>
      <c r="HT33" s="263"/>
      <c r="HU33" s="263"/>
      <c r="HV33" s="263"/>
      <c r="HW33" s="263"/>
      <c r="HX33" s="263"/>
      <c r="HY33" s="263"/>
      <c r="HZ33" s="263"/>
      <c r="IA33" s="263"/>
      <c r="IB33" s="263"/>
      <c r="IC33" s="263"/>
      <c r="ID33" s="263"/>
      <c r="IE33" s="263"/>
      <c r="IF33" s="263"/>
      <c r="IG33" s="263"/>
      <c r="IH33" s="263"/>
      <c r="II33" s="263"/>
      <c r="IJ33" s="263"/>
      <c r="IK33" s="263"/>
      <c r="IL33" s="263"/>
      <c r="IM33" s="263"/>
      <c r="IN33" s="263"/>
      <c r="IO33" s="263"/>
      <c r="IP33" s="263"/>
      <c r="IQ33" s="263"/>
      <c r="IR33" s="263"/>
      <c r="IS33" s="263"/>
      <c r="IT33" s="263"/>
      <c r="IU33" s="263"/>
      <c r="IV33" s="263"/>
      <c r="IW33" s="263"/>
      <c r="IX33" s="263"/>
      <c r="IY33" s="263"/>
      <c r="IZ33" s="263"/>
      <c r="JA33" s="263"/>
      <c r="JB33" s="263"/>
      <c r="JC33" s="263"/>
      <c r="JD33" s="263"/>
      <c r="JE33" s="263"/>
      <c r="JF33" s="263"/>
      <c r="JG33" s="263"/>
      <c r="JH33" s="263"/>
      <c r="JI33" s="263"/>
      <c r="JJ33" s="263"/>
      <c r="JK33" s="263"/>
      <c r="JL33" s="263"/>
      <c r="JM33" s="263"/>
      <c r="JN33" s="263"/>
      <c r="JO33" s="263"/>
      <c r="JP33" s="263"/>
      <c r="JQ33" s="263"/>
      <c r="JR33" s="263"/>
      <c r="JS33" s="263"/>
      <c r="JT33" s="263"/>
      <c r="JU33" s="263"/>
      <c r="JV33" s="263"/>
      <c r="JW33" s="263"/>
      <c r="JX33" s="263"/>
      <c r="JY33" s="263"/>
      <c r="JZ33" s="263"/>
      <c r="KA33" s="263"/>
      <c r="KB33" s="263"/>
      <c r="KC33" s="263"/>
      <c r="KD33" s="263"/>
      <c r="KE33" s="263"/>
      <c r="KF33" s="263"/>
      <c r="KG33" s="263"/>
      <c r="KH33" s="263"/>
      <c r="KI33" s="263"/>
      <c r="KJ33" s="263"/>
      <c r="KK33" s="263"/>
      <c r="KL33" s="263"/>
      <c r="KM33" s="263"/>
      <c r="KN33" s="263"/>
      <c r="KO33" s="263"/>
      <c r="KP33" s="263"/>
      <c r="KQ33" s="263"/>
      <c r="KR33" s="263"/>
      <c r="KS33" s="263"/>
      <c r="KT33" s="263"/>
      <c r="KU33" s="263"/>
      <c r="KV33" s="263"/>
      <c r="KW33" s="263"/>
      <c r="KX33" s="263"/>
      <c r="KY33" s="263"/>
      <c r="KZ33" s="263"/>
      <c r="LA33" s="263"/>
      <c r="LB33" s="263"/>
      <c r="LC33" s="263"/>
      <c r="LD33" s="263"/>
      <c r="LE33" s="263"/>
      <c r="LF33" s="263"/>
      <c r="LG33" s="263"/>
      <c r="LH33" s="263"/>
      <c r="LI33" s="263"/>
      <c r="LJ33" s="263"/>
      <c r="LK33" s="263"/>
      <c r="LL33" s="263"/>
      <c r="LM33" s="263"/>
      <c r="LN33" s="263"/>
      <c r="LO33" s="263"/>
      <c r="LP33" s="263"/>
      <c r="LQ33" s="263"/>
      <c r="LR33" s="263"/>
      <c r="LS33" s="263"/>
      <c r="LT33" s="263"/>
      <c r="LU33" s="263"/>
      <c r="LV33" s="263"/>
      <c r="LW33" s="263"/>
      <c r="LX33" s="263"/>
      <c r="LY33" s="263"/>
      <c r="LZ33" s="263"/>
      <c r="MA33" s="263"/>
      <c r="MB33" s="263"/>
      <c r="MC33" s="263"/>
      <c r="MD33" s="263"/>
      <c r="ME33" s="263"/>
      <c r="MF33" s="263"/>
      <c r="MG33" s="263"/>
      <c r="MH33" s="263"/>
      <c r="MI33" s="263"/>
      <c r="MJ33" s="263"/>
      <c r="MK33" s="263"/>
      <c r="ML33" s="263"/>
      <c r="MM33" s="263"/>
      <c r="MN33" s="263"/>
      <c r="MO33" s="263"/>
      <c r="MP33" s="263"/>
      <c r="MQ33" s="263"/>
      <c r="MR33" s="263"/>
      <c r="MS33" s="263"/>
      <c r="MT33" s="263"/>
      <c r="MU33" s="263"/>
      <c r="MV33" s="263"/>
      <c r="MW33" s="263"/>
      <c r="MX33" s="263"/>
      <c r="MY33" s="263"/>
      <c r="MZ33" s="263"/>
      <c r="NA33" s="263"/>
      <c r="NB33" s="263"/>
      <c r="NC33" s="263"/>
      <c r="ND33" s="263"/>
      <c r="NE33" s="263"/>
      <c r="NF33" s="263"/>
      <c r="NG33" s="263"/>
      <c r="NH33" s="263"/>
      <c r="NI33" s="263"/>
      <c r="NJ33" s="263"/>
      <c r="NK33" s="263"/>
      <c r="NL33" s="263"/>
      <c r="NM33" s="263"/>
      <c r="NN33" s="263"/>
      <c r="NO33" s="263"/>
      <c r="NP33" s="263"/>
      <c r="NQ33" s="263"/>
      <c r="NR33" s="263"/>
      <c r="NS33" s="263"/>
      <c r="NT33" s="263"/>
      <c r="NU33" s="263"/>
      <c r="NV33" s="263"/>
      <c r="NW33" s="263"/>
      <c r="NX33" s="263"/>
      <c r="NY33" s="263"/>
      <c r="NZ33" s="263"/>
      <c r="OA33" s="263"/>
      <c r="OB33" s="263"/>
      <c r="OC33" s="263"/>
      <c r="OD33" s="263"/>
      <c r="OE33" s="263"/>
      <c r="OF33" s="263"/>
      <c r="OG33" s="263"/>
      <c r="OH33" s="263"/>
      <c r="OI33" s="263"/>
      <c r="OJ33" s="263"/>
      <c r="OK33" s="263"/>
      <c r="OL33" s="263"/>
      <c r="OM33" s="263"/>
      <c r="ON33" s="263"/>
      <c r="OO33" s="263"/>
      <c r="OP33" s="263"/>
      <c r="OQ33" s="263"/>
      <c r="OR33" s="263"/>
      <c r="OS33" s="263"/>
      <c r="OT33" s="263"/>
      <c r="OU33" s="263"/>
      <c r="OV33" s="263"/>
      <c r="OW33" s="263"/>
      <c r="OX33" s="263"/>
      <c r="OY33" s="263"/>
      <c r="OZ33" s="263"/>
      <c r="PA33" s="263"/>
      <c r="PB33" s="263"/>
      <c r="PC33" s="263"/>
      <c r="PD33" s="263"/>
      <c r="PE33" s="263"/>
      <c r="PF33" s="263"/>
      <c r="PG33" s="263"/>
      <c r="PH33" s="263"/>
      <c r="PI33" s="263"/>
      <c r="PJ33" s="263"/>
      <c r="PK33" s="263"/>
      <c r="PL33" s="263"/>
      <c r="PM33" s="263"/>
      <c r="PN33" s="263"/>
      <c r="PO33" s="263"/>
      <c r="PP33" s="263"/>
      <c r="PQ33" s="263"/>
      <c r="PR33" s="263"/>
      <c r="PS33" s="263"/>
      <c r="PT33" s="263"/>
      <c r="PU33" s="263"/>
      <c r="PV33" s="263"/>
      <c r="PW33" s="263"/>
      <c r="PX33" s="263"/>
      <c r="PY33" s="263"/>
      <c r="PZ33" s="263"/>
      <c r="QA33" s="263"/>
      <c r="QB33" s="263"/>
      <c r="QC33" s="263"/>
      <c r="QD33" s="263"/>
      <c r="QE33" s="263"/>
      <c r="QF33" s="263"/>
      <c r="QG33" s="263"/>
      <c r="QH33" s="263"/>
      <c r="QI33" s="263"/>
      <c r="QJ33" s="263"/>
      <c r="QK33" s="263"/>
      <c r="QL33" s="263"/>
      <c r="QM33" s="263"/>
      <c r="QN33" s="263"/>
      <c r="QO33" s="263"/>
      <c r="QP33" s="263"/>
      <c r="QQ33" s="263"/>
      <c r="QR33" s="263"/>
      <c r="QS33" s="263"/>
      <c r="QT33" s="263"/>
      <c r="QU33" s="263"/>
      <c r="QV33" s="263"/>
      <c r="QW33" s="263"/>
      <c r="QX33" s="263"/>
      <c r="QY33" s="263"/>
      <c r="QZ33" s="263"/>
      <c r="RA33" s="263"/>
      <c r="RB33" s="263"/>
      <c r="RC33" s="263"/>
      <c r="RD33" s="263"/>
      <c r="RE33" s="263"/>
      <c r="RF33" s="263"/>
      <c r="RG33" s="263"/>
      <c r="RH33" s="263"/>
      <c r="RI33" s="263"/>
      <c r="RJ33" s="263"/>
      <c r="RK33" s="263"/>
      <c r="RL33" s="263"/>
      <c r="RM33" s="263"/>
      <c r="RN33" s="263"/>
      <c r="RO33" s="263"/>
      <c r="RP33" s="263"/>
      <c r="RQ33" s="263"/>
      <c r="RR33" s="263"/>
      <c r="RS33" s="263"/>
      <c r="RT33" s="263"/>
      <c r="RU33" s="263"/>
      <c r="RV33" s="263"/>
      <c r="RW33" s="263"/>
      <c r="RX33" s="263"/>
      <c r="RY33" s="263"/>
      <c r="RZ33" s="263"/>
      <c r="SA33" s="263"/>
      <c r="SB33" s="263"/>
      <c r="SC33" s="263"/>
      <c r="SD33" s="263"/>
      <c r="SE33" s="263"/>
      <c r="SF33" s="263"/>
      <c r="SG33" s="263"/>
      <c r="SH33" s="263"/>
      <c r="SI33" s="263"/>
      <c r="SJ33" s="263"/>
      <c r="SK33" s="263"/>
      <c r="SL33" s="263"/>
      <c r="SM33" s="263"/>
      <c r="SN33" s="263"/>
      <c r="SO33" s="263"/>
      <c r="SP33" s="263"/>
      <c r="SQ33" s="263"/>
      <c r="SR33" s="263"/>
      <c r="SS33" s="263"/>
      <c r="ST33" s="263"/>
      <c r="SU33" s="263"/>
      <c r="SV33" s="263"/>
      <c r="SW33" s="263"/>
      <c r="SX33" s="263"/>
      <c r="SY33" s="263"/>
      <c r="SZ33" s="263"/>
      <c r="TA33" s="263"/>
      <c r="TB33" s="263"/>
      <c r="TC33" s="263"/>
      <c r="TD33" s="263"/>
      <c r="TE33" s="263"/>
      <c r="TF33" s="263"/>
      <c r="TG33" s="263"/>
      <c r="TH33" s="263"/>
      <c r="TI33" s="263"/>
      <c r="TJ33" s="263"/>
      <c r="TK33" s="263"/>
      <c r="TL33" s="263"/>
      <c r="TM33" s="263"/>
      <c r="TN33" s="263"/>
      <c r="TO33" s="263"/>
      <c r="TP33" s="263"/>
      <c r="TQ33" s="263"/>
      <c r="TR33" s="263"/>
      <c r="TS33" s="263"/>
      <c r="TT33" s="263"/>
      <c r="TU33" s="263"/>
      <c r="TV33" s="263"/>
      <c r="TW33" s="263"/>
      <c r="TX33" s="263"/>
      <c r="TY33" s="263"/>
      <c r="TZ33" s="263"/>
      <c r="UA33" s="263"/>
      <c r="UB33" s="263"/>
      <c r="UC33" s="263"/>
      <c r="UD33" s="263"/>
      <c r="UE33" s="263"/>
      <c r="UF33" s="263"/>
      <c r="UG33" s="263"/>
      <c r="UH33" s="263"/>
      <c r="UI33" s="263"/>
      <c r="UJ33" s="263"/>
      <c r="UK33" s="263"/>
      <c r="UL33" s="263"/>
      <c r="UM33" s="263"/>
      <c r="UN33" s="263"/>
      <c r="UO33" s="263"/>
      <c r="UP33" s="263"/>
      <c r="UQ33" s="263"/>
      <c r="UR33" s="263"/>
      <c r="US33" s="263"/>
      <c r="UT33" s="263"/>
      <c r="UU33" s="263"/>
      <c r="UV33" s="263"/>
      <c r="UW33" s="263"/>
      <c r="UX33" s="263"/>
      <c r="UY33" s="263"/>
      <c r="UZ33" s="263"/>
      <c r="VA33" s="263"/>
      <c r="VB33" s="263"/>
      <c r="VC33" s="263"/>
      <c r="VD33" s="263"/>
      <c r="VE33" s="263"/>
      <c r="VF33" s="263"/>
      <c r="VG33" s="263"/>
      <c r="VH33" s="263"/>
      <c r="VI33" s="263"/>
      <c r="VJ33" s="263"/>
      <c r="VK33" s="263"/>
      <c r="VL33" s="263"/>
      <c r="VM33" s="263"/>
      <c r="VN33" s="263"/>
      <c r="VO33" s="263"/>
      <c r="VP33" s="263"/>
      <c r="VQ33" s="263"/>
      <c r="VR33" s="263"/>
      <c r="VS33" s="263"/>
      <c r="VT33" s="263"/>
      <c r="VU33" s="263"/>
      <c r="VV33" s="263"/>
      <c r="VW33" s="263"/>
      <c r="VX33" s="263"/>
      <c r="VY33" s="263"/>
      <c r="VZ33" s="263"/>
      <c r="WA33" s="263"/>
      <c r="WB33" s="263"/>
      <c r="WC33" s="263"/>
      <c r="WD33" s="263"/>
      <c r="WE33" s="263"/>
      <c r="WF33" s="263"/>
      <c r="WG33" s="263"/>
      <c r="WH33" s="263"/>
      <c r="WI33" s="263"/>
      <c r="WJ33" s="263"/>
      <c r="WK33" s="263"/>
      <c r="WL33" s="263"/>
      <c r="WM33" s="263"/>
      <c r="WN33" s="263"/>
      <c r="WO33" s="263"/>
      <c r="WP33" s="263"/>
      <c r="WQ33" s="263"/>
      <c r="WR33" s="263"/>
      <c r="WS33" s="263"/>
      <c r="WT33" s="263"/>
      <c r="WU33" s="263"/>
      <c r="WV33" s="263"/>
      <c r="WW33" s="263"/>
      <c r="WX33" s="263"/>
      <c r="WY33" s="263"/>
      <c r="WZ33" s="263"/>
      <c r="XA33" s="263"/>
      <c r="XB33" s="263"/>
      <c r="XC33" s="263"/>
      <c r="XD33" s="263"/>
      <c r="XE33" s="263"/>
      <c r="XF33" s="263"/>
      <c r="XG33" s="263"/>
      <c r="XH33" s="263"/>
      <c r="XI33" s="263"/>
      <c r="XJ33" s="263"/>
      <c r="XK33" s="263"/>
      <c r="XL33" s="263"/>
      <c r="XM33" s="263"/>
      <c r="XN33" s="263"/>
      <c r="XO33" s="263"/>
      <c r="XP33" s="263"/>
      <c r="XQ33" s="263"/>
      <c r="XR33" s="263"/>
      <c r="XS33" s="263"/>
      <c r="XT33" s="263"/>
      <c r="XU33" s="263"/>
      <c r="XV33" s="263"/>
      <c r="XW33" s="263"/>
      <c r="XX33" s="263"/>
      <c r="XY33" s="263"/>
      <c r="XZ33" s="263"/>
      <c r="YA33" s="263"/>
      <c r="YB33" s="263"/>
      <c r="YC33" s="263"/>
      <c r="YD33" s="263"/>
      <c r="YE33" s="263"/>
      <c r="YF33" s="263"/>
      <c r="YG33" s="263"/>
      <c r="YH33" s="263"/>
      <c r="YI33" s="263"/>
      <c r="YJ33" s="263"/>
      <c r="YK33" s="263"/>
      <c r="YL33" s="263"/>
      <c r="YM33" s="263"/>
      <c r="YN33" s="263"/>
      <c r="YO33" s="263"/>
      <c r="YP33" s="263"/>
      <c r="YQ33" s="263"/>
      <c r="YR33" s="263"/>
      <c r="YS33" s="263"/>
      <c r="YT33" s="263"/>
      <c r="YU33" s="263"/>
      <c r="YV33" s="263"/>
      <c r="YW33" s="263"/>
      <c r="YX33" s="263"/>
      <c r="YY33" s="263"/>
      <c r="YZ33" s="263"/>
      <c r="ZA33" s="263"/>
      <c r="ZB33" s="263"/>
      <c r="ZC33" s="263"/>
      <c r="ZD33" s="263"/>
      <c r="ZE33" s="263"/>
      <c r="ZF33" s="263"/>
      <c r="ZG33" s="263"/>
      <c r="ZH33" s="263"/>
      <c r="ZI33" s="263"/>
      <c r="ZJ33" s="263"/>
      <c r="ZK33" s="263"/>
      <c r="ZL33" s="263"/>
      <c r="ZM33" s="263"/>
      <c r="ZN33" s="263"/>
      <c r="ZO33" s="263"/>
      <c r="ZP33" s="263"/>
      <c r="ZQ33" s="263"/>
      <c r="ZR33" s="263"/>
      <c r="ZS33" s="263"/>
      <c r="ZT33" s="263"/>
      <c r="ZU33" s="263"/>
      <c r="ZV33" s="263"/>
      <c r="ZW33" s="263"/>
      <c r="ZX33" s="263"/>
      <c r="ZY33" s="263"/>
      <c r="ZZ33" s="263"/>
      <c r="AAA33" s="263"/>
      <c r="AAB33" s="263"/>
      <c r="AAC33" s="263"/>
      <c r="AAD33" s="263"/>
      <c r="AAE33" s="263"/>
      <c r="AAF33" s="263"/>
      <c r="AAG33" s="263"/>
      <c r="AAH33" s="263"/>
      <c r="AAI33" s="263"/>
      <c r="AAJ33" s="263"/>
      <c r="AAK33" s="263"/>
      <c r="AAL33" s="263"/>
      <c r="AAM33" s="263"/>
      <c r="AAN33" s="263"/>
      <c r="AAO33" s="263"/>
      <c r="AAP33" s="263"/>
      <c r="AAQ33" s="263"/>
      <c r="AAR33" s="263"/>
      <c r="AAS33" s="263"/>
      <c r="AAT33" s="263"/>
      <c r="AAU33" s="263"/>
      <c r="AAV33" s="263"/>
      <c r="AAW33" s="263"/>
      <c r="AAX33" s="263"/>
      <c r="AAY33" s="263"/>
      <c r="AAZ33" s="263"/>
      <c r="ABA33" s="263"/>
      <c r="ABB33" s="263"/>
      <c r="ABC33" s="263"/>
      <c r="ABD33" s="263"/>
      <c r="ABE33" s="263"/>
      <c r="ABF33" s="263"/>
      <c r="ABG33" s="263"/>
      <c r="ABH33" s="263"/>
      <c r="ABI33" s="263"/>
      <c r="ABJ33" s="263"/>
      <c r="ABK33" s="263"/>
      <c r="ABL33" s="263"/>
      <c r="ABM33" s="263"/>
      <c r="ABN33" s="263"/>
      <c r="ABO33" s="263"/>
      <c r="ABP33" s="263"/>
      <c r="ABQ33" s="263"/>
      <c r="ABR33" s="263"/>
      <c r="ABS33" s="263"/>
      <c r="ABT33" s="263"/>
      <c r="ABU33" s="263"/>
      <c r="ABV33" s="263"/>
      <c r="ABW33" s="263"/>
      <c r="ABX33" s="263"/>
      <c r="ABY33" s="263"/>
      <c r="ABZ33" s="263"/>
      <c r="ACA33" s="263"/>
      <c r="ACB33" s="263"/>
      <c r="ACC33" s="263"/>
      <c r="ACD33" s="263"/>
      <c r="ACE33" s="263"/>
      <c r="ACF33" s="263"/>
      <c r="ACG33" s="263"/>
      <c r="ACH33" s="263"/>
      <c r="ACI33" s="263"/>
      <c r="ACJ33" s="263"/>
      <c r="ACK33" s="263"/>
      <c r="ACL33" s="263"/>
      <c r="ACM33" s="263"/>
      <c r="ACN33" s="263"/>
      <c r="ACO33" s="263"/>
      <c r="ACP33" s="263"/>
      <c r="ACQ33" s="263"/>
      <c r="ACR33" s="263"/>
      <c r="ACS33" s="263"/>
      <c r="ACT33" s="263"/>
      <c r="ACU33" s="263"/>
      <c r="ACV33" s="263"/>
      <c r="ACW33" s="263"/>
      <c r="ACX33" s="263"/>
      <c r="ACY33" s="263"/>
      <c r="ACZ33" s="263"/>
      <c r="ADA33" s="263"/>
      <c r="ADB33" s="263"/>
      <c r="ADC33" s="263"/>
      <c r="ADD33" s="263"/>
      <c r="ADE33" s="263"/>
      <c r="ADF33" s="263"/>
      <c r="ADG33" s="263"/>
      <c r="ADH33" s="263"/>
      <c r="ADI33" s="263"/>
      <c r="ADJ33" s="263"/>
      <c r="ADK33" s="263"/>
      <c r="ADL33" s="263"/>
      <c r="ADM33" s="263"/>
      <c r="ADN33" s="263"/>
      <c r="ADO33" s="263"/>
      <c r="ADP33" s="263"/>
      <c r="ADQ33" s="263"/>
      <c r="ADR33" s="263"/>
      <c r="ADS33" s="263"/>
      <c r="ADT33" s="263"/>
      <c r="ADU33" s="263"/>
      <c r="ADV33" s="263"/>
      <c r="ADW33" s="263"/>
      <c r="ADX33" s="263"/>
      <c r="ADY33" s="263"/>
      <c r="ADZ33" s="263"/>
      <c r="AEA33" s="263"/>
      <c r="AEB33" s="263"/>
      <c r="AEC33" s="263"/>
      <c r="AED33" s="263"/>
      <c r="AEE33" s="263"/>
      <c r="AEF33" s="263"/>
      <c r="AEG33" s="263"/>
      <c r="AEH33" s="263"/>
      <c r="AEI33" s="263"/>
      <c r="AEJ33" s="263"/>
      <c r="AEK33" s="263"/>
      <c r="AEL33" s="263"/>
      <c r="AEM33" s="263"/>
      <c r="AEN33" s="263"/>
      <c r="AEO33" s="263"/>
      <c r="AEP33" s="263"/>
      <c r="AEQ33" s="263"/>
      <c r="AER33" s="263"/>
      <c r="AES33" s="263"/>
      <c r="AET33" s="263"/>
      <c r="AEU33" s="263"/>
      <c r="AEV33" s="263"/>
      <c r="AEW33" s="263"/>
      <c r="AEX33" s="263"/>
      <c r="AEY33" s="263"/>
      <c r="AEZ33" s="263"/>
      <c r="AFA33" s="263"/>
      <c r="AFB33" s="263"/>
      <c r="AFC33" s="263"/>
      <c r="AFD33" s="263"/>
      <c r="AFE33" s="263"/>
      <c r="AFF33" s="263"/>
      <c r="AFG33" s="263"/>
      <c r="AFH33" s="263"/>
      <c r="AFI33" s="263"/>
      <c r="AFJ33" s="263"/>
      <c r="AFK33" s="263"/>
      <c r="AFL33" s="263"/>
      <c r="AFM33" s="263"/>
      <c r="AFN33" s="263"/>
      <c r="AFO33" s="263"/>
      <c r="AFP33" s="263"/>
      <c r="AFQ33" s="263"/>
      <c r="AFR33" s="263"/>
      <c r="AFS33" s="263"/>
      <c r="AFT33" s="263"/>
      <c r="AFU33" s="263"/>
      <c r="AFV33" s="263"/>
      <c r="AFW33" s="263"/>
      <c r="AFX33" s="263"/>
      <c r="AFY33" s="263"/>
      <c r="AFZ33" s="263"/>
      <c r="AGA33" s="263"/>
      <c r="AGB33" s="263"/>
      <c r="AGC33" s="263"/>
      <c r="AGD33" s="263"/>
      <c r="AGE33" s="263"/>
      <c r="AGF33" s="263"/>
      <c r="AGG33" s="263"/>
      <c r="AGH33" s="263"/>
      <c r="AGI33" s="263"/>
      <c r="AGJ33" s="263"/>
      <c r="AGK33" s="263"/>
      <c r="AGL33" s="263"/>
      <c r="AGM33" s="263"/>
      <c r="AGN33" s="263"/>
      <c r="AGO33" s="263"/>
      <c r="AGP33" s="263"/>
      <c r="AGQ33" s="263"/>
      <c r="AGR33" s="263"/>
      <c r="AGS33" s="263"/>
      <c r="AGT33" s="263"/>
      <c r="AGU33" s="263"/>
      <c r="AGV33" s="263"/>
      <c r="AGW33" s="263"/>
      <c r="AGX33" s="263"/>
      <c r="AGY33" s="263"/>
      <c r="AGZ33" s="263"/>
      <c r="AHA33" s="263"/>
      <c r="AHB33" s="263"/>
      <c r="AHC33" s="263"/>
      <c r="AHD33" s="263"/>
      <c r="AHE33" s="263"/>
      <c r="AHF33" s="263"/>
      <c r="AHG33" s="263"/>
      <c r="AHH33" s="263"/>
      <c r="AHI33" s="263"/>
      <c r="AHJ33" s="263"/>
      <c r="AHK33" s="263"/>
      <c r="AHL33" s="263"/>
      <c r="AHM33" s="263"/>
      <c r="AHN33" s="263"/>
      <c r="AHO33" s="263"/>
      <c r="AHP33" s="263"/>
      <c r="AHQ33" s="263"/>
      <c r="AHR33" s="263"/>
      <c r="AHS33" s="263"/>
      <c r="AHT33" s="263"/>
      <c r="AHU33" s="263"/>
      <c r="AHV33" s="263"/>
      <c r="AHW33" s="263"/>
      <c r="AHX33" s="263"/>
      <c r="AHY33" s="263"/>
      <c r="AHZ33" s="263"/>
      <c r="AIA33" s="263"/>
      <c r="AIB33" s="263"/>
      <c r="AIC33" s="263"/>
      <c r="AID33" s="263"/>
      <c r="AIE33" s="263"/>
      <c r="AIF33" s="263"/>
      <c r="AIG33" s="263"/>
      <c r="AIH33" s="263"/>
      <c r="AII33" s="263"/>
      <c r="AIJ33" s="263"/>
      <c r="AIK33" s="263"/>
      <c r="AIL33" s="263"/>
      <c r="AIM33" s="263"/>
      <c r="AIN33" s="263"/>
      <c r="AIO33" s="263"/>
      <c r="AIP33" s="263"/>
      <c r="AIQ33" s="263"/>
      <c r="AIR33" s="263"/>
      <c r="AIS33" s="263"/>
      <c r="AIT33" s="263"/>
      <c r="AIU33" s="263"/>
      <c r="AIV33" s="263"/>
      <c r="AIW33" s="263"/>
      <c r="AIX33" s="263"/>
      <c r="AIY33" s="263"/>
      <c r="AIZ33" s="263"/>
      <c r="AJA33" s="263"/>
      <c r="AJB33" s="263"/>
      <c r="AJC33" s="263"/>
      <c r="AJD33" s="263"/>
      <c r="AJE33" s="263"/>
      <c r="AJF33" s="263"/>
      <c r="AJG33" s="263"/>
      <c r="AJH33" s="263"/>
      <c r="AJI33" s="263"/>
      <c r="AJJ33" s="263"/>
      <c r="AJK33" s="263"/>
      <c r="AJL33" s="263"/>
      <c r="AJM33" s="263"/>
      <c r="AJN33" s="263"/>
      <c r="AJO33" s="263"/>
      <c r="AJP33" s="263"/>
      <c r="AJQ33" s="263"/>
      <c r="AJR33" s="263"/>
      <c r="AJS33" s="263"/>
      <c r="AJT33" s="263"/>
      <c r="AJU33" s="263"/>
      <c r="AJV33" s="263"/>
      <c r="AJW33" s="263"/>
      <c r="AJX33" s="263"/>
      <c r="AJY33" s="263"/>
      <c r="AJZ33" s="263"/>
      <c r="AKA33" s="263"/>
      <c r="AKB33" s="263"/>
      <c r="AKC33" s="263"/>
      <c r="AKD33" s="263"/>
      <c r="AKE33" s="263"/>
      <c r="AKF33" s="263"/>
      <c r="AKG33" s="263"/>
      <c r="AKH33" s="263"/>
      <c r="AKI33" s="263"/>
      <c r="AKJ33" s="263"/>
      <c r="AKK33" s="263"/>
      <c r="AKL33" s="263"/>
      <c r="AKM33" s="263"/>
      <c r="AKN33" s="263"/>
      <c r="AKO33" s="263"/>
      <c r="AKP33" s="263"/>
      <c r="AKQ33" s="263"/>
      <c r="AKR33" s="263"/>
      <c r="AKS33" s="263"/>
      <c r="AKT33" s="263"/>
      <c r="AKU33" s="263"/>
      <c r="AKV33" s="263"/>
      <c r="AKW33" s="263"/>
      <c r="AKX33" s="263"/>
      <c r="AKY33" s="263"/>
      <c r="AKZ33" s="263"/>
      <c r="ALA33" s="263"/>
      <c r="ALB33" s="263"/>
      <c r="ALC33" s="263"/>
      <c r="ALD33" s="263"/>
      <c r="ALE33" s="263"/>
      <c r="ALF33" s="263"/>
      <c r="ALG33" s="263"/>
      <c r="ALH33" s="263"/>
      <c r="ALI33" s="263"/>
      <c r="ALJ33" s="263"/>
      <c r="ALK33" s="263"/>
      <c r="ALL33" s="263"/>
      <c r="ALM33" s="263"/>
      <c r="ALN33" s="263"/>
      <c r="ALO33" s="263"/>
      <c r="ALP33" s="263"/>
      <c r="ALQ33" s="263"/>
      <c r="ALR33" s="263"/>
      <c r="ALS33" s="263"/>
    </row>
    <row r="34" spans="1:1007" x14ac:dyDescent="0.2">
      <c r="A34" s="379" t="s">
        <v>461</v>
      </c>
      <c r="B34" s="366"/>
      <c r="C34" s="366"/>
    </row>
    <row r="35" spans="1:1007" x14ac:dyDescent="0.2">
      <c r="A35" s="367"/>
      <c r="B35" s="366"/>
      <c r="C35" s="366"/>
    </row>
    <row r="36" spans="1:1007" ht="14.25" x14ac:dyDescent="0.2">
      <c r="A36" s="369" t="s">
        <v>466</v>
      </c>
      <c r="B36" s="366"/>
      <c r="C36" s="366"/>
    </row>
    <row r="37" spans="1:1007" x14ac:dyDescent="0.2">
      <c r="A37" s="379" t="s">
        <v>458</v>
      </c>
      <c r="B37" s="366"/>
      <c r="C37" s="366"/>
    </row>
    <row r="38" spans="1:1007" x14ac:dyDescent="0.2">
      <c r="A38" s="379" t="s">
        <v>459</v>
      </c>
      <c r="B38" s="366"/>
      <c r="C38" s="366"/>
    </row>
    <row r="39" spans="1:1007" s="3" customFormat="1" x14ac:dyDescent="0.2">
      <c r="A39" s="379" t="s">
        <v>460</v>
      </c>
      <c r="B39" s="366"/>
      <c r="C39" s="326"/>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c r="DM39" s="263"/>
      <c r="DN39" s="263"/>
      <c r="DO39" s="263"/>
      <c r="DP39" s="263"/>
      <c r="DQ39" s="263"/>
      <c r="DR39" s="263"/>
      <c r="DS39" s="263"/>
      <c r="DT39" s="263"/>
      <c r="DU39" s="263"/>
      <c r="DV39" s="263"/>
      <c r="DW39" s="263"/>
      <c r="DX39" s="263"/>
      <c r="DY39" s="263"/>
      <c r="DZ39" s="263"/>
      <c r="EA39" s="263"/>
      <c r="EB39" s="263"/>
      <c r="EC39" s="263"/>
      <c r="ED39" s="263"/>
      <c r="EE39" s="263"/>
      <c r="EF39" s="263"/>
      <c r="EG39" s="263"/>
      <c r="EH39" s="263"/>
      <c r="EI39" s="263"/>
      <c r="EJ39" s="263"/>
      <c r="EK39" s="263"/>
      <c r="EL39" s="263"/>
      <c r="EM39" s="263"/>
      <c r="EN39" s="263"/>
      <c r="EO39" s="263"/>
      <c r="EP39" s="263"/>
      <c r="EQ39" s="263"/>
      <c r="ER39" s="263"/>
      <c r="ES39" s="263"/>
      <c r="ET39" s="263"/>
      <c r="EU39" s="263"/>
      <c r="EV39" s="263"/>
      <c r="EW39" s="263"/>
      <c r="EX39" s="263"/>
      <c r="EY39" s="263"/>
      <c r="EZ39" s="263"/>
      <c r="FA39" s="263"/>
      <c r="FB39" s="263"/>
      <c r="FC39" s="263"/>
      <c r="FD39" s="263"/>
      <c r="FE39" s="263"/>
      <c r="FF39" s="263"/>
      <c r="FG39" s="263"/>
      <c r="FH39" s="263"/>
      <c r="FI39" s="263"/>
      <c r="FJ39" s="263"/>
      <c r="FK39" s="263"/>
      <c r="FL39" s="263"/>
      <c r="FM39" s="263"/>
      <c r="FN39" s="263"/>
      <c r="FO39" s="263"/>
      <c r="FP39" s="263"/>
      <c r="FQ39" s="263"/>
      <c r="FR39" s="263"/>
      <c r="FS39" s="263"/>
      <c r="FT39" s="263"/>
      <c r="FU39" s="263"/>
      <c r="FV39" s="263"/>
      <c r="FW39" s="263"/>
      <c r="FX39" s="263"/>
      <c r="FY39" s="263"/>
      <c r="FZ39" s="263"/>
      <c r="GA39" s="263"/>
      <c r="GB39" s="263"/>
      <c r="GC39" s="263"/>
      <c r="GD39" s="263"/>
      <c r="GE39" s="263"/>
      <c r="GF39" s="263"/>
      <c r="GG39" s="263"/>
      <c r="GH39" s="263"/>
      <c r="GI39" s="263"/>
      <c r="GJ39" s="263"/>
      <c r="GK39" s="263"/>
      <c r="GL39" s="263"/>
      <c r="GM39" s="263"/>
      <c r="GN39" s="263"/>
      <c r="GO39" s="263"/>
      <c r="GP39" s="263"/>
      <c r="GQ39" s="263"/>
      <c r="GR39" s="263"/>
      <c r="GS39" s="263"/>
      <c r="GT39" s="263"/>
      <c r="GU39" s="263"/>
      <c r="GV39" s="263"/>
      <c r="GW39" s="263"/>
      <c r="GX39" s="263"/>
      <c r="GY39" s="263"/>
      <c r="GZ39" s="263"/>
      <c r="HA39" s="263"/>
      <c r="HB39" s="263"/>
      <c r="HC39" s="263"/>
      <c r="HD39" s="263"/>
      <c r="HE39" s="263"/>
      <c r="HF39" s="263"/>
      <c r="HG39" s="263"/>
      <c r="HH39" s="263"/>
      <c r="HI39" s="263"/>
      <c r="HJ39" s="263"/>
      <c r="HK39" s="263"/>
      <c r="HL39" s="263"/>
      <c r="HM39" s="263"/>
      <c r="HN39" s="263"/>
      <c r="HO39" s="263"/>
      <c r="HP39" s="263"/>
      <c r="HQ39" s="263"/>
      <c r="HR39" s="263"/>
      <c r="HS39" s="263"/>
      <c r="HT39" s="263"/>
      <c r="HU39" s="263"/>
      <c r="HV39" s="263"/>
      <c r="HW39" s="263"/>
      <c r="HX39" s="263"/>
      <c r="HY39" s="263"/>
      <c r="HZ39" s="263"/>
      <c r="IA39" s="263"/>
      <c r="IB39" s="263"/>
      <c r="IC39" s="263"/>
      <c r="ID39" s="263"/>
      <c r="IE39" s="263"/>
      <c r="IF39" s="263"/>
      <c r="IG39" s="263"/>
      <c r="IH39" s="263"/>
      <c r="II39" s="263"/>
      <c r="IJ39" s="263"/>
      <c r="IK39" s="263"/>
      <c r="IL39" s="263"/>
      <c r="IM39" s="263"/>
      <c r="IN39" s="263"/>
      <c r="IO39" s="263"/>
      <c r="IP39" s="263"/>
      <c r="IQ39" s="263"/>
      <c r="IR39" s="263"/>
      <c r="IS39" s="263"/>
      <c r="IT39" s="263"/>
      <c r="IU39" s="263"/>
      <c r="IV39" s="263"/>
      <c r="IW39" s="263"/>
      <c r="IX39" s="263"/>
      <c r="IY39" s="263"/>
      <c r="IZ39" s="263"/>
      <c r="JA39" s="263"/>
      <c r="JB39" s="263"/>
      <c r="JC39" s="263"/>
      <c r="JD39" s="263"/>
      <c r="JE39" s="263"/>
      <c r="JF39" s="263"/>
      <c r="JG39" s="263"/>
      <c r="JH39" s="263"/>
      <c r="JI39" s="263"/>
      <c r="JJ39" s="263"/>
      <c r="JK39" s="263"/>
      <c r="JL39" s="263"/>
      <c r="JM39" s="263"/>
      <c r="JN39" s="263"/>
      <c r="JO39" s="263"/>
      <c r="JP39" s="263"/>
      <c r="JQ39" s="263"/>
      <c r="JR39" s="263"/>
      <c r="JS39" s="263"/>
      <c r="JT39" s="263"/>
      <c r="JU39" s="263"/>
      <c r="JV39" s="263"/>
      <c r="JW39" s="263"/>
      <c r="JX39" s="263"/>
      <c r="JY39" s="263"/>
      <c r="JZ39" s="263"/>
      <c r="KA39" s="263"/>
      <c r="KB39" s="263"/>
      <c r="KC39" s="263"/>
      <c r="KD39" s="263"/>
      <c r="KE39" s="263"/>
      <c r="KF39" s="263"/>
      <c r="KG39" s="263"/>
      <c r="KH39" s="263"/>
      <c r="KI39" s="263"/>
      <c r="KJ39" s="263"/>
      <c r="KK39" s="263"/>
      <c r="KL39" s="263"/>
      <c r="KM39" s="263"/>
      <c r="KN39" s="263"/>
      <c r="KO39" s="263"/>
      <c r="KP39" s="263"/>
      <c r="KQ39" s="263"/>
      <c r="KR39" s="263"/>
      <c r="KS39" s="263"/>
      <c r="KT39" s="263"/>
      <c r="KU39" s="263"/>
      <c r="KV39" s="263"/>
      <c r="KW39" s="263"/>
      <c r="KX39" s="263"/>
      <c r="KY39" s="263"/>
      <c r="KZ39" s="263"/>
      <c r="LA39" s="263"/>
      <c r="LB39" s="263"/>
      <c r="LC39" s="263"/>
      <c r="LD39" s="263"/>
      <c r="LE39" s="263"/>
      <c r="LF39" s="263"/>
      <c r="LG39" s="263"/>
      <c r="LH39" s="263"/>
      <c r="LI39" s="263"/>
      <c r="LJ39" s="263"/>
      <c r="LK39" s="263"/>
      <c r="LL39" s="263"/>
      <c r="LM39" s="263"/>
      <c r="LN39" s="263"/>
      <c r="LO39" s="263"/>
      <c r="LP39" s="263"/>
      <c r="LQ39" s="263"/>
      <c r="LR39" s="263"/>
      <c r="LS39" s="263"/>
      <c r="LT39" s="263"/>
      <c r="LU39" s="263"/>
      <c r="LV39" s="263"/>
      <c r="LW39" s="263"/>
      <c r="LX39" s="263"/>
      <c r="LY39" s="263"/>
      <c r="LZ39" s="263"/>
      <c r="MA39" s="263"/>
      <c r="MB39" s="263"/>
      <c r="MC39" s="263"/>
      <c r="MD39" s="263"/>
      <c r="ME39" s="263"/>
      <c r="MF39" s="263"/>
      <c r="MG39" s="263"/>
      <c r="MH39" s="263"/>
      <c r="MI39" s="263"/>
      <c r="MJ39" s="263"/>
      <c r="MK39" s="263"/>
      <c r="ML39" s="263"/>
      <c r="MM39" s="263"/>
      <c r="MN39" s="263"/>
      <c r="MO39" s="263"/>
      <c r="MP39" s="263"/>
      <c r="MQ39" s="263"/>
      <c r="MR39" s="263"/>
      <c r="MS39" s="263"/>
      <c r="MT39" s="263"/>
      <c r="MU39" s="263"/>
      <c r="MV39" s="263"/>
      <c r="MW39" s="263"/>
      <c r="MX39" s="263"/>
      <c r="MY39" s="263"/>
      <c r="MZ39" s="263"/>
      <c r="NA39" s="263"/>
      <c r="NB39" s="263"/>
      <c r="NC39" s="263"/>
      <c r="ND39" s="263"/>
      <c r="NE39" s="263"/>
      <c r="NF39" s="263"/>
      <c r="NG39" s="263"/>
      <c r="NH39" s="263"/>
      <c r="NI39" s="263"/>
      <c r="NJ39" s="263"/>
      <c r="NK39" s="263"/>
      <c r="NL39" s="263"/>
      <c r="NM39" s="263"/>
      <c r="NN39" s="263"/>
      <c r="NO39" s="263"/>
      <c r="NP39" s="263"/>
      <c r="NQ39" s="263"/>
      <c r="NR39" s="263"/>
      <c r="NS39" s="263"/>
      <c r="NT39" s="263"/>
      <c r="NU39" s="263"/>
      <c r="NV39" s="263"/>
      <c r="NW39" s="263"/>
      <c r="NX39" s="263"/>
      <c r="NY39" s="263"/>
      <c r="NZ39" s="263"/>
      <c r="OA39" s="263"/>
      <c r="OB39" s="263"/>
      <c r="OC39" s="263"/>
      <c r="OD39" s="263"/>
      <c r="OE39" s="263"/>
      <c r="OF39" s="263"/>
      <c r="OG39" s="263"/>
      <c r="OH39" s="263"/>
      <c r="OI39" s="263"/>
      <c r="OJ39" s="263"/>
      <c r="OK39" s="263"/>
      <c r="OL39" s="263"/>
      <c r="OM39" s="263"/>
      <c r="ON39" s="263"/>
      <c r="OO39" s="263"/>
      <c r="OP39" s="263"/>
      <c r="OQ39" s="263"/>
      <c r="OR39" s="263"/>
      <c r="OS39" s="263"/>
      <c r="OT39" s="263"/>
      <c r="OU39" s="263"/>
      <c r="OV39" s="263"/>
      <c r="OW39" s="263"/>
      <c r="OX39" s="263"/>
      <c r="OY39" s="263"/>
      <c r="OZ39" s="263"/>
      <c r="PA39" s="263"/>
      <c r="PB39" s="263"/>
      <c r="PC39" s="263"/>
      <c r="PD39" s="263"/>
      <c r="PE39" s="263"/>
      <c r="PF39" s="263"/>
      <c r="PG39" s="263"/>
      <c r="PH39" s="263"/>
      <c r="PI39" s="263"/>
      <c r="PJ39" s="263"/>
      <c r="PK39" s="263"/>
      <c r="PL39" s="263"/>
      <c r="PM39" s="263"/>
      <c r="PN39" s="263"/>
      <c r="PO39" s="263"/>
      <c r="PP39" s="263"/>
      <c r="PQ39" s="263"/>
      <c r="PR39" s="263"/>
      <c r="PS39" s="263"/>
      <c r="PT39" s="263"/>
      <c r="PU39" s="263"/>
      <c r="PV39" s="263"/>
      <c r="PW39" s="263"/>
      <c r="PX39" s="263"/>
      <c r="PY39" s="263"/>
      <c r="PZ39" s="263"/>
      <c r="QA39" s="263"/>
      <c r="QB39" s="263"/>
      <c r="QC39" s="263"/>
      <c r="QD39" s="263"/>
      <c r="QE39" s="263"/>
      <c r="QF39" s="263"/>
      <c r="QG39" s="263"/>
      <c r="QH39" s="263"/>
      <c r="QI39" s="263"/>
      <c r="QJ39" s="263"/>
      <c r="QK39" s="263"/>
      <c r="QL39" s="263"/>
      <c r="QM39" s="263"/>
      <c r="QN39" s="263"/>
      <c r="QO39" s="263"/>
      <c r="QP39" s="263"/>
      <c r="QQ39" s="263"/>
      <c r="QR39" s="263"/>
      <c r="QS39" s="263"/>
      <c r="QT39" s="263"/>
      <c r="QU39" s="263"/>
      <c r="QV39" s="263"/>
      <c r="QW39" s="263"/>
      <c r="QX39" s="263"/>
      <c r="QY39" s="263"/>
      <c r="QZ39" s="263"/>
      <c r="RA39" s="263"/>
      <c r="RB39" s="263"/>
      <c r="RC39" s="263"/>
      <c r="RD39" s="263"/>
      <c r="RE39" s="263"/>
      <c r="RF39" s="263"/>
      <c r="RG39" s="263"/>
      <c r="RH39" s="263"/>
      <c r="RI39" s="263"/>
      <c r="RJ39" s="263"/>
      <c r="RK39" s="263"/>
      <c r="RL39" s="263"/>
      <c r="RM39" s="263"/>
      <c r="RN39" s="263"/>
      <c r="RO39" s="263"/>
      <c r="RP39" s="263"/>
      <c r="RQ39" s="263"/>
      <c r="RR39" s="263"/>
      <c r="RS39" s="263"/>
      <c r="RT39" s="263"/>
      <c r="RU39" s="263"/>
      <c r="RV39" s="263"/>
      <c r="RW39" s="263"/>
      <c r="RX39" s="263"/>
      <c r="RY39" s="263"/>
      <c r="RZ39" s="263"/>
      <c r="SA39" s="263"/>
      <c r="SB39" s="263"/>
      <c r="SC39" s="263"/>
      <c r="SD39" s="263"/>
      <c r="SE39" s="263"/>
      <c r="SF39" s="263"/>
      <c r="SG39" s="263"/>
      <c r="SH39" s="263"/>
      <c r="SI39" s="263"/>
      <c r="SJ39" s="263"/>
      <c r="SK39" s="263"/>
      <c r="SL39" s="263"/>
      <c r="SM39" s="263"/>
      <c r="SN39" s="263"/>
      <c r="SO39" s="263"/>
      <c r="SP39" s="263"/>
      <c r="SQ39" s="263"/>
      <c r="SR39" s="263"/>
      <c r="SS39" s="263"/>
      <c r="ST39" s="263"/>
      <c r="SU39" s="263"/>
      <c r="SV39" s="263"/>
      <c r="SW39" s="263"/>
      <c r="SX39" s="263"/>
      <c r="SY39" s="263"/>
      <c r="SZ39" s="263"/>
      <c r="TA39" s="263"/>
      <c r="TB39" s="263"/>
      <c r="TC39" s="263"/>
      <c r="TD39" s="263"/>
      <c r="TE39" s="263"/>
      <c r="TF39" s="263"/>
      <c r="TG39" s="263"/>
      <c r="TH39" s="263"/>
      <c r="TI39" s="263"/>
      <c r="TJ39" s="263"/>
      <c r="TK39" s="263"/>
      <c r="TL39" s="263"/>
      <c r="TM39" s="263"/>
      <c r="TN39" s="263"/>
      <c r="TO39" s="263"/>
      <c r="TP39" s="263"/>
      <c r="TQ39" s="263"/>
      <c r="TR39" s="263"/>
      <c r="TS39" s="263"/>
      <c r="TT39" s="263"/>
      <c r="TU39" s="263"/>
      <c r="TV39" s="263"/>
      <c r="TW39" s="263"/>
      <c r="TX39" s="263"/>
      <c r="TY39" s="263"/>
      <c r="TZ39" s="263"/>
      <c r="UA39" s="263"/>
      <c r="UB39" s="263"/>
      <c r="UC39" s="263"/>
      <c r="UD39" s="263"/>
      <c r="UE39" s="263"/>
      <c r="UF39" s="263"/>
      <c r="UG39" s="263"/>
      <c r="UH39" s="263"/>
      <c r="UI39" s="263"/>
      <c r="UJ39" s="263"/>
      <c r="UK39" s="263"/>
      <c r="UL39" s="263"/>
      <c r="UM39" s="263"/>
      <c r="UN39" s="263"/>
      <c r="UO39" s="263"/>
      <c r="UP39" s="263"/>
      <c r="UQ39" s="263"/>
      <c r="UR39" s="263"/>
      <c r="US39" s="263"/>
      <c r="UT39" s="263"/>
      <c r="UU39" s="263"/>
      <c r="UV39" s="263"/>
      <c r="UW39" s="263"/>
      <c r="UX39" s="263"/>
      <c r="UY39" s="263"/>
      <c r="UZ39" s="263"/>
      <c r="VA39" s="263"/>
      <c r="VB39" s="263"/>
      <c r="VC39" s="263"/>
      <c r="VD39" s="263"/>
      <c r="VE39" s="263"/>
      <c r="VF39" s="263"/>
      <c r="VG39" s="263"/>
      <c r="VH39" s="263"/>
      <c r="VI39" s="263"/>
      <c r="VJ39" s="263"/>
      <c r="VK39" s="263"/>
      <c r="VL39" s="263"/>
      <c r="VM39" s="263"/>
      <c r="VN39" s="263"/>
      <c r="VO39" s="263"/>
      <c r="VP39" s="263"/>
      <c r="VQ39" s="263"/>
      <c r="VR39" s="263"/>
      <c r="VS39" s="263"/>
      <c r="VT39" s="263"/>
      <c r="VU39" s="263"/>
      <c r="VV39" s="263"/>
      <c r="VW39" s="263"/>
      <c r="VX39" s="263"/>
      <c r="VY39" s="263"/>
      <c r="VZ39" s="263"/>
      <c r="WA39" s="263"/>
      <c r="WB39" s="263"/>
      <c r="WC39" s="263"/>
      <c r="WD39" s="263"/>
      <c r="WE39" s="263"/>
      <c r="WF39" s="263"/>
      <c r="WG39" s="263"/>
      <c r="WH39" s="263"/>
      <c r="WI39" s="263"/>
      <c r="WJ39" s="263"/>
      <c r="WK39" s="263"/>
      <c r="WL39" s="263"/>
      <c r="WM39" s="263"/>
      <c r="WN39" s="263"/>
      <c r="WO39" s="263"/>
      <c r="WP39" s="263"/>
      <c r="WQ39" s="263"/>
      <c r="WR39" s="263"/>
      <c r="WS39" s="263"/>
      <c r="WT39" s="263"/>
      <c r="WU39" s="263"/>
      <c r="WV39" s="263"/>
      <c r="WW39" s="263"/>
      <c r="WX39" s="263"/>
      <c r="WY39" s="263"/>
      <c r="WZ39" s="263"/>
      <c r="XA39" s="263"/>
      <c r="XB39" s="263"/>
      <c r="XC39" s="263"/>
      <c r="XD39" s="263"/>
      <c r="XE39" s="263"/>
      <c r="XF39" s="263"/>
      <c r="XG39" s="263"/>
      <c r="XH39" s="263"/>
      <c r="XI39" s="263"/>
      <c r="XJ39" s="263"/>
      <c r="XK39" s="263"/>
      <c r="XL39" s="263"/>
      <c r="XM39" s="263"/>
      <c r="XN39" s="263"/>
      <c r="XO39" s="263"/>
      <c r="XP39" s="263"/>
      <c r="XQ39" s="263"/>
      <c r="XR39" s="263"/>
      <c r="XS39" s="263"/>
      <c r="XT39" s="263"/>
      <c r="XU39" s="263"/>
      <c r="XV39" s="263"/>
      <c r="XW39" s="263"/>
      <c r="XX39" s="263"/>
      <c r="XY39" s="263"/>
      <c r="XZ39" s="263"/>
      <c r="YA39" s="263"/>
      <c r="YB39" s="263"/>
      <c r="YC39" s="263"/>
      <c r="YD39" s="263"/>
      <c r="YE39" s="263"/>
      <c r="YF39" s="263"/>
      <c r="YG39" s="263"/>
      <c r="YH39" s="263"/>
      <c r="YI39" s="263"/>
      <c r="YJ39" s="263"/>
      <c r="YK39" s="263"/>
      <c r="YL39" s="263"/>
      <c r="YM39" s="263"/>
      <c r="YN39" s="263"/>
      <c r="YO39" s="263"/>
      <c r="YP39" s="263"/>
      <c r="YQ39" s="263"/>
      <c r="YR39" s="263"/>
      <c r="YS39" s="263"/>
      <c r="YT39" s="263"/>
      <c r="YU39" s="263"/>
      <c r="YV39" s="263"/>
      <c r="YW39" s="263"/>
      <c r="YX39" s="263"/>
      <c r="YY39" s="263"/>
      <c r="YZ39" s="263"/>
      <c r="ZA39" s="263"/>
      <c r="ZB39" s="263"/>
      <c r="ZC39" s="263"/>
      <c r="ZD39" s="263"/>
      <c r="ZE39" s="263"/>
      <c r="ZF39" s="263"/>
      <c r="ZG39" s="263"/>
      <c r="ZH39" s="263"/>
      <c r="ZI39" s="263"/>
      <c r="ZJ39" s="263"/>
      <c r="ZK39" s="263"/>
      <c r="ZL39" s="263"/>
      <c r="ZM39" s="263"/>
      <c r="ZN39" s="263"/>
      <c r="ZO39" s="263"/>
      <c r="ZP39" s="263"/>
      <c r="ZQ39" s="263"/>
      <c r="ZR39" s="263"/>
      <c r="ZS39" s="263"/>
      <c r="ZT39" s="263"/>
      <c r="ZU39" s="263"/>
      <c r="ZV39" s="263"/>
      <c r="ZW39" s="263"/>
      <c r="ZX39" s="263"/>
      <c r="ZY39" s="263"/>
      <c r="ZZ39" s="263"/>
      <c r="AAA39" s="263"/>
      <c r="AAB39" s="263"/>
      <c r="AAC39" s="263"/>
      <c r="AAD39" s="263"/>
      <c r="AAE39" s="263"/>
      <c r="AAF39" s="263"/>
      <c r="AAG39" s="263"/>
      <c r="AAH39" s="263"/>
      <c r="AAI39" s="263"/>
      <c r="AAJ39" s="263"/>
      <c r="AAK39" s="263"/>
      <c r="AAL39" s="263"/>
      <c r="AAM39" s="263"/>
      <c r="AAN39" s="263"/>
      <c r="AAO39" s="263"/>
      <c r="AAP39" s="263"/>
      <c r="AAQ39" s="263"/>
      <c r="AAR39" s="263"/>
      <c r="AAS39" s="263"/>
      <c r="AAT39" s="263"/>
      <c r="AAU39" s="263"/>
      <c r="AAV39" s="263"/>
      <c r="AAW39" s="263"/>
      <c r="AAX39" s="263"/>
      <c r="AAY39" s="263"/>
      <c r="AAZ39" s="263"/>
      <c r="ABA39" s="263"/>
      <c r="ABB39" s="263"/>
      <c r="ABC39" s="263"/>
      <c r="ABD39" s="263"/>
      <c r="ABE39" s="263"/>
      <c r="ABF39" s="263"/>
      <c r="ABG39" s="263"/>
      <c r="ABH39" s="263"/>
      <c r="ABI39" s="263"/>
      <c r="ABJ39" s="263"/>
      <c r="ABK39" s="263"/>
      <c r="ABL39" s="263"/>
      <c r="ABM39" s="263"/>
      <c r="ABN39" s="263"/>
      <c r="ABO39" s="263"/>
      <c r="ABP39" s="263"/>
      <c r="ABQ39" s="263"/>
      <c r="ABR39" s="263"/>
      <c r="ABS39" s="263"/>
      <c r="ABT39" s="263"/>
      <c r="ABU39" s="263"/>
      <c r="ABV39" s="263"/>
      <c r="ABW39" s="263"/>
      <c r="ABX39" s="263"/>
      <c r="ABY39" s="263"/>
      <c r="ABZ39" s="263"/>
      <c r="ACA39" s="263"/>
      <c r="ACB39" s="263"/>
      <c r="ACC39" s="263"/>
      <c r="ACD39" s="263"/>
      <c r="ACE39" s="263"/>
      <c r="ACF39" s="263"/>
      <c r="ACG39" s="263"/>
      <c r="ACH39" s="263"/>
      <c r="ACI39" s="263"/>
      <c r="ACJ39" s="263"/>
      <c r="ACK39" s="263"/>
      <c r="ACL39" s="263"/>
      <c r="ACM39" s="263"/>
      <c r="ACN39" s="263"/>
      <c r="ACO39" s="263"/>
      <c r="ACP39" s="263"/>
      <c r="ACQ39" s="263"/>
      <c r="ACR39" s="263"/>
      <c r="ACS39" s="263"/>
      <c r="ACT39" s="263"/>
      <c r="ACU39" s="263"/>
      <c r="ACV39" s="263"/>
      <c r="ACW39" s="263"/>
      <c r="ACX39" s="263"/>
      <c r="ACY39" s="263"/>
      <c r="ACZ39" s="263"/>
      <c r="ADA39" s="263"/>
      <c r="ADB39" s="263"/>
      <c r="ADC39" s="263"/>
      <c r="ADD39" s="263"/>
      <c r="ADE39" s="263"/>
      <c r="ADF39" s="263"/>
      <c r="ADG39" s="263"/>
      <c r="ADH39" s="263"/>
      <c r="ADI39" s="263"/>
      <c r="ADJ39" s="263"/>
      <c r="ADK39" s="263"/>
      <c r="ADL39" s="263"/>
      <c r="ADM39" s="263"/>
      <c r="ADN39" s="263"/>
      <c r="ADO39" s="263"/>
      <c r="ADP39" s="263"/>
      <c r="ADQ39" s="263"/>
      <c r="ADR39" s="263"/>
      <c r="ADS39" s="263"/>
      <c r="ADT39" s="263"/>
      <c r="ADU39" s="263"/>
      <c r="ADV39" s="263"/>
      <c r="ADW39" s="263"/>
      <c r="ADX39" s="263"/>
      <c r="ADY39" s="263"/>
      <c r="ADZ39" s="263"/>
      <c r="AEA39" s="263"/>
      <c r="AEB39" s="263"/>
      <c r="AEC39" s="263"/>
      <c r="AED39" s="263"/>
      <c r="AEE39" s="263"/>
      <c r="AEF39" s="263"/>
      <c r="AEG39" s="263"/>
      <c r="AEH39" s="263"/>
      <c r="AEI39" s="263"/>
      <c r="AEJ39" s="263"/>
      <c r="AEK39" s="263"/>
      <c r="AEL39" s="263"/>
      <c r="AEM39" s="263"/>
      <c r="AEN39" s="263"/>
      <c r="AEO39" s="263"/>
      <c r="AEP39" s="263"/>
      <c r="AEQ39" s="263"/>
      <c r="AER39" s="263"/>
      <c r="AES39" s="263"/>
      <c r="AET39" s="263"/>
      <c r="AEU39" s="263"/>
      <c r="AEV39" s="263"/>
      <c r="AEW39" s="263"/>
      <c r="AEX39" s="263"/>
      <c r="AEY39" s="263"/>
      <c r="AEZ39" s="263"/>
      <c r="AFA39" s="263"/>
      <c r="AFB39" s="263"/>
      <c r="AFC39" s="263"/>
      <c r="AFD39" s="263"/>
      <c r="AFE39" s="263"/>
      <c r="AFF39" s="263"/>
      <c r="AFG39" s="263"/>
      <c r="AFH39" s="263"/>
      <c r="AFI39" s="263"/>
      <c r="AFJ39" s="263"/>
      <c r="AFK39" s="263"/>
      <c r="AFL39" s="263"/>
      <c r="AFM39" s="263"/>
      <c r="AFN39" s="263"/>
      <c r="AFO39" s="263"/>
      <c r="AFP39" s="263"/>
      <c r="AFQ39" s="263"/>
      <c r="AFR39" s="263"/>
      <c r="AFS39" s="263"/>
      <c r="AFT39" s="263"/>
      <c r="AFU39" s="263"/>
      <c r="AFV39" s="263"/>
      <c r="AFW39" s="263"/>
      <c r="AFX39" s="263"/>
      <c r="AFY39" s="263"/>
      <c r="AFZ39" s="263"/>
      <c r="AGA39" s="263"/>
      <c r="AGB39" s="263"/>
      <c r="AGC39" s="263"/>
      <c r="AGD39" s="263"/>
      <c r="AGE39" s="263"/>
      <c r="AGF39" s="263"/>
      <c r="AGG39" s="263"/>
      <c r="AGH39" s="263"/>
      <c r="AGI39" s="263"/>
      <c r="AGJ39" s="263"/>
      <c r="AGK39" s="263"/>
      <c r="AGL39" s="263"/>
      <c r="AGM39" s="263"/>
      <c r="AGN39" s="263"/>
      <c r="AGO39" s="263"/>
      <c r="AGP39" s="263"/>
      <c r="AGQ39" s="263"/>
      <c r="AGR39" s="263"/>
      <c r="AGS39" s="263"/>
      <c r="AGT39" s="263"/>
      <c r="AGU39" s="263"/>
      <c r="AGV39" s="263"/>
      <c r="AGW39" s="263"/>
      <c r="AGX39" s="263"/>
      <c r="AGY39" s="263"/>
      <c r="AGZ39" s="263"/>
      <c r="AHA39" s="263"/>
      <c r="AHB39" s="263"/>
      <c r="AHC39" s="263"/>
      <c r="AHD39" s="263"/>
      <c r="AHE39" s="263"/>
      <c r="AHF39" s="263"/>
      <c r="AHG39" s="263"/>
      <c r="AHH39" s="263"/>
      <c r="AHI39" s="263"/>
      <c r="AHJ39" s="263"/>
      <c r="AHK39" s="263"/>
      <c r="AHL39" s="263"/>
      <c r="AHM39" s="263"/>
      <c r="AHN39" s="263"/>
      <c r="AHO39" s="263"/>
      <c r="AHP39" s="263"/>
      <c r="AHQ39" s="263"/>
      <c r="AHR39" s="263"/>
      <c r="AHS39" s="263"/>
      <c r="AHT39" s="263"/>
      <c r="AHU39" s="263"/>
      <c r="AHV39" s="263"/>
      <c r="AHW39" s="263"/>
      <c r="AHX39" s="263"/>
      <c r="AHY39" s="263"/>
      <c r="AHZ39" s="263"/>
      <c r="AIA39" s="263"/>
      <c r="AIB39" s="263"/>
      <c r="AIC39" s="263"/>
      <c r="AID39" s="263"/>
      <c r="AIE39" s="263"/>
      <c r="AIF39" s="263"/>
      <c r="AIG39" s="263"/>
      <c r="AIH39" s="263"/>
      <c r="AII39" s="263"/>
      <c r="AIJ39" s="263"/>
      <c r="AIK39" s="263"/>
      <c r="AIL39" s="263"/>
      <c r="AIM39" s="263"/>
      <c r="AIN39" s="263"/>
      <c r="AIO39" s="263"/>
      <c r="AIP39" s="263"/>
      <c r="AIQ39" s="263"/>
      <c r="AIR39" s="263"/>
      <c r="AIS39" s="263"/>
      <c r="AIT39" s="263"/>
      <c r="AIU39" s="263"/>
      <c r="AIV39" s="263"/>
      <c r="AIW39" s="263"/>
      <c r="AIX39" s="263"/>
      <c r="AIY39" s="263"/>
      <c r="AIZ39" s="263"/>
      <c r="AJA39" s="263"/>
      <c r="AJB39" s="263"/>
      <c r="AJC39" s="263"/>
      <c r="AJD39" s="263"/>
      <c r="AJE39" s="263"/>
      <c r="AJF39" s="263"/>
      <c r="AJG39" s="263"/>
      <c r="AJH39" s="263"/>
      <c r="AJI39" s="263"/>
      <c r="AJJ39" s="263"/>
      <c r="AJK39" s="263"/>
      <c r="AJL39" s="263"/>
      <c r="AJM39" s="263"/>
      <c r="AJN39" s="263"/>
      <c r="AJO39" s="263"/>
      <c r="AJP39" s="263"/>
      <c r="AJQ39" s="263"/>
      <c r="AJR39" s="263"/>
      <c r="AJS39" s="263"/>
      <c r="AJT39" s="263"/>
      <c r="AJU39" s="263"/>
      <c r="AJV39" s="263"/>
      <c r="AJW39" s="263"/>
      <c r="AJX39" s="263"/>
      <c r="AJY39" s="263"/>
      <c r="AJZ39" s="263"/>
      <c r="AKA39" s="263"/>
      <c r="AKB39" s="263"/>
      <c r="AKC39" s="263"/>
      <c r="AKD39" s="263"/>
      <c r="AKE39" s="263"/>
      <c r="AKF39" s="263"/>
      <c r="AKG39" s="263"/>
      <c r="AKH39" s="263"/>
      <c r="AKI39" s="263"/>
      <c r="AKJ39" s="263"/>
      <c r="AKK39" s="263"/>
      <c r="AKL39" s="263"/>
      <c r="AKM39" s="263"/>
      <c r="AKN39" s="263"/>
      <c r="AKO39" s="263"/>
      <c r="AKP39" s="263"/>
      <c r="AKQ39" s="263"/>
      <c r="AKR39" s="263"/>
      <c r="AKS39" s="263"/>
      <c r="AKT39" s="263"/>
      <c r="AKU39" s="263"/>
      <c r="AKV39" s="263"/>
      <c r="AKW39" s="263"/>
      <c r="AKX39" s="263"/>
      <c r="AKY39" s="263"/>
      <c r="AKZ39" s="263"/>
      <c r="ALA39" s="263"/>
      <c r="ALB39" s="263"/>
      <c r="ALC39" s="263"/>
      <c r="ALD39" s="263"/>
      <c r="ALE39" s="263"/>
      <c r="ALF39" s="263"/>
      <c r="ALG39" s="263"/>
      <c r="ALH39" s="263"/>
      <c r="ALI39" s="263"/>
      <c r="ALJ39" s="263"/>
      <c r="ALK39" s="263"/>
      <c r="ALL39" s="263"/>
      <c r="ALM39" s="263"/>
      <c r="ALN39" s="263"/>
      <c r="ALO39" s="263"/>
      <c r="ALP39" s="263"/>
      <c r="ALQ39" s="263"/>
      <c r="ALR39" s="263"/>
      <c r="ALS39" s="263"/>
    </row>
    <row r="40" spans="1:1007" x14ac:dyDescent="0.2">
      <c r="A40" s="379" t="s">
        <v>461</v>
      </c>
      <c r="B40" s="366"/>
      <c r="C40" s="366"/>
    </row>
    <row r="41" spans="1:1007" s="3" customFormat="1" x14ac:dyDescent="0.2">
      <c r="A41" s="370"/>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c r="DM41" s="263"/>
      <c r="DN41" s="263"/>
      <c r="DO41" s="263"/>
      <c r="DP41" s="263"/>
      <c r="DQ41" s="263"/>
      <c r="DR41" s="263"/>
      <c r="DS41" s="263"/>
      <c r="DT41" s="263"/>
      <c r="DU41" s="263"/>
      <c r="DV41" s="263"/>
      <c r="DW41" s="263"/>
      <c r="DX41" s="263"/>
      <c r="DY41" s="263"/>
      <c r="DZ41" s="263"/>
      <c r="EA41" s="263"/>
      <c r="EB41" s="263"/>
      <c r="EC41" s="263"/>
      <c r="ED41" s="263"/>
      <c r="EE41" s="263"/>
      <c r="EF41" s="263"/>
      <c r="EG41" s="263"/>
      <c r="EH41" s="263"/>
      <c r="EI41" s="263"/>
      <c r="EJ41" s="263"/>
      <c r="EK41" s="263"/>
      <c r="EL41" s="263"/>
      <c r="EM41" s="263"/>
      <c r="EN41" s="263"/>
      <c r="EO41" s="263"/>
      <c r="EP41" s="263"/>
      <c r="EQ41" s="263"/>
      <c r="ER41" s="263"/>
      <c r="ES41" s="263"/>
      <c r="ET41" s="263"/>
      <c r="EU41" s="263"/>
      <c r="EV41" s="263"/>
      <c r="EW41" s="263"/>
      <c r="EX41" s="263"/>
      <c r="EY41" s="263"/>
      <c r="EZ41" s="263"/>
      <c r="FA41" s="263"/>
      <c r="FB41" s="263"/>
      <c r="FC41" s="263"/>
      <c r="FD41" s="263"/>
      <c r="FE41" s="263"/>
      <c r="FF41" s="263"/>
      <c r="FG41" s="263"/>
      <c r="FH41" s="263"/>
      <c r="FI41" s="263"/>
      <c r="FJ41" s="263"/>
      <c r="FK41" s="263"/>
      <c r="FL41" s="263"/>
      <c r="FM41" s="263"/>
      <c r="FN41" s="263"/>
      <c r="FO41" s="263"/>
      <c r="FP41" s="263"/>
      <c r="FQ41" s="263"/>
      <c r="FR41" s="263"/>
      <c r="FS41" s="263"/>
      <c r="FT41" s="263"/>
      <c r="FU41" s="263"/>
      <c r="FV41" s="263"/>
      <c r="FW41" s="263"/>
      <c r="FX41" s="263"/>
      <c r="FY41" s="263"/>
      <c r="FZ41" s="263"/>
      <c r="GA41" s="263"/>
      <c r="GB41" s="263"/>
      <c r="GC41" s="263"/>
      <c r="GD41" s="263"/>
      <c r="GE41" s="263"/>
      <c r="GF41" s="263"/>
      <c r="GG41" s="263"/>
      <c r="GH41" s="263"/>
      <c r="GI41" s="263"/>
      <c r="GJ41" s="263"/>
      <c r="GK41" s="263"/>
      <c r="GL41" s="263"/>
      <c r="GM41" s="263"/>
      <c r="GN41" s="263"/>
      <c r="GO41" s="263"/>
      <c r="GP41" s="263"/>
      <c r="GQ41" s="263"/>
      <c r="GR41" s="263"/>
      <c r="GS41" s="263"/>
      <c r="GT41" s="263"/>
      <c r="GU41" s="263"/>
      <c r="GV41" s="263"/>
      <c r="GW41" s="263"/>
      <c r="GX41" s="263"/>
      <c r="GY41" s="263"/>
      <c r="GZ41" s="263"/>
      <c r="HA41" s="263"/>
      <c r="HB41" s="263"/>
      <c r="HC41" s="263"/>
      <c r="HD41" s="263"/>
      <c r="HE41" s="263"/>
      <c r="HF41" s="263"/>
      <c r="HG41" s="263"/>
      <c r="HH41" s="263"/>
      <c r="HI41" s="263"/>
      <c r="HJ41" s="263"/>
      <c r="HK41" s="263"/>
      <c r="HL41" s="263"/>
      <c r="HM41" s="263"/>
      <c r="HN41" s="263"/>
      <c r="HO41" s="263"/>
      <c r="HP41" s="263"/>
      <c r="HQ41" s="263"/>
      <c r="HR41" s="263"/>
      <c r="HS41" s="263"/>
      <c r="HT41" s="263"/>
      <c r="HU41" s="263"/>
      <c r="HV41" s="263"/>
      <c r="HW41" s="263"/>
      <c r="HX41" s="263"/>
      <c r="HY41" s="263"/>
      <c r="HZ41" s="263"/>
      <c r="IA41" s="263"/>
      <c r="IB41" s="263"/>
      <c r="IC41" s="263"/>
      <c r="ID41" s="263"/>
      <c r="IE41" s="263"/>
      <c r="IF41" s="263"/>
      <c r="IG41" s="263"/>
      <c r="IH41" s="263"/>
      <c r="II41" s="263"/>
      <c r="IJ41" s="263"/>
      <c r="IK41" s="263"/>
      <c r="IL41" s="263"/>
      <c r="IM41" s="263"/>
      <c r="IN41" s="263"/>
      <c r="IO41" s="263"/>
      <c r="IP41" s="263"/>
      <c r="IQ41" s="263"/>
      <c r="IR41" s="263"/>
      <c r="IS41" s="263"/>
      <c r="IT41" s="263"/>
      <c r="IU41" s="263"/>
      <c r="IV41" s="263"/>
      <c r="IW41" s="263"/>
      <c r="IX41" s="263"/>
      <c r="IY41" s="263"/>
      <c r="IZ41" s="263"/>
      <c r="JA41" s="263"/>
      <c r="JB41" s="263"/>
      <c r="JC41" s="263"/>
      <c r="JD41" s="263"/>
      <c r="JE41" s="263"/>
      <c r="JF41" s="263"/>
      <c r="JG41" s="263"/>
      <c r="JH41" s="263"/>
      <c r="JI41" s="263"/>
      <c r="JJ41" s="263"/>
      <c r="JK41" s="263"/>
      <c r="JL41" s="263"/>
      <c r="JM41" s="263"/>
      <c r="JN41" s="263"/>
      <c r="JO41" s="263"/>
      <c r="JP41" s="263"/>
      <c r="JQ41" s="263"/>
      <c r="JR41" s="263"/>
      <c r="JS41" s="263"/>
      <c r="JT41" s="263"/>
      <c r="JU41" s="263"/>
      <c r="JV41" s="263"/>
      <c r="JW41" s="263"/>
      <c r="JX41" s="263"/>
      <c r="JY41" s="263"/>
      <c r="JZ41" s="263"/>
      <c r="KA41" s="263"/>
      <c r="KB41" s="263"/>
      <c r="KC41" s="263"/>
      <c r="KD41" s="263"/>
      <c r="KE41" s="263"/>
      <c r="KF41" s="263"/>
      <c r="KG41" s="263"/>
      <c r="KH41" s="263"/>
      <c r="KI41" s="263"/>
      <c r="KJ41" s="263"/>
      <c r="KK41" s="263"/>
      <c r="KL41" s="263"/>
      <c r="KM41" s="263"/>
      <c r="KN41" s="263"/>
      <c r="KO41" s="263"/>
      <c r="KP41" s="263"/>
      <c r="KQ41" s="263"/>
      <c r="KR41" s="263"/>
      <c r="KS41" s="263"/>
      <c r="KT41" s="263"/>
      <c r="KU41" s="263"/>
      <c r="KV41" s="263"/>
      <c r="KW41" s="263"/>
      <c r="KX41" s="263"/>
      <c r="KY41" s="263"/>
      <c r="KZ41" s="263"/>
      <c r="LA41" s="263"/>
      <c r="LB41" s="263"/>
      <c r="LC41" s="263"/>
      <c r="LD41" s="263"/>
      <c r="LE41" s="263"/>
      <c r="LF41" s="263"/>
      <c r="LG41" s="263"/>
      <c r="LH41" s="263"/>
      <c r="LI41" s="263"/>
      <c r="LJ41" s="263"/>
      <c r="LK41" s="263"/>
      <c r="LL41" s="263"/>
      <c r="LM41" s="263"/>
      <c r="LN41" s="263"/>
      <c r="LO41" s="263"/>
      <c r="LP41" s="263"/>
      <c r="LQ41" s="263"/>
      <c r="LR41" s="263"/>
      <c r="LS41" s="263"/>
      <c r="LT41" s="263"/>
      <c r="LU41" s="263"/>
      <c r="LV41" s="263"/>
      <c r="LW41" s="263"/>
      <c r="LX41" s="263"/>
      <c r="LY41" s="263"/>
      <c r="LZ41" s="263"/>
      <c r="MA41" s="263"/>
      <c r="MB41" s="263"/>
      <c r="MC41" s="263"/>
      <c r="MD41" s="263"/>
      <c r="ME41" s="263"/>
      <c r="MF41" s="263"/>
      <c r="MG41" s="263"/>
      <c r="MH41" s="263"/>
      <c r="MI41" s="263"/>
      <c r="MJ41" s="263"/>
      <c r="MK41" s="263"/>
      <c r="ML41" s="263"/>
      <c r="MM41" s="263"/>
      <c r="MN41" s="263"/>
      <c r="MO41" s="263"/>
      <c r="MP41" s="263"/>
      <c r="MQ41" s="263"/>
      <c r="MR41" s="263"/>
      <c r="MS41" s="263"/>
      <c r="MT41" s="263"/>
      <c r="MU41" s="263"/>
      <c r="MV41" s="263"/>
      <c r="MW41" s="263"/>
      <c r="MX41" s="263"/>
      <c r="MY41" s="263"/>
      <c r="MZ41" s="263"/>
      <c r="NA41" s="263"/>
      <c r="NB41" s="263"/>
      <c r="NC41" s="263"/>
      <c r="ND41" s="263"/>
      <c r="NE41" s="263"/>
      <c r="NF41" s="263"/>
      <c r="NG41" s="263"/>
      <c r="NH41" s="263"/>
      <c r="NI41" s="263"/>
      <c r="NJ41" s="263"/>
      <c r="NK41" s="263"/>
      <c r="NL41" s="263"/>
      <c r="NM41" s="263"/>
      <c r="NN41" s="263"/>
      <c r="NO41" s="263"/>
      <c r="NP41" s="263"/>
      <c r="NQ41" s="263"/>
      <c r="NR41" s="263"/>
      <c r="NS41" s="263"/>
      <c r="NT41" s="263"/>
      <c r="NU41" s="263"/>
      <c r="NV41" s="263"/>
      <c r="NW41" s="263"/>
      <c r="NX41" s="263"/>
      <c r="NY41" s="263"/>
      <c r="NZ41" s="263"/>
      <c r="OA41" s="263"/>
      <c r="OB41" s="263"/>
      <c r="OC41" s="263"/>
      <c r="OD41" s="263"/>
      <c r="OE41" s="263"/>
      <c r="OF41" s="263"/>
      <c r="OG41" s="263"/>
      <c r="OH41" s="263"/>
      <c r="OI41" s="263"/>
      <c r="OJ41" s="263"/>
      <c r="OK41" s="263"/>
      <c r="OL41" s="263"/>
      <c r="OM41" s="263"/>
      <c r="ON41" s="263"/>
      <c r="OO41" s="263"/>
      <c r="OP41" s="263"/>
      <c r="OQ41" s="263"/>
      <c r="OR41" s="263"/>
      <c r="OS41" s="263"/>
      <c r="OT41" s="263"/>
      <c r="OU41" s="263"/>
      <c r="OV41" s="263"/>
      <c r="OW41" s="263"/>
      <c r="OX41" s="263"/>
      <c r="OY41" s="263"/>
      <c r="OZ41" s="263"/>
      <c r="PA41" s="263"/>
      <c r="PB41" s="263"/>
      <c r="PC41" s="263"/>
      <c r="PD41" s="263"/>
      <c r="PE41" s="263"/>
      <c r="PF41" s="263"/>
      <c r="PG41" s="263"/>
      <c r="PH41" s="263"/>
      <c r="PI41" s="263"/>
      <c r="PJ41" s="263"/>
      <c r="PK41" s="263"/>
      <c r="PL41" s="263"/>
      <c r="PM41" s="263"/>
      <c r="PN41" s="263"/>
      <c r="PO41" s="263"/>
      <c r="PP41" s="263"/>
      <c r="PQ41" s="263"/>
      <c r="PR41" s="263"/>
      <c r="PS41" s="263"/>
      <c r="PT41" s="263"/>
      <c r="PU41" s="263"/>
      <c r="PV41" s="263"/>
      <c r="PW41" s="263"/>
      <c r="PX41" s="263"/>
      <c r="PY41" s="263"/>
      <c r="PZ41" s="263"/>
      <c r="QA41" s="263"/>
      <c r="QB41" s="263"/>
      <c r="QC41" s="263"/>
      <c r="QD41" s="263"/>
      <c r="QE41" s="263"/>
      <c r="QF41" s="263"/>
      <c r="QG41" s="263"/>
      <c r="QH41" s="263"/>
      <c r="QI41" s="263"/>
      <c r="QJ41" s="263"/>
      <c r="QK41" s="263"/>
      <c r="QL41" s="263"/>
      <c r="QM41" s="263"/>
      <c r="QN41" s="263"/>
      <c r="QO41" s="263"/>
      <c r="QP41" s="263"/>
      <c r="QQ41" s="263"/>
      <c r="QR41" s="263"/>
      <c r="QS41" s="263"/>
      <c r="QT41" s="263"/>
      <c r="QU41" s="263"/>
      <c r="QV41" s="263"/>
      <c r="QW41" s="263"/>
      <c r="QX41" s="263"/>
      <c r="QY41" s="263"/>
      <c r="QZ41" s="263"/>
      <c r="RA41" s="263"/>
      <c r="RB41" s="263"/>
      <c r="RC41" s="263"/>
      <c r="RD41" s="263"/>
      <c r="RE41" s="263"/>
      <c r="RF41" s="263"/>
      <c r="RG41" s="263"/>
      <c r="RH41" s="263"/>
      <c r="RI41" s="263"/>
      <c r="RJ41" s="263"/>
      <c r="RK41" s="263"/>
      <c r="RL41" s="263"/>
      <c r="RM41" s="263"/>
      <c r="RN41" s="263"/>
      <c r="RO41" s="263"/>
      <c r="RP41" s="263"/>
      <c r="RQ41" s="263"/>
      <c r="RR41" s="263"/>
      <c r="RS41" s="263"/>
      <c r="RT41" s="263"/>
      <c r="RU41" s="263"/>
      <c r="RV41" s="263"/>
      <c r="RW41" s="263"/>
      <c r="RX41" s="263"/>
      <c r="RY41" s="263"/>
      <c r="RZ41" s="263"/>
      <c r="SA41" s="263"/>
      <c r="SB41" s="263"/>
      <c r="SC41" s="263"/>
      <c r="SD41" s="263"/>
      <c r="SE41" s="263"/>
      <c r="SF41" s="263"/>
      <c r="SG41" s="263"/>
      <c r="SH41" s="263"/>
      <c r="SI41" s="263"/>
      <c r="SJ41" s="263"/>
      <c r="SK41" s="263"/>
      <c r="SL41" s="263"/>
      <c r="SM41" s="263"/>
      <c r="SN41" s="263"/>
      <c r="SO41" s="263"/>
      <c r="SP41" s="263"/>
      <c r="SQ41" s="263"/>
      <c r="SR41" s="263"/>
      <c r="SS41" s="263"/>
      <c r="ST41" s="263"/>
      <c r="SU41" s="263"/>
      <c r="SV41" s="263"/>
      <c r="SW41" s="263"/>
      <c r="SX41" s="263"/>
      <c r="SY41" s="263"/>
      <c r="SZ41" s="263"/>
      <c r="TA41" s="263"/>
      <c r="TB41" s="263"/>
      <c r="TC41" s="263"/>
      <c r="TD41" s="263"/>
      <c r="TE41" s="263"/>
      <c r="TF41" s="263"/>
      <c r="TG41" s="263"/>
      <c r="TH41" s="263"/>
      <c r="TI41" s="263"/>
      <c r="TJ41" s="263"/>
      <c r="TK41" s="263"/>
      <c r="TL41" s="263"/>
      <c r="TM41" s="263"/>
      <c r="TN41" s="263"/>
      <c r="TO41" s="263"/>
      <c r="TP41" s="263"/>
      <c r="TQ41" s="263"/>
      <c r="TR41" s="263"/>
      <c r="TS41" s="263"/>
      <c r="TT41" s="263"/>
      <c r="TU41" s="263"/>
      <c r="TV41" s="263"/>
      <c r="TW41" s="263"/>
      <c r="TX41" s="263"/>
      <c r="TY41" s="263"/>
      <c r="TZ41" s="263"/>
      <c r="UA41" s="263"/>
      <c r="UB41" s="263"/>
      <c r="UC41" s="263"/>
      <c r="UD41" s="263"/>
      <c r="UE41" s="263"/>
      <c r="UF41" s="263"/>
      <c r="UG41" s="263"/>
      <c r="UH41" s="263"/>
      <c r="UI41" s="263"/>
      <c r="UJ41" s="263"/>
      <c r="UK41" s="263"/>
      <c r="UL41" s="263"/>
      <c r="UM41" s="263"/>
      <c r="UN41" s="263"/>
      <c r="UO41" s="263"/>
      <c r="UP41" s="263"/>
      <c r="UQ41" s="263"/>
      <c r="UR41" s="263"/>
      <c r="US41" s="263"/>
      <c r="UT41" s="263"/>
      <c r="UU41" s="263"/>
      <c r="UV41" s="263"/>
      <c r="UW41" s="263"/>
      <c r="UX41" s="263"/>
      <c r="UY41" s="263"/>
      <c r="UZ41" s="263"/>
      <c r="VA41" s="263"/>
      <c r="VB41" s="263"/>
      <c r="VC41" s="263"/>
      <c r="VD41" s="263"/>
      <c r="VE41" s="263"/>
      <c r="VF41" s="263"/>
      <c r="VG41" s="263"/>
      <c r="VH41" s="263"/>
      <c r="VI41" s="263"/>
      <c r="VJ41" s="263"/>
      <c r="VK41" s="263"/>
      <c r="VL41" s="263"/>
      <c r="VM41" s="263"/>
      <c r="VN41" s="263"/>
      <c r="VO41" s="263"/>
      <c r="VP41" s="263"/>
      <c r="VQ41" s="263"/>
      <c r="VR41" s="263"/>
      <c r="VS41" s="263"/>
      <c r="VT41" s="263"/>
      <c r="VU41" s="263"/>
      <c r="VV41" s="263"/>
      <c r="VW41" s="263"/>
      <c r="VX41" s="263"/>
      <c r="VY41" s="263"/>
      <c r="VZ41" s="263"/>
      <c r="WA41" s="263"/>
      <c r="WB41" s="263"/>
      <c r="WC41" s="263"/>
      <c r="WD41" s="263"/>
      <c r="WE41" s="263"/>
      <c r="WF41" s="263"/>
      <c r="WG41" s="263"/>
      <c r="WH41" s="263"/>
      <c r="WI41" s="263"/>
      <c r="WJ41" s="263"/>
      <c r="WK41" s="263"/>
      <c r="WL41" s="263"/>
      <c r="WM41" s="263"/>
      <c r="WN41" s="263"/>
      <c r="WO41" s="263"/>
      <c r="WP41" s="263"/>
      <c r="WQ41" s="263"/>
      <c r="WR41" s="263"/>
      <c r="WS41" s="263"/>
      <c r="WT41" s="263"/>
      <c r="WU41" s="263"/>
      <c r="WV41" s="263"/>
      <c r="WW41" s="263"/>
      <c r="WX41" s="263"/>
      <c r="WY41" s="263"/>
      <c r="WZ41" s="263"/>
      <c r="XA41" s="263"/>
      <c r="XB41" s="263"/>
      <c r="XC41" s="263"/>
      <c r="XD41" s="263"/>
      <c r="XE41" s="263"/>
      <c r="XF41" s="263"/>
      <c r="XG41" s="263"/>
      <c r="XH41" s="263"/>
      <c r="XI41" s="263"/>
      <c r="XJ41" s="263"/>
      <c r="XK41" s="263"/>
      <c r="XL41" s="263"/>
      <c r="XM41" s="263"/>
      <c r="XN41" s="263"/>
      <c r="XO41" s="263"/>
      <c r="XP41" s="263"/>
      <c r="XQ41" s="263"/>
      <c r="XR41" s="263"/>
      <c r="XS41" s="263"/>
      <c r="XT41" s="263"/>
      <c r="XU41" s="263"/>
      <c r="XV41" s="263"/>
      <c r="XW41" s="263"/>
      <c r="XX41" s="263"/>
      <c r="XY41" s="263"/>
      <c r="XZ41" s="263"/>
      <c r="YA41" s="263"/>
      <c r="YB41" s="263"/>
      <c r="YC41" s="263"/>
      <c r="YD41" s="263"/>
      <c r="YE41" s="263"/>
      <c r="YF41" s="263"/>
      <c r="YG41" s="263"/>
      <c r="YH41" s="263"/>
      <c r="YI41" s="263"/>
      <c r="YJ41" s="263"/>
      <c r="YK41" s="263"/>
      <c r="YL41" s="263"/>
      <c r="YM41" s="263"/>
      <c r="YN41" s="263"/>
      <c r="YO41" s="263"/>
      <c r="YP41" s="263"/>
      <c r="YQ41" s="263"/>
      <c r="YR41" s="263"/>
      <c r="YS41" s="263"/>
      <c r="YT41" s="263"/>
      <c r="YU41" s="263"/>
      <c r="YV41" s="263"/>
      <c r="YW41" s="263"/>
      <c r="YX41" s="263"/>
      <c r="YY41" s="263"/>
      <c r="YZ41" s="263"/>
      <c r="ZA41" s="263"/>
      <c r="ZB41" s="263"/>
      <c r="ZC41" s="263"/>
      <c r="ZD41" s="263"/>
      <c r="ZE41" s="263"/>
      <c r="ZF41" s="263"/>
      <c r="ZG41" s="263"/>
      <c r="ZH41" s="263"/>
      <c r="ZI41" s="263"/>
      <c r="ZJ41" s="263"/>
      <c r="ZK41" s="263"/>
      <c r="ZL41" s="263"/>
      <c r="ZM41" s="263"/>
      <c r="ZN41" s="263"/>
      <c r="ZO41" s="263"/>
      <c r="ZP41" s="263"/>
      <c r="ZQ41" s="263"/>
      <c r="ZR41" s="263"/>
      <c r="ZS41" s="263"/>
      <c r="ZT41" s="263"/>
      <c r="ZU41" s="263"/>
      <c r="ZV41" s="263"/>
      <c r="ZW41" s="263"/>
      <c r="ZX41" s="263"/>
      <c r="ZY41" s="263"/>
      <c r="ZZ41" s="263"/>
      <c r="AAA41" s="263"/>
      <c r="AAB41" s="263"/>
      <c r="AAC41" s="263"/>
      <c r="AAD41" s="263"/>
      <c r="AAE41" s="263"/>
      <c r="AAF41" s="263"/>
      <c r="AAG41" s="263"/>
      <c r="AAH41" s="263"/>
      <c r="AAI41" s="263"/>
      <c r="AAJ41" s="263"/>
      <c r="AAK41" s="263"/>
      <c r="AAL41" s="263"/>
      <c r="AAM41" s="263"/>
      <c r="AAN41" s="263"/>
      <c r="AAO41" s="263"/>
      <c r="AAP41" s="263"/>
      <c r="AAQ41" s="263"/>
      <c r="AAR41" s="263"/>
      <c r="AAS41" s="263"/>
      <c r="AAT41" s="263"/>
      <c r="AAU41" s="263"/>
      <c r="AAV41" s="263"/>
      <c r="AAW41" s="263"/>
      <c r="AAX41" s="263"/>
      <c r="AAY41" s="263"/>
      <c r="AAZ41" s="263"/>
      <c r="ABA41" s="263"/>
      <c r="ABB41" s="263"/>
      <c r="ABC41" s="263"/>
      <c r="ABD41" s="263"/>
      <c r="ABE41" s="263"/>
      <c r="ABF41" s="263"/>
      <c r="ABG41" s="263"/>
      <c r="ABH41" s="263"/>
      <c r="ABI41" s="263"/>
      <c r="ABJ41" s="263"/>
      <c r="ABK41" s="263"/>
      <c r="ABL41" s="263"/>
      <c r="ABM41" s="263"/>
      <c r="ABN41" s="263"/>
      <c r="ABO41" s="263"/>
      <c r="ABP41" s="263"/>
      <c r="ABQ41" s="263"/>
      <c r="ABR41" s="263"/>
      <c r="ABS41" s="263"/>
      <c r="ABT41" s="263"/>
      <c r="ABU41" s="263"/>
      <c r="ABV41" s="263"/>
      <c r="ABW41" s="263"/>
      <c r="ABX41" s="263"/>
      <c r="ABY41" s="263"/>
      <c r="ABZ41" s="263"/>
      <c r="ACA41" s="263"/>
      <c r="ACB41" s="263"/>
      <c r="ACC41" s="263"/>
      <c r="ACD41" s="263"/>
      <c r="ACE41" s="263"/>
      <c r="ACF41" s="263"/>
      <c r="ACG41" s="263"/>
      <c r="ACH41" s="263"/>
      <c r="ACI41" s="263"/>
      <c r="ACJ41" s="263"/>
      <c r="ACK41" s="263"/>
      <c r="ACL41" s="263"/>
      <c r="ACM41" s="263"/>
      <c r="ACN41" s="263"/>
      <c r="ACO41" s="263"/>
      <c r="ACP41" s="263"/>
      <c r="ACQ41" s="263"/>
      <c r="ACR41" s="263"/>
      <c r="ACS41" s="263"/>
      <c r="ACT41" s="263"/>
      <c r="ACU41" s="263"/>
      <c r="ACV41" s="263"/>
      <c r="ACW41" s="263"/>
      <c r="ACX41" s="263"/>
      <c r="ACY41" s="263"/>
      <c r="ACZ41" s="263"/>
      <c r="ADA41" s="263"/>
      <c r="ADB41" s="263"/>
      <c r="ADC41" s="263"/>
      <c r="ADD41" s="263"/>
      <c r="ADE41" s="263"/>
      <c r="ADF41" s="263"/>
      <c r="ADG41" s="263"/>
      <c r="ADH41" s="263"/>
      <c r="ADI41" s="263"/>
      <c r="ADJ41" s="263"/>
      <c r="ADK41" s="263"/>
      <c r="ADL41" s="263"/>
      <c r="ADM41" s="263"/>
      <c r="ADN41" s="263"/>
      <c r="ADO41" s="263"/>
      <c r="ADP41" s="263"/>
      <c r="ADQ41" s="263"/>
      <c r="ADR41" s="263"/>
      <c r="ADS41" s="263"/>
      <c r="ADT41" s="263"/>
      <c r="ADU41" s="263"/>
      <c r="ADV41" s="263"/>
      <c r="ADW41" s="263"/>
      <c r="ADX41" s="263"/>
      <c r="ADY41" s="263"/>
      <c r="ADZ41" s="263"/>
      <c r="AEA41" s="263"/>
      <c r="AEB41" s="263"/>
      <c r="AEC41" s="263"/>
      <c r="AED41" s="263"/>
      <c r="AEE41" s="263"/>
      <c r="AEF41" s="263"/>
      <c r="AEG41" s="263"/>
      <c r="AEH41" s="263"/>
      <c r="AEI41" s="263"/>
      <c r="AEJ41" s="263"/>
      <c r="AEK41" s="263"/>
      <c r="AEL41" s="263"/>
      <c r="AEM41" s="263"/>
      <c r="AEN41" s="263"/>
      <c r="AEO41" s="263"/>
      <c r="AEP41" s="263"/>
      <c r="AEQ41" s="263"/>
      <c r="AER41" s="263"/>
      <c r="AES41" s="263"/>
      <c r="AET41" s="263"/>
      <c r="AEU41" s="263"/>
      <c r="AEV41" s="263"/>
      <c r="AEW41" s="263"/>
      <c r="AEX41" s="263"/>
      <c r="AEY41" s="263"/>
      <c r="AEZ41" s="263"/>
      <c r="AFA41" s="263"/>
      <c r="AFB41" s="263"/>
      <c r="AFC41" s="263"/>
      <c r="AFD41" s="263"/>
      <c r="AFE41" s="263"/>
      <c r="AFF41" s="263"/>
      <c r="AFG41" s="263"/>
      <c r="AFH41" s="263"/>
      <c r="AFI41" s="263"/>
      <c r="AFJ41" s="263"/>
      <c r="AFK41" s="263"/>
      <c r="AFL41" s="263"/>
      <c r="AFM41" s="263"/>
      <c r="AFN41" s="263"/>
      <c r="AFO41" s="263"/>
      <c r="AFP41" s="263"/>
      <c r="AFQ41" s="263"/>
      <c r="AFR41" s="263"/>
      <c r="AFS41" s="263"/>
      <c r="AFT41" s="263"/>
      <c r="AFU41" s="263"/>
      <c r="AFV41" s="263"/>
      <c r="AFW41" s="263"/>
      <c r="AFX41" s="263"/>
      <c r="AFY41" s="263"/>
      <c r="AFZ41" s="263"/>
      <c r="AGA41" s="263"/>
      <c r="AGB41" s="263"/>
      <c r="AGC41" s="263"/>
      <c r="AGD41" s="263"/>
      <c r="AGE41" s="263"/>
      <c r="AGF41" s="263"/>
      <c r="AGG41" s="263"/>
      <c r="AGH41" s="263"/>
      <c r="AGI41" s="263"/>
      <c r="AGJ41" s="263"/>
      <c r="AGK41" s="263"/>
      <c r="AGL41" s="263"/>
      <c r="AGM41" s="263"/>
      <c r="AGN41" s="263"/>
      <c r="AGO41" s="263"/>
      <c r="AGP41" s="263"/>
      <c r="AGQ41" s="263"/>
      <c r="AGR41" s="263"/>
      <c r="AGS41" s="263"/>
      <c r="AGT41" s="263"/>
      <c r="AGU41" s="263"/>
      <c r="AGV41" s="263"/>
      <c r="AGW41" s="263"/>
      <c r="AGX41" s="263"/>
      <c r="AGY41" s="263"/>
      <c r="AGZ41" s="263"/>
      <c r="AHA41" s="263"/>
      <c r="AHB41" s="263"/>
      <c r="AHC41" s="263"/>
      <c r="AHD41" s="263"/>
      <c r="AHE41" s="263"/>
      <c r="AHF41" s="263"/>
      <c r="AHG41" s="263"/>
      <c r="AHH41" s="263"/>
      <c r="AHI41" s="263"/>
      <c r="AHJ41" s="263"/>
      <c r="AHK41" s="263"/>
      <c r="AHL41" s="263"/>
      <c r="AHM41" s="263"/>
      <c r="AHN41" s="263"/>
      <c r="AHO41" s="263"/>
      <c r="AHP41" s="263"/>
      <c r="AHQ41" s="263"/>
      <c r="AHR41" s="263"/>
      <c r="AHS41" s="263"/>
      <c r="AHT41" s="263"/>
      <c r="AHU41" s="263"/>
      <c r="AHV41" s="263"/>
      <c r="AHW41" s="263"/>
      <c r="AHX41" s="263"/>
      <c r="AHY41" s="263"/>
      <c r="AHZ41" s="263"/>
      <c r="AIA41" s="263"/>
      <c r="AIB41" s="263"/>
      <c r="AIC41" s="263"/>
      <c r="AID41" s="263"/>
      <c r="AIE41" s="263"/>
      <c r="AIF41" s="263"/>
      <c r="AIG41" s="263"/>
      <c r="AIH41" s="263"/>
      <c r="AII41" s="263"/>
      <c r="AIJ41" s="263"/>
      <c r="AIK41" s="263"/>
      <c r="AIL41" s="263"/>
      <c r="AIM41" s="263"/>
      <c r="AIN41" s="263"/>
      <c r="AIO41" s="263"/>
      <c r="AIP41" s="263"/>
      <c r="AIQ41" s="263"/>
      <c r="AIR41" s="263"/>
      <c r="AIS41" s="263"/>
      <c r="AIT41" s="263"/>
      <c r="AIU41" s="263"/>
      <c r="AIV41" s="263"/>
      <c r="AIW41" s="263"/>
      <c r="AIX41" s="263"/>
      <c r="AIY41" s="263"/>
      <c r="AIZ41" s="263"/>
      <c r="AJA41" s="263"/>
      <c r="AJB41" s="263"/>
      <c r="AJC41" s="263"/>
      <c r="AJD41" s="263"/>
      <c r="AJE41" s="263"/>
      <c r="AJF41" s="263"/>
      <c r="AJG41" s="263"/>
      <c r="AJH41" s="263"/>
      <c r="AJI41" s="263"/>
      <c r="AJJ41" s="263"/>
      <c r="AJK41" s="263"/>
      <c r="AJL41" s="263"/>
      <c r="AJM41" s="263"/>
      <c r="AJN41" s="263"/>
      <c r="AJO41" s="263"/>
      <c r="AJP41" s="263"/>
      <c r="AJQ41" s="263"/>
      <c r="AJR41" s="263"/>
      <c r="AJS41" s="263"/>
      <c r="AJT41" s="263"/>
      <c r="AJU41" s="263"/>
      <c r="AJV41" s="263"/>
      <c r="AJW41" s="263"/>
      <c r="AJX41" s="263"/>
      <c r="AJY41" s="263"/>
      <c r="AJZ41" s="263"/>
      <c r="AKA41" s="263"/>
      <c r="AKB41" s="263"/>
      <c r="AKC41" s="263"/>
      <c r="AKD41" s="263"/>
      <c r="AKE41" s="263"/>
      <c r="AKF41" s="263"/>
      <c r="AKG41" s="263"/>
      <c r="AKH41" s="263"/>
      <c r="AKI41" s="263"/>
      <c r="AKJ41" s="263"/>
      <c r="AKK41" s="263"/>
      <c r="AKL41" s="263"/>
      <c r="AKM41" s="263"/>
      <c r="AKN41" s="263"/>
      <c r="AKO41" s="263"/>
      <c r="AKP41" s="263"/>
      <c r="AKQ41" s="263"/>
      <c r="AKR41" s="263"/>
      <c r="AKS41" s="263"/>
      <c r="AKT41" s="263"/>
      <c r="AKU41" s="263"/>
      <c r="AKV41" s="263"/>
      <c r="AKW41" s="263"/>
      <c r="AKX41" s="263"/>
      <c r="AKY41" s="263"/>
      <c r="AKZ41" s="263"/>
      <c r="ALA41" s="263"/>
      <c r="ALB41" s="263"/>
      <c r="ALC41" s="263"/>
      <c r="ALD41" s="263"/>
      <c r="ALE41" s="263"/>
      <c r="ALF41" s="263"/>
      <c r="ALG41" s="263"/>
      <c r="ALH41" s="263"/>
      <c r="ALI41" s="263"/>
      <c r="ALJ41" s="263"/>
      <c r="ALK41" s="263"/>
      <c r="ALL41" s="263"/>
      <c r="ALM41" s="263"/>
      <c r="ALN41" s="263"/>
      <c r="ALO41" s="263"/>
      <c r="ALP41" s="263"/>
      <c r="ALQ41" s="263"/>
      <c r="ALR41" s="263"/>
      <c r="ALS41" s="263"/>
    </row>
    <row r="42" spans="1:1007" ht="14.25" x14ac:dyDescent="0.2">
      <c r="A42" s="369" t="s">
        <v>467</v>
      </c>
    </row>
    <row r="43" spans="1:1007" x14ac:dyDescent="0.2">
      <c r="A43" s="379" t="s">
        <v>458</v>
      </c>
      <c r="B43" s="366"/>
      <c r="C43" s="366"/>
      <c r="D43" s="366"/>
      <c r="E43" s="383"/>
      <c r="F43" s="366"/>
      <c r="G43" s="366"/>
      <c r="H43" s="366"/>
    </row>
    <row r="44" spans="1:1007" x14ac:dyDescent="0.2">
      <c r="A44" s="379" t="s">
        <v>459</v>
      </c>
      <c r="B44" s="384"/>
      <c r="C44" s="384"/>
      <c r="D44" s="384"/>
      <c r="E44" s="366"/>
      <c r="F44" s="366"/>
      <c r="G44" s="366"/>
      <c r="H44" s="366"/>
    </row>
    <row r="45" spans="1:1007" x14ac:dyDescent="0.2">
      <c r="A45" s="379" t="s">
        <v>460</v>
      </c>
      <c r="B45" s="384"/>
      <c r="C45" s="384"/>
      <c r="D45" s="384"/>
      <c r="E45" s="366"/>
      <c r="F45" s="366"/>
      <c r="G45" s="366"/>
      <c r="H45" s="366"/>
    </row>
    <row r="46" spans="1:1007" x14ac:dyDescent="0.2">
      <c r="A46" s="370"/>
      <c r="B46" s="384"/>
      <c r="C46" s="384"/>
      <c r="D46" s="384"/>
      <c r="E46" s="366"/>
      <c r="F46" s="366"/>
      <c r="G46" s="366"/>
      <c r="H46" s="366"/>
    </row>
    <row r="47" spans="1:1007" x14ac:dyDescent="0.2">
      <c r="A47" s="370"/>
      <c r="B47" s="384"/>
      <c r="C47" s="384"/>
      <c r="D47" s="384"/>
      <c r="E47" s="366"/>
      <c r="F47" s="366"/>
      <c r="G47" s="366"/>
      <c r="H47" s="366"/>
    </row>
    <row r="48" spans="1:1007" x14ac:dyDescent="0.2">
      <c r="A48" s="370"/>
      <c r="B48" s="384"/>
      <c r="C48" s="384"/>
      <c r="D48" s="384"/>
      <c r="E48" s="366"/>
      <c r="F48" s="366"/>
      <c r="G48" s="366"/>
      <c r="H48" s="366"/>
    </row>
    <row r="49" spans="1:8" x14ac:dyDescent="0.2">
      <c r="A49" s="370"/>
      <c r="B49" s="384"/>
      <c r="C49" s="384"/>
      <c r="D49" s="384"/>
      <c r="E49" s="366"/>
      <c r="F49" s="366"/>
      <c r="G49" s="366"/>
      <c r="H49" s="366"/>
    </row>
    <row r="50" spans="1:8" x14ac:dyDescent="0.2">
      <c r="A50" s="370"/>
      <c r="B50" s="384"/>
      <c r="C50" s="384"/>
      <c r="D50" s="384"/>
      <c r="E50" s="366"/>
      <c r="F50" s="366"/>
      <c r="G50" s="366"/>
      <c r="H50" s="366"/>
    </row>
    <row r="51" spans="1:8" x14ac:dyDescent="0.2">
      <c r="A51" s="385"/>
      <c r="B51" s="366"/>
      <c r="C51" s="366"/>
      <c r="D51" s="366"/>
      <c r="E51" s="366"/>
      <c r="F51" s="366"/>
      <c r="G51" s="366"/>
      <c r="H51" s="366"/>
    </row>
    <row r="52" spans="1:8" x14ac:dyDescent="0.2">
      <c r="A52" s="366"/>
    </row>
  </sheetData>
  <phoneticPr fontId="51" type="noConversion"/>
  <pageMargins left="0.7" right="0.7" top="0.75" bottom="0.75" header="0.51180555555555496" footer="0.51180555555555496"/>
  <pageSetup paperSize="9" firstPageNumber="0" orientation="portrait" horizontalDpi="300" verticalDpi="300" r:id="rId1"/>
  <headerFooter>
    <oddHeader>&amp;L&amp;"Calibri"&amp;10&amp;K000000 Vertrouwelijk&amp;1#_x000D_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9BBE-1443-4238-8E48-C082A78AA296}">
  <dimension ref="A1:U6"/>
  <sheetViews>
    <sheetView workbookViewId="0">
      <selection activeCell="B4" sqref="B4"/>
    </sheetView>
  </sheetViews>
  <sheetFormatPr defaultRowHeight="12.75" x14ac:dyDescent="0.2"/>
  <cols>
    <col min="1" max="1" width="72.1640625" customWidth="1"/>
    <col min="2" max="25" width="15.83203125" customWidth="1"/>
  </cols>
  <sheetData>
    <row r="1" spans="1:21" ht="15.75" x14ac:dyDescent="0.25">
      <c r="A1" s="640" t="s">
        <v>437</v>
      </c>
    </row>
    <row r="2" spans="1:21" x14ac:dyDescent="0.2">
      <c r="C2" s="600">
        <f>Invoerblad!K88</f>
        <v>2021</v>
      </c>
      <c r="D2" s="600">
        <f>Invoerblad!L88</f>
        <v>2022</v>
      </c>
      <c r="E2" s="600">
        <f>Invoerblad!M88</f>
        <v>2023</v>
      </c>
      <c r="F2" s="600">
        <f>Invoerblad!N88</f>
        <v>2024</v>
      </c>
      <c r="G2" s="600">
        <f>Invoerblad!O88</f>
        <v>2025</v>
      </c>
      <c r="H2" s="600">
        <f>Invoerblad!P88</f>
        <v>2026</v>
      </c>
      <c r="I2" s="600">
        <f>Invoerblad!Q88</f>
        <v>2027</v>
      </c>
      <c r="J2" s="600">
        <f>Invoerblad!R88</f>
        <v>2028</v>
      </c>
      <c r="K2" s="600">
        <f>Invoerblad!S88</f>
        <v>2029</v>
      </c>
      <c r="L2" s="600">
        <f>Invoerblad!T88</f>
        <v>2030</v>
      </c>
      <c r="M2" s="600">
        <f>Invoerblad!U88</f>
        <v>2031</v>
      </c>
      <c r="N2" s="600">
        <f>Invoerblad!V88</f>
        <v>2032</v>
      </c>
      <c r="O2" s="600">
        <f>Invoerblad!W88</f>
        <v>2033</v>
      </c>
      <c r="P2" s="600">
        <f>Invoerblad!X88</f>
        <v>2034</v>
      </c>
      <c r="Q2" s="600">
        <f>Invoerblad!Y88</f>
        <v>2035</v>
      </c>
      <c r="R2" s="600">
        <f>Invoerblad!Z88</f>
        <v>2036</v>
      </c>
      <c r="S2" s="600">
        <f>Invoerblad!AA88</f>
        <v>2037</v>
      </c>
      <c r="T2" s="600">
        <f>Invoerblad!AB88</f>
        <v>2038</v>
      </c>
      <c r="U2" s="3"/>
    </row>
    <row r="3" spans="1:21" x14ac:dyDescent="0.2">
      <c r="A3" s="334" t="s">
        <v>438</v>
      </c>
      <c r="C3">
        <f>Invoerblad!K106</f>
        <v>17600</v>
      </c>
      <c r="D3" s="3">
        <f>Invoerblad!L106</f>
        <v>74000</v>
      </c>
      <c r="E3" s="3">
        <f>Invoerblad!M106</f>
        <v>86183.999999999985</v>
      </c>
      <c r="F3" s="3">
        <f>Invoerblad!N106</f>
        <v>85147.68</v>
      </c>
      <c r="G3" s="3">
        <f>Invoerblad!O106</f>
        <v>84090.633599999986</v>
      </c>
      <c r="H3" s="3">
        <f>Invoerblad!P106</f>
        <v>83012.446272000001</v>
      </c>
      <c r="I3" s="3">
        <f>Invoerblad!Q106</f>
        <v>81912.69519744</v>
      </c>
      <c r="J3" s="3">
        <f>Invoerblad!R106</f>
        <v>80790.949101388804</v>
      </c>
      <c r="K3" s="3">
        <f>Invoerblad!S106</f>
        <v>79646.768083416566</v>
      </c>
      <c r="L3" s="3">
        <f>Invoerblad!T106</f>
        <v>78479.703445084902</v>
      </c>
      <c r="M3" s="3">
        <f>Invoerblad!U106</f>
        <v>77289.297513986603</v>
      </c>
      <c r="N3" s="3">
        <f>Invoerblad!V106</f>
        <v>76075.083464266339</v>
      </c>
      <c r="O3" s="3">
        <f>Invoerblad!W106</f>
        <v>74836.585133551649</v>
      </c>
      <c r="P3" s="3">
        <f>Invoerblad!X106</f>
        <v>73573.316836222686</v>
      </c>
      <c r="Q3" s="3">
        <f>Invoerblad!Y106</f>
        <v>72284.783172947136</v>
      </c>
      <c r="R3" s="3">
        <f>Invoerblad!Z106</f>
        <v>56829.162219647384</v>
      </c>
      <c r="S3" s="3">
        <f>Invoerblad!AA106</f>
        <v>10605.987462569026</v>
      </c>
      <c r="T3" s="3">
        <f>Invoerblad!AB106</f>
        <v>0</v>
      </c>
    </row>
    <row r="4" spans="1:21" x14ac:dyDescent="0.2">
      <c r="A4" s="334" t="s">
        <v>439</v>
      </c>
      <c r="B4" s="600">
        <f>NPV(Invoerblad!E85,C3:T3)*'Hulpberekeningen 1'!P32</f>
        <v>1192359.091502521</v>
      </c>
    </row>
    <row r="5" spans="1:21" x14ac:dyDescent="0.2">
      <c r="A5" s="3"/>
    </row>
    <row r="6" spans="1:21" x14ac:dyDescent="0.2">
      <c r="A6" s="3" t="s">
        <v>440</v>
      </c>
      <c r="C6">
        <f>NPV(Invoerblad!$E$85,$C$3:C$3)*'Hulpberekeningen 1'!$P$32</f>
        <v>17600</v>
      </c>
      <c r="D6" s="3">
        <f>NPV(Invoerblad!$E$85,$C$3:D$3)*'Hulpberekeningen 1'!$P$32</f>
        <v>91600</v>
      </c>
      <c r="E6" s="3">
        <f>NPV(Invoerblad!$E$85,$C$3:E$3)*'Hulpberekeningen 1'!$P$32</f>
        <v>177784</v>
      </c>
      <c r="F6" s="3">
        <f>NPV(Invoerblad!$E$85,$C$3:F$3)*'Hulpberekeningen 1'!$P$32</f>
        <v>262931.68</v>
      </c>
      <c r="G6" s="3">
        <f>NPV(Invoerblad!$E$85,$C$3:G$3)*'Hulpberekeningen 1'!$P$32</f>
        <v>347022.31359999999</v>
      </c>
      <c r="H6" s="3">
        <f>NPV(Invoerblad!$E$85,$C$3:H$3)*'Hulpberekeningen 1'!$P$32</f>
        <v>430034.75987199997</v>
      </c>
      <c r="I6" s="3">
        <f>NPV(Invoerblad!$E$85,$C$3:I$3)*'Hulpberekeningen 1'!$P$32</f>
        <v>511947.45506943995</v>
      </c>
      <c r="J6" s="3">
        <f>NPV(Invoerblad!$E$85,$C$3:J$3)*'Hulpberekeningen 1'!$P$32</f>
        <v>592738.40417082876</v>
      </c>
      <c r="K6" s="3">
        <f>NPV(Invoerblad!$E$85,$C$3:K$3)*'Hulpberekeningen 1'!$P$32</f>
        <v>672385.17225424526</v>
      </c>
      <c r="L6" s="3">
        <f>NPV(Invoerblad!$E$85,$C$3:L$3)*'Hulpberekeningen 1'!$P$32</f>
        <v>750864.87569933012</v>
      </c>
      <c r="M6" s="3">
        <f>NPV(Invoerblad!$E$85,$C$3:M$3)*'Hulpberekeningen 1'!$P$32</f>
        <v>828154.17321331671</v>
      </c>
      <c r="N6" s="3">
        <f>NPV(Invoerblad!$E$85,$C$3:N$3)*'Hulpberekeningen 1'!$P$32</f>
        <v>904229.25667758309</v>
      </c>
      <c r="O6" s="3">
        <f>NPV(Invoerblad!$E$85,$C$3:O$3)*'Hulpberekeningen 1'!$P$32</f>
        <v>979065.84181113471</v>
      </c>
      <c r="P6" s="3">
        <f>NPV(Invoerblad!$E$85,$C$3:P$3)*'Hulpberekeningen 1'!$P$32</f>
        <v>1052639.1586473575</v>
      </c>
      <c r="Q6" s="3">
        <f>NPV(Invoerblad!$E$85,$C$3:Q$3)*'Hulpberekeningen 1'!$P$32</f>
        <v>1124923.9418203046</v>
      </c>
      <c r="R6" s="3">
        <f>NPV(Invoerblad!$E$85,$C$3:R$3)*'Hulpberekeningen 1'!$P$32</f>
        <v>1181753.1040399519</v>
      </c>
      <c r="S6" s="3">
        <f>NPV(Invoerblad!$E$85,$C$3:S$3)*'Hulpberekeningen 1'!$P$32</f>
        <v>1192359.091502521</v>
      </c>
      <c r="T6" s="3">
        <f>NPV(Invoerblad!$E$85,$C$3:T$3)*'Hulpberekeningen 1'!$P$32</f>
        <v>1192359.091502521</v>
      </c>
    </row>
  </sheetData>
  <pageMargins left="0.7" right="0.7" top="0.75" bottom="0.75" header="0.3" footer="0.3"/>
  <pageSetup paperSize="9" orientation="portrait" r:id="rId1"/>
  <ignoredErrors>
    <ignoredError sqref="B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60"/>
  <sheetViews>
    <sheetView zoomScaleNormal="100" workbookViewId="0">
      <selection activeCell="C34" sqref="C34"/>
    </sheetView>
  </sheetViews>
  <sheetFormatPr defaultRowHeight="12.75" x14ac:dyDescent="0.2"/>
  <cols>
    <col min="1" max="1" width="43" customWidth="1"/>
    <col min="2" max="19" width="15.83203125" customWidth="1"/>
    <col min="20" max="1025" width="8.6640625" customWidth="1"/>
  </cols>
  <sheetData>
    <row r="1" spans="1:20" ht="13.5" thickBot="1" x14ac:dyDescent="0.25">
      <c r="A1" s="571" t="s">
        <v>200</v>
      </c>
      <c r="B1" s="163"/>
      <c r="C1" s="163"/>
      <c r="D1" s="163"/>
      <c r="E1" s="163"/>
      <c r="F1" s="163"/>
      <c r="G1" s="163"/>
      <c r="H1" s="163"/>
      <c r="I1" s="163"/>
      <c r="J1" s="163"/>
      <c r="K1" s="163"/>
      <c r="L1" s="163"/>
      <c r="M1" s="27"/>
      <c r="N1" s="27"/>
      <c r="O1" s="27"/>
      <c r="P1" s="27"/>
      <c r="Q1" s="27"/>
      <c r="R1" s="343"/>
      <c r="S1" s="343"/>
    </row>
    <row r="2" spans="1:20" ht="13.5" customHeight="1" thickBot="1" x14ac:dyDescent="0.25">
      <c r="A2" s="276" t="s">
        <v>201</v>
      </c>
      <c r="B2" s="277"/>
      <c r="C2" s="278">
        <f>SUM(C3:C5)</f>
        <v>0</v>
      </c>
      <c r="D2" s="279"/>
      <c r="E2" s="279"/>
      <c r="F2" s="279"/>
      <c r="G2" s="279"/>
      <c r="H2" s="279"/>
      <c r="I2" s="279"/>
      <c r="J2" s="279"/>
      <c r="K2" s="279"/>
      <c r="L2" s="279"/>
      <c r="M2" s="279"/>
      <c r="N2" s="279"/>
      <c r="O2" s="279"/>
      <c r="P2" s="279"/>
      <c r="Q2" s="279"/>
      <c r="R2" s="618"/>
      <c r="S2" s="619"/>
      <c r="T2" s="334"/>
    </row>
    <row r="3" spans="1:20" ht="13.5" thickTop="1" x14ac:dyDescent="0.2">
      <c r="A3" s="280" t="s">
        <v>202</v>
      </c>
      <c r="B3" s="281">
        <f>+Invoerblad!E75</f>
        <v>0.2</v>
      </c>
      <c r="C3" s="282">
        <f>B3*Invoerblad!$E$74</f>
        <v>0</v>
      </c>
      <c r="D3" s="283"/>
      <c r="E3" s="283"/>
      <c r="F3" s="283"/>
      <c r="G3" s="283"/>
      <c r="H3" s="283"/>
      <c r="I3" s="283"/>
      <c r="J3" s="283"/>
      <c r="K3" s="283"/>
      <c r="L3" s="283"/>
      <c r="M3" s="283"/>
      <c r="N3" s="283"/>
      <c r="O3" s="283"/>
      <c r="P3" s="283"/>
      <c r="Q3" s="283"/>
      <c r="R3" s="620"/>
      <c r="S3" s="621"/>
      <c r="T3" s="334"/>
    </row>
    <row r="4" spans="1:20" ht="12.75" customHeight="1" x14ac:dyDescent="0.2">
      <c r="A4" s="284"/>
      <c r="B4" s="281"/>
      <c r="C4" s="282"/>
      <c r="D4" s="285"/>
      <c r="E4" s="283"/>
      <c r="F4" s="283"/>
      <c r="G4" s="283"/>
      <c r="H4" s="283"/>
      <c r="I4" s="283"/>
      <c r="J4" s="283"/>
      <c r="K4" s="283"/>
      <c r="L4" s="283"/>
      <c r="M4" s="283"/>
      <c r="N4" s="283"/>
      <c r="O4" s="283"/>
      <c r="P4" s="283"/>
      <c r="Q4" s="283"/>
      <c r="R4" s="620"/>
      <c r="S4" s="621"/>
      <c r="T4" s="334"/>
    </row>
    <row r="5" spans="1:20" x14ac:dyDescent="0.2">
      <c r="A5" s="280" t="s">
        <v>203</v>
      </c>
      <c r="B5" s="281">
        <f>+Invoerblad!E76</f>
        <v>0.8</v>
      </c>
      <c r="C5" s="282">
        <f>B5*Invoerblad!$E$74</f>
        <v>0</v>
      </c>
      <c r="D5" s="283"/>
      <c r="E5" s="283"/>
      <c r="F5" s="283"/>
      <c r="G5" s="283"/>
      <c r="H5" s="283"/>
      <c r="I5" s="283"/>
      <c r="J5" s="283"/>
      <c r="K5" s="283"/>
      <c r="L5" s="283"/>
      <c r="M5" s="283"/>
      <c r="N5" s="283"/>
      <c r="O5" s="283"/>
      <c r="P5" s="283"/>
      <c r="Q5" s="283"/>
      <c r="R5" s="620"/>
      <c r="S5" s="621"/>
      <c r="T5" s="334"/>
    </row>
    <row r="6" spans="1:20" x14ac:dyDescent="0.2">
      <c r="A6" s="607"/>
      <c r="B6" s="185"/>
      <c r="C6" s="425"/>
      <c r="D6" s="425"/>
      <c r="E6" s="425"/>
      <c r="F6" s="425"/>
      <c r="G6" s="425"/>
      <c r="H6" s="425"/>
      <c r="I6" s="425"/>
      <c r="J6" s="425"/>
      <c r="K6" s="425"/>
      <c r="L6" s="425"/>
      <c r="M6" s="425"/>
      <c r="N6" s="425"/>
      <c r="O6" s="425"/>
      <c r="P6" s="425"/>
      <c r="Q6" s="425"/>
      <c r="R6" s="620"/>
      <c r="S6" s="621"/>
      <c r="T6" s="334"/>
    </row>
    <row r="7" spans="1:20" x14ac:dyDescent="0.2">
      <c r="A7" s="280" t="s">
        <v>204</v>
      </c>
      <c r="B7" s="287">
        <f>+Invoerblad!E84</f>
        <v>15</v>
      </c>
      <c r="C7" s="287"/>
      <c r="D7" s="288"/>
      <c r="E7" s="283"/>
      <c r="F7" s="283"/>
      <c r="G7" s="283"/>
      <c r="H7" s="283"/>
      <c r="I7" s="283"/>
      <c r="J7" s="283"/>
      <c r="K7" s="283"/>
      <c r="L7" s="283"/>
      <c r="M7" s="283"/>
      <c r="N7" s="283"/>
      <c r="O7" s="283"/>
      <c r="P7" s="283"/>
      <c r="Q7" s="283"/>
      <c r="R7" s="620"/>
      <c r="S7" s="621"/>
      <c r="T7" s="334"/>
    </row>
    <row r="8" spans="1:20" x14ac:dyDescent="0.2">
      <c r="A8" s="280" t="s">
        <v>280</v>
      </c>
      <c r="B8" s="380">
        <f>Invoerblad!E83</f>
        <v>0.12</v>
      </c>
      <c r="C8" s="287"/>
      <c r="D8" s="283"/>
      <c r="E8" s="283"/>
      <c r="F8" s="283"/>
      <c r="G8" s="283"/>
      <c r="H8" s="283"/>
      <c r="I8" s="283"/>
      <c r="J8" s="283"/>
      <c r="K8" s="283"/>
      <c r="L8" s="283"/>
      <c r="M8" s="283"/>
      <c r="N8" s="283"/>
      <c r="O8" s="283"/>
      <c r="P8" s="283"/>
      <c r="Q8" s="283"/>
      <c r="R8" s="620"/>
      <c r="S8" s="621"/>
      <c r="T8" s="334"/>
    </row>
    <row r="9" spans="1:20" x14ac:dyDescent="0.2">
      <c r="A9" s="280" t="s">
        <v>205</v>
      </c>
      <c r="B9" s="381">
        <f>+Invoerblad!E82</f>
        <v>0.02</v>
      </c>
      <c r="C9" s="287"/>
      <c r="D9" s="289"/>
      <c r="E9" s="283"/>
      <c r="F9" s="283"/>
      <c r="G9" s="283"/>
      <c r="H9" s="283"/>
      <c r="I9" s="283"/>
      <c r="J9" s="283"/>
      <c r="K9" s="283"/>
      <c r="L9" s="283"/>
      <c r="M9" s="283"/>
      <c r="N9" s="283"/>
      <c r="O9" s="283"/>
      <c r="P9" s="283"/>
      <c r="Q9" s="283"/>
      <c r="R9" s="620"/>
      <c r="S9" s="621"/>
      <c r="T9" s="334"/>
    </row>
    <row r="10" spans="1:20" x14ac:dyDescent="0.2">
      <c r="A10" s="280"/>
      <c r="B10" s="283"/>
      <c r="C10" s="283"/>
      <c r="D10" s="283"/>
      <c r="E10" s="283"/>
      <c r="F10" s="283"/>
      <c r="G10" s="283"/>
      <c r="H10" s="283"/>
      <c r="I10" s="283"/>
      <c r="J10" s="283"/>
      <c r="K10" s="283"/>
      <c r="L10" s="283"/>
      <c r="M10" s="283"/>
      <c r="N10" s="283"/>
      <c r="O10" s="283"/>
      <c r="P10" s="283"/>
      <c r="Q10" s="283"/>
      <c r="R10" s="620"/>
      <c r="S10" s="621"/>
      <c r="T10" s="334"/>
    </row>
    <row r="11" spans="1:20" x14ac:dyDescent="0.2">
      <c r="A11" s="280" t="s">
        <v>206</v>
      </c>
      <c r="B11" s="290"/>
      <c r="C11" s="290">
        <v>1</v>
      </c>
      <c r="D11" s="290">
        <v>2</v>
      </c>
      <c r="E11" s="290">
        <v>3</v>
      </c>
      <c r="F11" s="290">
        <v>4</v>
      </c>
      <c r="G11" s="290">
        <v>5</v>
      </c>
      <c r="H11" s="290">
        <v>6</v>
      </c>
      <c r="I11" s="290">
        <v>7</v>
      </c>
      <c r="J11" s="290">
        <v>8</v>
      </c>
      <c r="K11" s="290">
        <v>9</v>
      </c>
      <c r="L11" s="290">
        <v>10</v>
      </c>
      <c r="M11" s="290">
        <v>11</v>
      </c>
      <c r="N11" s="290">
        <v>12</v>
      </c>
      <c r="O11" s="290">
        <v>13</v>
      </c>
      <c r="P11" s="290">
        <v>14</v>
      </c>
      <c r="Q11" s="290">
        <v>15</v>
      </c>
      <c r="R11" s="570">
        <v>16</v>
      </c>
      <c r="S11" s="572">
        <v>17</v>
      </c>
      <c r="T11" s="334"/>
    </row>
    <row r="12" spans="1:20" s="3" customFormat="1" x14ac:dyDescent="0.2">
      <c r="A12" s="280"/>
      <c r="B12" s="425"/>
      <c r="C12" s="608">
        <f>Invoerblad!K57</f>
        <v>2021</v>
      </c>
      <c r="D12" s="608">
        <f>Invoerblad!L57</f>
        <v>2022</v>
      </c>
      <c r="E12" s="608">
        <f>Invoerblad!M57</f>
        <v>2023</v>
      </c>
      <c r="F12" s="608">
        <f>Invoerblad!N57</f>
        <v>2024</v>
      </c>
      <c r="G12" s="608">
        <f>Invoerblad!O57</f>
        <v>2025</v>
      </c>
      <c r="H12" s="608">
        <f>Invoerblad!P57</f>
        <v>2026</v>
      </c>
      <c r="I12" s="608">
        <f>Invoerblad!Q57</f>
        <v>2027</v>
      </c>
      <c r="J12" s="608">
        <f>Invoerblad!R57</f>
        <v>2028</v>
      </c>
      <c r="K12" s="608">
        <f>Invoerblad!S57</f>
        <v>2029</v>
      </c>
      <c r="L12" s="608">
        <f>Invoerblad!T57</f>
        <v>2030</v>
      </c>
      <c r="M12" s="608">
        <f>Invoerblad!U57</f>
        <v>2031</v>
      </c>
      <c r="N12" s="608">
        <f>Invoerblad!V57</f>
        <v>2032</v>
      </c>
      <c r="O12" s="608">
        <f>Invoerblad!W57</f>
        <v>2033</v>
      </c>
      <c r="P12" s="608">
        <f>Invoerblad!X57</f>
        <v>2034</v>
      </c>
      <c r="Q12" s="608">
        <f>Invoerblad!Y57</f>
        <v>2035</v>
      </c>
      <c r="R12" s="608">
        <f>Invoerblad!Z57</f>
        <v>2036</v>
      </c>
      <c r="S12" s="622">
        <f>Invoerblad!AA57</f>
        <v>2037</v>
      </c>
      <c r="T12" s="334"/>
    </row>
    <row r="13" spans="1:20" x14ac:dyDescent="0.2">
      <c r="A13" s="280" t="s">
        <v>207</v>
      </c>
      <c r="B13" s="288">
        <f>C5</f>
        <v>0</v>
      </c>
      <c r="C13" s="288">
        <f>IF(YEAR(Invoerblad!$E$32)&gt;C12,0,
IF(B13-($C$5/$B$7)&gt;0,B13-($C$5/$B$7),0))</f>
        <v>0</v>
      </c>
      <c r="D13" s="288" t="b">
        <f>IF(YEAR(Invoerblad!$E$32)&gt;D12,0,
IF(AND(YEAR(Invoerblad!$E$32)=D12,B13-($C$5/$B$7)&gt;0),B13-($C$5/$B$7),
IF(AND(YEAR(Invoerblad!$E$32)=D12,B13-($C$5/$B$7)=0),0,
IF(C13-($C$5/$B$7)&gt;0,C13-($C$5/$B$7)))))</f>
        <v>0</v>
      </c>
      <c r="E13" s="288" t="b">
        <f>IF(AND(YEAR(Invoerblad!$E$32)=E12,B13-($C$5/$B$7)&gt;0),B13-($C$5/$B$7),
IF(AND(YEAR(Invoerblad!$E$32)=E12,B13-($C$5/$B$7)=0),0,
IF(D13-($C$5/$B$7)&gt;0,D13-($C$5/$B$7))))</f>
        <v>0</v>
      </c>
      <c r="F13" s="288">
        <f t="shared" ref="F13:S13" si="0">+IF(E13-($C$5/$B$7)&gt;0,E13-($C$5/$B$7),0)</f>
        <v>0</v>
      </c>
      <c r="G13" s="288">
        <f t="shared" si="0"/>
        <v>0</v>
      </c>
      <c r="H13" s="288">
        <f t="shared" si="0"/>
        <v>0</v>
      </c>
      <c r="I13" s="288">
        <f t="shared" si="0"/>
        <v>0</v>
      </c>
      <c r="J13" s="288">
        <f t="shared" si="0"/>
        <v>0</v>
      </c>
      <c r="K13" s="288">
        <f t="shared" si="0"/>
        <v>0</v>
      </c>
      <c r="L13" s="288">
        <f t="shared" si="0"/>
        <v>0</v>
      </c>
      <c r="M13" s="288">
        <f t="shared" si="0"/>
        <v>0</v>
      </c>
      <c r="N13" s="288">
        <f t="shared" si="0"/>
        <v>0</v>
      </c>
      <c r="O13" s="288">
        <f t="shared" si="0"/>
        <v>0</v>
      </c>
      <c r="P13" s="288">
        <f t="shared" si="0"/>
        <v>0</v>
      </c>
      <c r="Q13" s="288">
        <f t="shared" si="0"/>
        <v>0</v>
      </c>
      <c r="R13" s="288">
        <f t="shared" si="0"/>
        <v>0</v>
      </c>
      <c r="S13" s="623">
        <f t="shared" si="0"/>
        <v>0</v>
      </c>
      <c r="T13" s="334"/>
    </row>
    <row r="14" spans="1:20" x14ac:dyDescent="0.2">
      <c r="A14" s="280" t="s">
        <v>208</v>
      </c>
      <c r="B14" s="288">
        <f>$C$3</f>
        <v>0</v>
      </c>
      <c r="C14" s="288">
        <f>IF(YEAR(Invoerblad!$E$32)&gt;C12,0,
IF(B14-($C$3/$B$7)&gt;0,B14-($C$3/$B$7),0))</f>
        <v>0</v>
      </c>
      <c r="D14" s="288">
        <f>IF(YEAR(Invoerblad!$E$32)&gt;D12,0,
IF(AND(YEAR(Invoerblad!$E$32)=D12,B14-($C$3/$B$7)&gt;0),B14-($C$3/$B$7),
IF(AND(YEAR(Invoerblad!$E$32)=D12,B14-($C$3/$B$7)=0),0,
IF(C14-($C$3/$B$7)&gt;0,C14-($C$3/$B$7),0))))</f>
        <v>0</v>
      </c>
      <c r="E14" s="288">
        <f>IF(AND(YEAR(Invoerblad!$E$32)=E12,B14-($C$3/$B$7)&gt;0),B14-($C$3/$B$7),
IF(AND(YEAR(Invoerblad!$E$32)=E12,B14-($C$3/$B$7)=0),0,
IF(D14-($C$3/$B$7)&gt;0,D14-($C$3/$B$7),0)))</f>
        <v>0</v>
      </c>
      <c r="F14" s="288">
        <f t="shared" ref="F14:S14" si="1">+IF(E14-($C$3/$B$7)&gt;0,E14-($C$3/$B$7),0)</f>
        <v>0</v>
      </c>
      <c r="G14" s="288">
        <f t="shared" si="1"/>
        <v>0</v>
      </c>
      <c r="H14" s="288">
        <f t="shared" si="1"/>
        <v>0</v>
      </c>
      <c r="I14" s="288">
        <f t="shared" si="1"/>
        <v>0</v>
      </c>
      <c r="J14" s="288">
        <f t="shared" si="1"/>
        <v>0</v>
      </c>
      <c r="K14" s="288">
        <f t="shared" si="1"/>
        <v>0</v>
      </c>
      <c r="L14" s="288">
        <f t="shared" si="1"/>
        <v>0</v>
      </c>
      <c r="M14" s="288">
        <f t="shared" si="1"/>
        <v>0</v>
      </c>
      <c r="N14" s="288">
        <f t="shared" si="1"/>
        <v>0</v>
      </c>
      <c r="O14" s="288">
        <f t="shared" si="1"/>
        <v>0</v>
      </c>
      <c r="P14" s="288">
        <f t="shared" si="1"/>
        <v>0</v>
      </c>
      <c r="Q14" s="288">
        <f t="shared" si="1"/>
        <v>0</v>
      </c>
      <c r="R14" s="288">
        <f t="shared" si="1"/>
        <v>0</v>
      </c>
      <c r="S14" s="623">
        <f t="shared" si="1"/>
        <v>0</v>
      </c>
      <c r="T14" s="334"/>
    </row>
    <row r="15" spans="1:20" x14ac:dyDescent="0.2">
      <c r="A15" s="280" t="s">
        <v>209</v>
      </c>
      <c r="B15" s="283"/>
      <c r="C15" s="282">
        <f>IF(YEAR(Invoerblad!$E$32)&gt;C12,0,$B$9*B13)</f>
        <v>0</v>
      </c>
      <c r="D15" s="282">
        <f>IF(YEAR(Invoerblad!$E$32)&gt;D12,0,
IF(YEAR(Invoerblad!$E$32)=D12,$B$9*B13,$B$9*C13))</f>
        <v>0</v>
      </c>
      <c r="E15" s="282">
        <f>IF(YEAR(Invoerblad!$E$32)=E12,$B$9*B13,$B$9*D13)</f>
        <v>0</v>
      </c>
      <c r="F15" s="282">
        <f t="shared" ref="F15:Q15" si="2">$B$9*E13</f>
        <v>0</v>
      </c>
      <c r="G15" s="282">
        <f t="shared" si="2"/>
        <v>0</v>
      </c>
      <c r="H15" s="282">
        <f t="shared" si="2"/>
        <v>0</v>
      </c>
      <c r="I15" s="282">
        <f t="shared" si="2"/>
        <v>0</v>
      </c>
      <c r="J15" s="282">
        <f t="shared" si="2"/>
        <v>0</v>
      </c>
      <c r="K15" s="282">
        <f t="shared" si="2"/>
        <v>0</v>
      </c>
      <c r="L15" s="282">
        <f t="shared" si="2"/>
        <v>0</v>
      </c>
      <c r="M15" s="288">
        <f t="shared" si="2"/>
        <v>0</v>
      </c>
      <c r="N15" s="282">
        <f t="shared" si="2"/>
        <v>0</v>
      </c>
      <c r="O15" s="282">
        <f t="shared" si="2"/>
        <v>0</v>
      </c>
      <c r="P15" s="282">
        <f t="shared" si="2"/>
        <v>0</v>
      </c>
      <c r="Q15" s="282">
        <f t="shared" si="2"/>
        <v>0</v>
      </c>
      <c r="R15" s="282">
        <f t="shared" ref="R15" si="3">$B$9*Q13</f>
        <v>0</v>
      </c>
      <c r="S15" s="573">
        <f t="shared" ref="S15" si="4">$B$9*R13</f>
        <v>0</v>
      </c>
      <c r="T15" s="334"/>
    </row>
    <row r="16" spans="1:20" x14ac:dyDescent="0.2">
      <c r="A16" s="280" t="s">
        <v>210</v>
      </c>
      <c r="B16" s="283"/>
      <c r="C16" s="282">
        <f>IF(YEAR(Invoerblad!$E$32)&gt;C12,0,$B$8*B14)</f>
        <v>0</v>
      </c>
      <c r="D16" s="282">
        <f>IF(YEAR(Invoerblad!$E$32)&gt;D12,0,
IF(YEAR(Invoerblad!$E$32)=D12,$B$8*B14,$B$8*C14))</f>
        <v>0</v>
      </c>
      <c r="E16" s="282">
        <f>IF(YEAR(Invoerblad!$E$32)=E12,$B$8*B14,$B$8*D14)</f>
        <v>0</v>
      </c>
      <c r="F16" s="282">
        <f t="shared" ref="F16:Q16" si="5">$B$8*E14</f>
        <v>0</v>
      </c>
      <c r="G16" s="282">
        <f t="shared" si="5"/>
        <v>0</v>
      </c>
      <c r="H16" s="282">
        <f t="shared" si="5"/>
        <v>0</v>
      </c>
      <c r="I16" s="282">
        <f t="shared" si="5"/>
        <v>0</v>
      </c>
      <c r="J16" s="282">
        <f t="shared" si="5"/>
        <v>0</v>
      </c>
      <c r="K16" s="282">
        <f t="shared" si="5"/>
        <v>0</v>
      </c>
      <c r="L16" s="282">
        <f t="shared" si="5"/>
        <v>0</v>
      </c>
      <c r="M16" s="282">
        <f t="shared" si="5"/>
        <v>0</v>
      </c>
      <c r="N16" s="282">
        <f t="shared" si="5"/>
        <v>0</v>
      </c>
      <c r="O16" s="282">
        <f t="shared" si="5"/>
        <v>0</v>
      </c>
      <c r="P16" s="282">
        <f t="shared" si="5"/>
        <v>0</v>
      </c>
      <c r="Q16" s="282">
        <f t="shared" si="5"/>
        <v>0</v>
      </c>
      <c r="R16" s="282">
        <f t="shared" ref="R16" si="6">$B$8*Q14</f>
        <v>0</v>
      </c>
      <c r="S16" s="573">
        <f t="shared" ref="S16" si="7">$B$8*R14</f>
        <v>0</v>
      </c>
      <c r="T16" s="334"/>
    </row>
    <row r="17" spans="1:27" x14ac:dyDescent="0.2">
      <c r="A17" s="280"/>
      <c r="B17" s="283"/>
      <c r="C17" s="283"/>
      <c r="D17" s="283"/>
      <c r="E17" s="283"/>
      <c r="F17" s="283"/>
      <c r="G17" s="283"/>
      <c r="H17" s="283"/>
      <c r="I17" s="283"/>
      <c r="J17" s="283"/>
      <c r="K17" s="283"/>
      <c r="L17" s="283"/>
      <c r="M17" s="283"/>
      <c r="N17" s="283"/>
      <c r="O17" s="283"/>
      <c r="P17" s="283"/>
      <c r="Q17" s="283"/>
      <c r="R17" s="620"/>
      <c r="S17" s="621"/>
      <c r="T17" s="334"/>
    </row>
    <row r="18" spans="1:27" x14ac:dyDescent="0.2">
      <c r="A18" s="609" t="s">
        <v>381</v>
      </c>
      <c r="B18" s="291"/>
      <c r="C18" s="290"/>
      <c r="D18" s="283"/>
      <c r="E18" s="283"/>
      <c r="F18" s="283"/>
      <c r="G18" s="283"/>
      <c r="H18" s="283"/>
      <c r="I18" s="283"/>
      <c r="J18" s="283"/>
      <c r="K18" s="283"/>
      <c r="L18" s="283"/>
      <c r="M18" s="283"/>
      <c r="N18" s="283"/>
      <c r="O18" s="283"/>
      <c r="P18" s="283"/>
      <c r="Q18" s="283"/>
      <c r="R18" s="620"/>
      <c r="S18" s="621"/>
      <c r="T18" s="334"/>
    </row>
    <row r="19" spans="1:27" x14ac:dyDescent="0.2">
      <c r="A19" s="280" t="s">
        <v>212</v>
      </c>
      <c r="B19" s="282">
        <f>NPV(+Invoerblad!E85,C15:S15)*'Hulpberekeningen 1'!P32</f>
        <v>0</v>
      </c>
      <c r="C19" s="282"/>
      <c r="D19" s="283"/>
      <c r="E19" s="283"/>
      <c r="F19" s="283"/>
      <c r="G19" s="283"/>
      <c r="H19" s="283"/>
      <c r="I19" s="283"/>
      <c r="J19" s="283"/>
      <c r="K19" s="283"/>
      <c r="L19" s="283"/>
      <c r="M19" s="283"/>
      <c r="N19" s="283"/>
      <c r="O19" s="283"/>
      <c r="P19" s="283"/>
      <c r="Q19" s="283"/>
      <c r="R19" s="620"/>
      <c r="S19" s="621"/>
      <c r="T19" s="334"/>
    </row>
    <row r="20" spans="1:27" x14ac:dyDescent="0.2">
      <c r="A20" s="280" t="s">
        <v>210</v>
      </c>
      <c r="B20" s="282">
        <f>NPV(+Invoerblad!E85,C16:S16)*'Hulpberekeningen 1'!P32</f>
        <v>0</v>
      </c>
      <c r="C20" s="282"/>
      <c r="D20" s="283"/>
      <c r="E20" s="283"/>
      <c r="F20" s="283"/>
      <c r="G20" s="283"/>
      <c r="H20" s="283"/>
      <c r="I20" s="283"/>
      <c r="J20" s="283"/>
      <c r="K20" s="283"/>
      <c r="L20" s="283"/>
      <c r="M20" s="283"/>
      <c r="N20" s="283"/>
      <c r="O20" s="283"/>
      <c r="P20" s="283"/>
      <c r="Q20" s="283"/>
      <c r="R20" s="620"/>
      <c r="S20" s="621"/>
      <c r="T20" s="334"/>
    </row>
    <row r="21" spans="1:27" s="27" customFormat="1" ht="13.5" thickBot="1" x14ac:dyDescent="0.25">
      <c r="A21" s="292" t="s">
        <v>166</v>
      </c>
      <c r="B21" s="580">
        <f>SUM(B19:B20)</f>
        <v>0</v>
      </c>
      <c r="C21" s="293"/>
      <c r="D21" s="294"/>
      <c r="E21" s="294"/>
      <c r="F21" s="294"/>
      <c r="G21" s="294"/>
      <c r="H21" s="294"/>
      <c r="I21" s="294"/>
      <c r="J21" s="294"/>
      <c r="K21" s="294"/>
      <c r="L21" s="294"/>
      <c r="M21" s="294"/>
      <c r="N21" s="402"/>
      <c r="O21" s="402"/>
      <c r="P21" s="402"/>
      <c r="Q21" s="402"/>
      <c r="R21" s="624"/>
      <c r="S21" s="625"/>
      <c r="T21" s="425"/>
    </row>
    <row r="22" spans="1:27" s="27" customFormat="1" x14ac:dyDescent="0.2">
      <c r="A22" s="219"/>
      <c r="B22" s="219"/>
      <c r="C22" s="219"/>
      <c r="D22" s="219"/>
      <c r="E22" s="219"/>
      <c r="F22" s="219"/>
      <c r="G22" s="219"/>
      <c r="H22" s="219"/>
      <c r="I22" s="219"/>
      <c r="J22" s="219"/>
      <c r="K22" s="219"/>
      <c r="L22" s="219"/>
      <c r="M22" s="219"/>
      <c r="N22" s="219"/>
      <c r="O22" s="219"/>
      <c r="P22" s="219"/>
      <c r="Q22" s="219"/>
      <c r="R22" s="219"/>
      <c r="S22" s="219"/>
      <c r="T22" s="219"/>
      <c r="U22" s="77"/>
      <c r="V22" s="77"/>
      <c r="W22" s="77"/>
      <c r="X22" s="77"/>
      <c r="Y22" s="77"/>
      <c r="Z22" s="77"/>
      <c r="AA22" s="77"/>
    </row>
    <row r="23" spans="1:27" s="9" customFormat="1" ht="13.5" thickBot="1" x14ac:dyDescent="0.25">
      <c r="A23" s="216" t="s">
        <v>213</v>
      </c>
      <c r="B23" s="219"/>
      <c r="C23" s="219"/>
      <c r="D23" s="219"/>
      <c r="E23" s="219"/>
      <c r="F23" s="219"/>
      <c r="G23" s="219"/>
      <c r="H23" s="219"/>
      <c r="I23" s="219"/>
      <c r="J23" s="219"/>
      <c r="K23" s="219"/>
      <c r="L23" s="219"/>
      <c r="M23" s="219"/>
      <c r="N23" s="219"/>
      <c r="O23" s="219"/>
      <c r="P23" s="219"/>
      <c r="Q23" s="219"/>
      <c r="R23" s="219"/>
      <c r="S23" s="219"/>
      <c r="T23" s="219"/>
      <c r="U23" s="77"/>
      <c r="V23" s="77"/>
      <c r="W23" s="77"/>
      <c r="X23" s="77"/>
      <c r="Y23" s="77"/>
      <c r="Z23" s="77"/>
      <c r="AA23" s="77"/>
    </row>
    <row r="24" spans="1:27" s="9" customFormat="1" x14ac:dyDescent="0.2">
      <c r="A24" s="212" t="s">
        <v>214</v>
      </c>
      <c r="B24" s="213">
        <v>10</v>
      </c>
      <c r="C24" s="213"/>
      <c r="D24" s="213"/>
      <c r="E24" s="213"/>
      <c r="F24" s="213"/>
      <c r="G24" s="213"/>
      <c r="H24" s="213"/>
      <c r="I24" s="213"/>
      <c r="J24" s="213"/>
      <c r="K24" s="213"/>
      <c r="L24" s="213"/>
      <c r="M24" s="213"/>
      <c r="N24" s="213"/>
      <c r="O24" s="213"/>
      <c r="P24" s="213"/>
      <c r="Q24" s="213"/>
      <c r="R24" s="213"/>
      <c r="S24" s="214"/>
      <c r="T24" s="219"/>
      <c r="U24" s="77"/>
      <c r="V24" s="77"/>
      <c r="W24" s="77"/>
      <c r="X24" s="77"/>
      <c r="Y24" s="77"/>
      <c r="Z24" s="77"/>
      <c r="AA24" s="77"/>
    </row>
    <row r="25" spans="1:27" s="9" customFormat="1" x14ac:dyDescent="0.2">
      <c r="A25" s="218" t="s">
        <v>215</v>
      </c>
      <c r="B25" s="382">
        <f>Invoerblad!E80</f>
        <v>5.0000000000000001E-3</v>
      </c>
      <c r="C25" s="219"/>
      <c r="D25" s="219"/>
      <c r="E25" s="219"/>
      <c r="F25" s="219"/>
      <c r="G25" s="219"/>
      <c r="H25" s="219"/>
      <c r="I25" s="219"/>
      <c r="J25" s="219"/>
      <c r="K25" s="219"/>
      <c r="L25" s="219"/>
      <c r="M25" s="219"/>
      <c r="N25" s="219"/>
      <c r="O25" s="219"/>
      <c r="P25" s="219"/>
      <c r="Q25" s="219"/>
      <c r="R25" s="219"/>
      <c r="S25" s="626"/>
      <c r="T25" s="219"/>
      <c r="U25" s="77"/>
      <c r="V25" s="77"/>
      <c r="W25" s="77"/>
      <c r="X25" s="77"/>
      <c r="Y25" s="77"/>
      <c r="Z25" s="77"/>
      <c r="AA25" s="77"/>
    </row>
    <row r="26" spans="1:27" ht="25.5" x14ac:dyDescent="0.2">
      <c r="A26" s="581" t="s">
        <v>216</v>
      </c>
      <c r="B26" s="295">
        <f>+Invoerblad!E79</f>
        <v>0</v>
      </c>
      <c r="C26" s="288">
        <f>IF(YEAR(Invoerblad!$E$32)&gt;C12,0,IF(B26-(Invoerblad!$E$79/$B$24)&gt;0,B26-(Invoerblad!$E$79/$B$24),0))</f>
        <v>0</v>
      </c>
      <c r="D26" s="288">
        <f>IF(YEAR(Invoerblad!$E$32)&gt;D12,0,
IF(AND(YEAR(Invoerblad!$E$32)=D12,B26-(Invoerblad!$E$79/$B$24)&gt;0),B26-(Invoerblad!$E$79/$B$24),
IF(AND(YEAR(Invoerblad!$E$32)=D12,B26-(Invoerblad!$E$79/$B$24)=0),0,
IF(C26-(Invoerblad!$E$79/$B$24)&gt;0,C26-(Invoerblad!$E$79/$B$24),0))))</f>
        <v>0</v>
      </c>
      <c r="E26" s="288">
        <f>IF(AND(YEAR(Invoerblad!$E$32)=E12,B26-(Invoerblad!$E$79/$B$24)&gt;0),B26-(Invoerblad!$E$79/$B$24),
IF(AND(YEAR(Invoerblad!$E$32)=E12,B26-(Invoerblad!$E$79/$B$24)=0),0,
IF(D26-(Invoerblad!$E$79/$B$24)&gt;0,D26-(Invoerblad!$E$79/$B$24),0)))</f>
        <v>0</v>
      </c>
      <c r="F26" s="288">
        <f>+IF(E26-(Invoerblad!$E$79/$B$24)&gt;0,E26-(Invoerblad!$E$79/$B$24),0)</f>
        <v>0</v>
      </c>
      <c r="G26" s="288">
        <f>+IF(F26-(Invoerblad!$E$79/$B$24)&gt;0,F26-(Invoerblad!$E$79/$B$24),0)</f>
        <v>0</v>
      </c>
      <c r="H26" s="288">
        <f>+IF(G26-(Invoerblad!$E$79/$B$24)&gt;0,G26-(Invoerblad!$E$79/$B$24),0)</f>
        <v>0</v>
      </c>
      <c r="I26" s="288">
        <f>+IF(H26-(Invoerblad!$E$79/$B$24)&gt;0,H26-(Invoerblad!$E$79/$B$24),0)</f>
        <v>0</v>
      </c>
      <c r="J26" s="288">
        <f>+IF(I26-(Invoerblad!$E$79/$B$24)&gt;0,I26-(Invoerblad!$E$79/$B$24),0)</f>
        <v>0</v>
      </c>
      <c r="K26" s="288">
        <f>+IF(J26-(Invoerblad!$E$79/$B$24)&gt;0,J26-(Invoerblad!$E$79/$B$24),0)</f>
        <v>0</v>
      </c>
      <c r="L26" s="288">
        <f>+IF(K26-(Invoerblad!$E$79/$B$24)&gt;0,K26-(Invoerblad!$E$79/$B$24),0)</f>
        <v>0</v>
      </c>
      <c r="M26" s="288">
        <f>+IF(L26-(Invoerblad!$E$79/$B$24)&gt;0,L26-(Invoerblad!$E$79/$B$24),0)</f>
        <v>0</v>
      </c>
      <c r="N26" s="288">
        <f>+IF(M26-(Invoerblad!$E$79/$B$24)&gt;0,M26-(Invoerblad!$E$79/$B$24),0)</f>
        <v>0</v>
      </c>
      <c r="O26" s="610"/>
      <c r="P26" s="610"/>
      <c r="Q26" s="610"/>
      <c r="R26" s="219"/>
      <c r="S26" s="626"/>
      <c r="T26" s="219"/>
      <c r="U26" s="77"/>
      <c r="V26" s="77"/>
      <c r="W26" s="77"/>
      <c r="X26" s="77"/>
      <c r="Y26" s="77"/>
      <c r="Z26" s="77"/>
      <c r="AA26" s="77"/>
    </row>
    <row r="27" spans="1:27" x14ac:dyDescent="0.2">
      <c r="A27" s="218" t="s">
        <v>217</v>
      </c>
      <c r="B27" s="219"/>
      <c r="C27" s="575">
        <f>IF(YEAR(Invoerblad!$E$32)&gt;C12,0,B26*$B$25)</f>
        <v>0</v>
      </c>
      <c r="D27" s="575">
        <f>IF(YEAR(Invoerblad!$E$32)&gt;D12,0,
IF(YEAR(Invoerblad!$E$32)=D12,B26*$B$25,C26*B$25))</f>
        <v>0</v>
      </c>
      <c r="E27" s="575">
        <f>IF(YEAR(Invoerblad!$E$32)=E12,B26*$B$25,D26*$B$25)</f>
        <v>0</v>
      </c>
      <c r="F27" s="575">
        <f t="shared" ref="F27:N27" si="8">+E26*$B$25</f>
        <v>0</v>
      </c>
      <c r="G27" s="575">
        <f t="shared" si="8"/>
        <v>0</v>
      </c>
      <c r="H27" s="575">
        <f t="shared" si="8"/>
        <v>0</v>
      </c>
      <c r="I27" s="575">
        <f t="shared" si="8"/>
        <v>0</v>
      </c>
      <c r="J27" s="575">
        <f t="shared" si="8"/>
        <v>0</v>
      </c>
      <c r="K27" s="575">
        <f t="shared" si="8"/>
        <v>0</v>
      </c>
      <c r="L27" s="575">
        <f t="shared" si="8"/>
        <v>0</v>
      </c>
      <c r="M27" s="575">
        <f t="shared" si="8"/>
        <v>0</v>
      </c>
      <c r="N27" s="575">
        <f t="shared" si="8"/>
        <v>0</v>
      </c>
      <c r="O27" s="574"/>
      <c r="P27" s="574"/>
      <c r="Q27" s="574"/>
      <c r="R27" s="219"/>
      <c r="S27" s="626"/>
      <c r="T27" s="219"/>
      <c r="U27" s="77"/>
      <c r="V27" s="77"/>
      <c r="W27" s="77"/>
      <c r="X27" s="77"/>
      <c r="Y27" s="77"/>
      <c r="Z27" s="77"/>
      <c r="AA27" s="77"/>
    </row>
    <row r="28" spans="1:27" x14ac:dyDescent="0.2">
      <c r="A28" s="218"/>
      <c r="B28" s="219"/>
      <c r="C28" s="295"/>
      <c r="D28" s="295"/>
      <c r="E28" s="295"/>
      <c r="F28" s="295"/>
      <c r="G28" s="295"/>
      <c r="H28" s="295"/>
      <c r="I28" s="295"/>
      <c r="J28" s="295"/>
      <c r="K28" s="295"/>
      <c r="L28" s="295"/>
      <c r="M28" s="295"/>
      <c r="N28" s="295"/>
      <c r="O28" s="295"/>
      <c r="P28" s="295"/>
      <c r="Q28" s="295"/>
      <c r="R28" s="219"/>
      <c r="S28" s="626"/>
      <c r="T28" s="219"/>
      <c r="U28" s="77"/>
      <c r="V28" s="77"/>
      <c r="W28" s="77"/>
      <c r="X28" s="77"/>
      <c r="Y28" s="77"/>
      <c r="Z28" s="77"/>
      <c r="AA28" s="77"/>
    </row>
    <row r="29" spans="1:27" x14ac:dyDescent="0.2">
      <c r="A29" s="218"/>
      <c r="B29" s="291"/>
      <c r="C29" s="219"/>
      <c r="D29" s="219"/>
      <c r="E29" s="219"/>
      <c r="F29" s="219"/>
      <c r="G29" s="219"/>
      <c r="H29" s="219"/>
      <c r="I29" s="219"/>
      <c r="J29" s="219"/>
      <c r="K29" s="219"/>
      <c r="L29" s="219"/>
      <c r="M29" s="219"/>
      <c r="N29" s="219"/>
      <c r="O29" s="219"/>
      <c r="P29" s="219"/>
      <c r="Q29" s="219"/>
      <c r="R29" s="219"/>
      <c r="S29" s="626"/>
      <c r="T29" s="219"/>
      <c r="U29" s="77"/>
      <c r="V29" s="77"/>
      <c r="W29" s="77"/>
      <c r="X29" s="77"/>
      <c r="Y29" s="77"/>
      <c r="Z29" s="77"/>
      <c r="AA29" s="77"/>
    </row>
    <row r="30" spans="1:27" ht="13.5" thickBot="1" x14ac:dyDescent="0.25">
      <c r="A30" s="582" t="s">
        <v>211</v>
      </c>
      <c r="B30" s="611">
        <f>NPV(Invoerblad!$E$85,C27:N27)*'Hulpberekeningen 1'!P32</f>
        <v>0</v>
      </c>
      <c r="C30" s="583" t="s">
        <v>218</v>
      </c>
      <c r="D30" s="612"/>
      <c r="E30" s="222"/>
      <c r="F30" s="222"/>
      <c r="G30" s="222"/>
      <c r="H30" s="222"/>
      <c r="I30" s="222"/>
      <c r="J30" s="222"/>
      <c r="K30" s="222"/>
      <c r="L30" s="222"/>
      <c r="M30" s="222"/>
      <c r="N30" s="222"/>
      <c r="O30" s="222"/>
      <c r="P30" s="222"/>
      <c r="Q30" s="222"/>
      <c r="R30" s="222"/>
      <c r="S30" s="627"/>
      <c r="T30" s="219"/>
      <c r="U30" s="77"/>
      <c r="V30" s="77"/>
      <c r="W30" s="77"/>
      <c r="X30" s="77"/>
      <c r="Y30" s="77"/>
      <c r="Z30" s="77"/>
      <c r="AA30" s="77"/>
    </row>
    <row r="31" spans="1:27" x14ac:dyDescent="0.2">
      <c r="A31" s="209"/>
      <c r="B31" s="209"/>
      <c r="C31" s="80"/>
      <c r="D31" s="80"/>
      <c r="E31" s="209"/>
      <c r="F31" s="209"/>
      <c r="G31" s="209"/>
      <c r="H31" s="209"/>
      <c r="I31" s="209"/>
      <c r="J31" s="209"/>
      <c r="K31" s="209"/>
      <c r="L31" s="209"/>
      <c r="M31" s="209"/>
      <c r="N31" s="209"/>
      <c r="O31" s="209"/>
      <c r="P31" s="209"/>
      <c r="Q31" s="209"/>
      <c r="R31" s="77"/>
      <c r="S31" s="77"/>
      <c r="T31" s="77"/>
      <c r="U31" s="77"/>
      <c r="V31" s="77"/>
      <c r="W31" s="77"/>
      <c r="X31" s="77"/>
      <c r="Y31" s="77"/>
      <c r="Z31" s="77"/>
      <c r="AA31" s="77"/>
    </row>
    <row r="32" spans="1:27" x14ac:dyDescent="0.2">
      <c r="A32" s="77"/>
      <c r="B32" s="77"/>
      <c r="C32" s="80"/>
      <c r="D32" s="80"/>
      <c r="E32" s="77"/>
      <c r="F32" s="77"/>
      <c r="G32" s="77"/>
      <c r="H32" s="77"/>
      <c r="I32" s="77"/>
      <c r="J32" s="77"/>
      <c r="K32" s="77"/>
      <c r="L32" s="77"/>
      <c r="M32" s="77"/>
      <c r="N32" s="77"/>
      <c r="O32" s="77"/>
      <c r="P32" s="77"/>
      <c r="Q32" s="77"/>
      <c r="R32" s="77"/>
      <c r="S32" s="77"/>
      <c r="T32" s="77"/>
      <c r="U32" s="77"/>
      <c r="V32" s="77"/>
      <c r="W32" s="77"/>
      <c r="X32" s="77"/>
      <c r="Y32" s="77"/>
      <c r="Z32" s="77"/>
      <c r="AA32" s="77"/>
    </row>
    <row r="33" spans="1:27" x14ac:dyDescent="0.2">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row>
    <row r="34" spans="1:27" ht="12.75" customHeight="1" x14ac:dyDescent="0.2">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row>
    <row r="35" spans="1:27" x14ac:dyDescent="0.2">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row>
    <row r="36" spans="1:27" x14ac:dyDescent="0.2">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row>
    <row r="37" spans="1:27" x14ac:dyDescent="0.2">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row>
    <row r="38" spans="1:27" x14ac:dyDescent="0.2">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row>
    <row r="39" spans="1:27" x14ac:dyDescent="0.2">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row>
    <row r="40" spans="1:27" x14ac:dyDescent="0.2">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row>
    <row r="41" spans="1:27" x14ac:dyDescent="0.2">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row>
    <row r="42" spans="1:27" x14ac:dyDescent="0.2">
      <c r="A42" s="77"/>
      <c r="B42" s="77"/>
      <c r="C42" s="282"/>
      <c r="D42" s="282"/>
      <c r="E42" s="282"/>
      <c r="F42" s="282"/>
      <c r="G42" s="282"/>
      <c r="H42" s="282"/>
      <c r="I42" s="282"/>
      <c r="J42" s="282"/>
      <c r="K42" s="282"/>
      <c r="L42" s="282"/>
      <c r="M42" s="282"/>
      <c r="N42" s="27"/>
      <c r="O42" s="27"/>
      <c r="P42" s="3"/>
      <c r="Q42" s="3"/>
      <c r="R42" s="3"/>
      <c r="S42" s="3"/>
    </row>
    <row r="43" spans="1:27" x14ac:dyDescent="0.2">
      <c r="A43" s="77"/>
      <c r="B43" s="77"/>
      <c r="C43" s="282"/>
      <c r="D43" s="282"/>
      <c r="E43" s="282"/>
      <c r="F43" s="282"/>
      <c r="G43" s="282"/>
      <c r="H43" s="282"/>
      <c r="I43" s="282"/>
      <c r="J43" s="282"/>
      <c r="K43" s="282"/>
      <c r="L43" s="282"/>
      <c r="M43" s="282"/>
      <c r="N43" s="27"/>
      <c r="O43" s="9"/>
    </row>
    <row r="44" spans="1:27" x14ac:dyDescent="0.2">
      <c r="A44" s="77"/>
      <c r="B44" s="77"/>
      <c r="C44" s="282"/>
      <c r="D44" s="282"/>
      <c r="E44" s="282"/>
      <c r="F44" s="282"/>
      <c r="G44" s="282"/>
      <c r="H44" s="282"/>
      <c r="I44" s="282"/>
      <c r="J44" s="282"/>
      <c r="K44" s="282"/>
      <c r="L44" s="282"/>
      <c r="M44" s="282"/>
      <c r="N44" s="27"/>
      <c r="O44" s="9"/>
    </row>
    <row r="45" spans="1:27" x14ac:dyDescent="0.2">
      <c r="A45" s="77"/>
      <c r="B45" s="77"/>
      <c r="C45" s="282"/>
      <c r="D45" s="282"/>
      <c r="E45" s="282"/>
      <c r="F45" s="282"/>
      <c r="G45" s="282"/>
      <c r="H45" s="282"/>
      <c r="I45" s="282"/>
      <c r="J45" s="282"/>
      <c r="K45" s="282"/>
      <c r="L45" s="282"/>
      <c r="M45" s="282"/>
      <c r="N45" s="27"/>
      <c r="O45" s="9"/>
    </row>
    <row r="46" spans="1:27" x14ac:dyDescent="0.2">
      <c r="A46" s="283"/>
      <c r="B46" s="282"/>
      <c r="C46" s="282"/>
      <c r="D46" s="282"/>
      <c r="E46" s="282"/>
      <c r="F46" s="282"/>
      <c r="G46" s="282"/>
      <c r="H46" s="282"/>
      <c r="I46" s="282"/>
      <c r="J46" s="282"/>
      <c r="K46" s="282"/>
      <c r="L46" s="296"/>
      <c r="M46" s="282"/>
      <c r="N46" s="27"/>
      <c r="O46" s="9"/>
    </row>
    <row r="47" spans="1:27" x14ac:dyDescent="0.2">
      <c r="A47" s="283"/>
      <c r="B47" s="282"/>
      <c r="C47" s="282"/>
      <c r="D47" s="282"/>
      <c r="E47" s="282"/>
      <c r="F47" s="282"/>
      <c r="G47" s="282"/>
      <c r="H47" s="282"/>
      <c r="I47" s="282"/>
      <c r="J47" s="282"/>
      <c r="K47" s="282"/>
      <c r="L47" s="282"/>
      <c r="M47" s="282"/>
      <c r="N47" s="27"/>
      <c r="O47" s="9"/>
    </row>
    <row r="48" spans="1:27" x14ac:dyDescent="0.2">
      <c r="A48" s="283"/>
      <c r="B48" s="282"/>
      <c r="C48" s="282"/>
      <c r="D48" s="282"/>
      <c r="E48" s="282"/>
      <c r="F48" s="282"/>
      <c r="G48" s="282"/>
      <c r="H48" s="282"/>
      <c r="I48" s="282"/>
      <c r="J48" s="282"/>
      <c r="K48" s="282"/>
      <c r="L48" s="282"/>
      <c r="M48" s="282"/>
      <c r="N48" s="27"/>
      <c r="O48" s="9"/>
    </row>
    <row r="49" spans="1:15" x14ac:dyDescent="0.2">
      <c r="A49" s="283"/>
      <c r="B49" s="282"/>
      <c r="C49" s="282"/>
      <c r="D49" s="282"/>
      <c r="E49" s="282"/>
      <c r="F49" s="282"/>
      <c r="G49" s="282"/>
      <c r="H49" s="282"/>
      <c r="I49" s="282"/>
      <c r="J49" s="282"/>
      <c r="K49" s="282"/>
      <c r="L49" s="282"/>
      <c r="M49" s="282"/>
      <c r="N49" s="27"/>
      <c r="O49" s="9"/>
    </row>
    <row r="50" spans="1:15" x14ac:dyDescent="0.2">
      <c r="A50" s="283"/>
      <c r="B50" s="282"/>
      <c r="C50" s="282"/>
      <c r="D50" s="282"/>
      <c r="E50" s="282"/>
      <c r="F50" s="282"/>
      <c r="G50" s="282"/>
      <c r="H50" s="282"/>
      <c r="I50" s="282"/>
      <c r="J50" s="282"/>
      <c r="K50" s="282"/>
      <c r="L50" s="282"/>
      <c r="M50" s="282"/>
      <c r="N50" s="27"/>
      <c r="O50" s="9"/>
    </row>
    <row r="51" spans="1:15" x14ac:dyDescent="0.2">
      <c r="A51" s="283"/>
      <c r="B51" s="282"/>
      <c r="C51" s="282"/>
      <c r="D51" s="282"/>
      <c r="E51" s="282"/>
      <c r="F51" s="282"/>
      <c r="G51" s="282"/>
      <c r="H51" s="282"/>
      <c r="I51" s="282"/>
      <c r="J51" s="282"/>
      <c r="K51" s="282"/>
      <c r="L51" s="282"/>
      <c r="M51" s="282"/>
      <c r="N51" s="27"/>
      <c r="O51" s="9"/>
    </row>
    <row r="52" spans="1:15" x14ac:dyDescent="0.2">
      <c r="A52" s="283"/>
      <c r="B52" s="282"/>
      <c r="C52" s="282"/>
      <c r="D52" s="282"/>
      <c r="E52" s="282"/>
      <c r="F52" s="282"/>
      <c r="G52" s="282"/>
      <c r="H52" s="282"/>
      <c r="I52" s="282"/>
      <c r="J52" s="282"/>
      <c r="K52" s="282"/>
      <c r="L52" s="282"/>
      <c r="M52" s="282"/>
      <c r="N52" s="27"/>
      <c r="O52" s="9"/>
    </row>
    <row r="53" spans="1:15" x14ac:dyDescent="0.2">
      <c r="A53" s="283"/>
      <c r="B53" s="282"/>
      <c r="C53" s="282"/>
      <c r="D53" s="282"/>
      <c r="E53" s="282"/>
      <c r="F53" s="282"/>
      <c r="G53" s="282"/>
      <c r="H53" s="282"/>
      <c r="I53" s="282"/>
      <c r="J53" s="282"/>
      <c r="K53" s="282"/>
      <c r="L53" s="282"/>
      <c r="M53" s="282"/>
      <c r="N53" s="27"/>
      <c r="O53" s="9"/>
    </row>
    <row r="54" spans="1:15" x14ac:dyDescent="0.2">
      <c r="A54" s="283"/>
      <c r="B54" s="282"/>
      <c r="C54" s="282"/>
      <c r="D54" s="282"/>
      <c r="E54" s="282"/>
      <c r="F54" s="282"/>
      <c r="G54" s="282"/>
      <c r="H54" s="282"/>
      <c r="I54" s="282"/>
      <c r="J54" s="282"/>
      <c r="K54" s="282"/>
      <c r="L54" s="282"/>
      <c r="M54" s="282"/>
      <c r="N54" s="27"/>
      <c r="O54" s="9"/>
    </row>
    <row r="55" spans="1:15" x14ac:dyDescent="0.2">
      <c r="A55" s="283"/>
      <c r="B55" s="282"/>
      <c r="C55" s="282"/>
      <c r="D55" s="282"/>
      <c r="E55" s="282"/>
      <c r="F55" s="282"/>
      <c r="G55" s="282"/>
      <c r="H55" s="282"/>
      <c r="I55" s="282"/>
      <c r="J55" s="282"/>
      <c r="K55" s="282"/>
      <c r="L55" s="282"/>
      <c r="M55" s="282"/>
      <c r="N55" s="27"/>
      <c r="O55" s="9"/>
    </row>
    <row r="56" spans="1:15" x14ac:dyDescent="0.2">
      <c r="A56" s="283"/>
      <c r="B56" s="282"/>
      <c r="C56" s="282"/>
      <c r="D56" s="282"/>
      <c r="E56" s="282"/>
      <c r="F56" s="282"/>
      <c r="G56" s="282"/>
      <c r="H56" s="282"/>
      <c r="I56" s="282"/>
      <c r="J56" s="282"/>
      <c r="K56" s="282"/>
      <c r="L56" s="282"/>
      <c r="M56" s="282"/>
      <c r="N56" s="27"/>
      <c r="O56" s="9"/>
    </row>
    <row r="57" spans="1:15" x14ac:dyDescent="0.2">
      <c r="A57" s="283"/>
      <c r="B57" s="282"/>
      <c r="C57" s="282"/>
      <c r="D57" s="282"/>
      <c r="E57" s="282"/>
      <c r="F57" s="282"/>
      <c r="G57" s="282"/>
      <c r="H57" s="282"/>
      <c r="I57" s="282"/>
      <c r="J57" s="282"/>
      <c r="K57" s="282"/>
      <c r="L57" s="282"/>
      <c r="M57" s="282"/>
      <c r="N57" s="27"/>
      <c r="O57" s="9"/>
    </row>
    <row r="58" spans="1:15" x14ac:dyDescent="0.2">
      <c r="A58" s="283"/>
      <c r="B58" s="297"/>
      <c r="C58" s="297"/>
      <c r="D58" s="297"/>
      <c r="E58" s="297"/>
      <c r="F58" s="297"/>
      <c r="G58" s="297"/>
      <c r="H58" s="297"/>
      <c r="I58" s="297"/>
      <c r="J58" s="297"/>
      <c r="K58" s="297"/>
      <c r="L58" s="296"/>
      <c r="M58" s="297"/>
      <c r="N58" s="27"/>
      <c r="O58" s="9"/>
    </row>
    <row r="59" spans="1:15" x14ac:dyDescent="0.2">
      <c r="A59" s="283"/>
      <c r="B59" s="283"/>
      <c r="C59" s="283"/>
      <c r="D59" s="283"/>
      <c r="E59" s="283"/>
      <c r="F59" s="283"/>
      <c r="G59" s="283"/>
      <c r="H59" s="283"/>
      <c r="I59" s="283"/>
      <c r="J59" s="283"/>
      <c r="K59" s="283"/>
      <c r="L59" s="298"/>
      <c r="M59" s="283"/>
      <c r="N59" s="27"/>
      <c r="O59" s="9"/>
    </row>
    <row r="60" spans="1:15" x14ac:dyDescent="0.2">
      <c r="A60" s="27"/>
      <c r="B60" s="27"/>
      <c r="C60" s="27"/>
      <c r="D60" s="27"/>
      <c r="E60" s="27"/>
      <c r="F60" s="27"/>
      <c r="G60" s="27"/>
      <c r="H60" s="27"/>
      <c r="I60" s="27"/>
      <c r="J60" s="27"/>
      <c r="K60" s="27"/>
      <c r="L60" s="27"/>
      <c r="M60" s="27"/>
      <c r="N60" s="27"/>
      <c r="O60" s="9"/>
    </row>
  </sheetData>
  <pageMargins left="0.75" right="0.75" top="1" bottom="1" header="0.51180555555555496" footer="0.51180555555555496"/>
  <pageSetup paperSize="9" firstPageNumber="0" orientation="landscape" horizontalDpi="300" verticalDpi="300" r:id="rId1"/>
  <headerFooter>
    <oddHeader>&amp;L&amp;"Calibri"&amp;10&amp;K000000 Vertrouwelijk&amp;1#_x000D_</oddHeader>
  </headerFooter>
  <ignoredErrors>
    <ignoredError sqref="D1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20"/>
  <sheetViews>
    <sheetView zoomScaleNormal="100" workbookViewId="0">
      <selection activeCell="C29" sqref="C29"/>
    </sheetView>
  </sheetViews>
  <sheetFormatPr defaultRowHeight="12.75" x14ac:dyDescent="0.2"/>
  <cols>
    <col min="1" max="1" width="65.5" customWidth="1"/>
    <col min="2" max="2" width="10.83203125" customWidth="1"/>
    <col min="3" max="20" width="15.83203125" customWidth="1"/>
    <col min="21" max="1025" width="8.6640625" customWidth="1"/>
  </cols>
  <sheetData>
    <row r="1" spans="1:24" ht="18.75" x14ac:dyDescent="0.3">
      <c r="A1" s="613" t="s">
        <v>219</v>
      </c>
      <c r="B1" s="334"/>
      <c r="C1" s="334"/>
      <c r="D1" s="334"/>
      <c r="E1" s="334"/>
      <c r="F1" s="334"/>
      <c r="G1" s="334"/>
      <c r="H1" s="334"/>
      <c r="I1" s="334"/>
      <c r="J1" s="334"/>
      <c r="K1" s="334"/>
      <c r="L1" s="334"/>
      <c r="M1" s="334"/>
      <c r="N1" s="334"/>
      <c r="O1" s="334"/>
      <c r="P1" s="334"/>
      <c r="Q1" s="334"/>
      <c r="R1" s="334"/>
      <c r="S1" s="334"/>
      <c r="T1" s="334"/>
      <c r="U1" s="334"/>
      <c r="V1" s="334"/>
      <c r="W1" s="334"/>
    </row>
    <row r="2" spans="1:24" x14ac:dyDescent="0.2">
      <c r="A2" s="334"/>
      <c r="B2" s="334"/>
      <c r="C2" s="334"/>
      <c r="D2" s="334"/>
      <c r="E2" s="334"/>
      <c r="F2" s="334"/>
      <c r="G2" s="334"/>
      <c r="H2" s="334"/>
      <c r="I2" s="334"/>
      <c r="J2" s="334"/>
      <c r="K2" s="334"/>
      <c r="L2" s="334"/>
      <c r="M2" s="334"/>
      <c r="N2" s="334"/>
      <c r="O2" s="334"/>
      <c r="P2" s="334"/>
      <c r="Q2" s="334"/>
      <c r="R2" s="334"/>
      <c r="S2" s="334"/>
      <c r="T2" s="334"/>
      <c r="U2" s="334"/>
      <c r="V2" s="334"/>
      <c r="W2" s="334"/>
    </row>
    <row r="3" spans="1:24" x14ac:dyDescent="0.2">
      <c r="A3" s="390" t="s">
        <v>404</v>
      </c>
      <c r="B3" s="334"/>
      <c r="C3" s="334"/>
      <c r="D3" s="334"/>
      <c r="E3" s="334"/>
      <c r="F3" s="334"/>
      <c r="G3" s="334"/>
      <c r="H3" s="334"/>
      <c r="I3" s="334"/>
      <c r="J3" s="334"/>
      <c r="K3" s="334"/>
      <c r="L3" s="334"/>
      <c r="M3" s="334"/>
      <c r="N3" s="334"/>
      <c r="O3" s="334"/>
      <c r="P3" s="334"/>
      <c r="Q3" s="334"/>
      <c r="R3" s="334"/>
      <c r="S3" s="334"/>
      <c r="T3" s="334"/>
      <c r="U3" s="334"/>
      <c r="V3" s="334"/>
      <c r="W3" s="334"/>
    </row>
    <row r="4" spans="1:24" x14ac:dyDescent="0.2">
      <c r="A4" s="334" t="s">
        <v>220</v>
      </c>
      <c r="B4" s="614">
        <f>Invoerblad!E56</f>
        <v>0.25800000000000001</v>
      </c>
      <c r="C4" s="334"/>
      <c r="D4" s="334"/>
      <c r="E4" s="334"/>
      <c r="F4" s="334"/>
      <c r="G4" s="334"/>
      <c r="H4" s="334"/>
      <c r="I4" s="334"/>
      <c r="J4" s="334"/>
      <c r="K4" s="334"/>
      <c r="L4" s="334"/>
      <c r="M4" s="334"/>
      <c r="N4" s="334"/>
      <c r="O4" s="334"/>
      <c r="P4" s="334"/>
      <c r="Q4" s="334"/>
      <c r="R4" s="334"/>
      <c r="S4" s="334"/>
      <c r="T4" s="334"/>
      <c r="U4" s="334"/>
      <c r="V4" s="334"/>
      <c r="W4" s="334"/>
    </row>
    <row r="5" spans="1:24" x14ac:dyDescent="0.2">
      <c r="A5" s="334"/>
      <c r="B5" s="334"/>
      <c r="C5" s="334" t="s">
        <v>177</v>
      </c>
      <c r="D5" s="334"/>
      <c r="E5" s="334"/>
      <c r="F5" s="334"/>
      <c r="G5" s="334"/>
      <c r="H5" s="334"/>
      <c r="I5" s="334"/>
      <c r="J5" s="334"/>
      <c r="K5" s="334"/>
      <c r="L5" s="334"/>
      <c r="M5" s="334"/>
      <c r="N5" s="334"/>
      <c r="O5" s="334"/>
      <c r="P5" s="334"/>
      <c r="Q5" s="334"/>
      <c r="R5" s="334"/>
      <c r="S5" s="334"/>
      <c r="T5" s="334"/>
      <c r="U5" s="334"/>
      <c r="V5" s="334"/>
      <c r="W5" s="334"/>
    </row>
    <row r="6" spans="1:24" x14ac:dyDescent="0.2">
      <c r="A6" s="334"/>
      <c r="B6" s="334"/>
      <c r="C6" s="334">
        <v>1</v>
      </c>
      <c r="D6" s="334">
        <v>2</v>
      </c>
      <c r="E6" s="334">
        <v>3</v>
      </c>
      <c r="F6" s="334">
        <v>4</v>
      </c>
      <c r="G6" s="334">
        <v>5</v>
      </c>
      <c r="H6" s="334">
        <v>6</v>
      </c>
      <c r="I6" s="334">
        <v>7</v>
      </c>
      <c r="J6" s="334">
        <v>8</v>
      </c>
      <c r="K6" s="334">
        <v>9</v>
      </c>
      <c r="L6" s="334">
        <v>10</v>
      </c>
      <c r="M6" s="334">
        <v>11</v>
      </c>
      <c r="N6" s="334">
        <v>12</v>
      </c>
      <c r="O6" s="334">
        <v>13</v>
      </c>
      <c r="P6" s="334">
        <v>14</v>
      </c>
      <c r="Q6" s="334">
        <v>15</v>
      </c>
      <c r="R6" s="334">
        <v>16</v>
      </c>
      <c r="S6" s="334">
        <v>17</v>
      </c>
      <c r="T6" s="334">
        <v>18</v>
      </c>
      <c r="U6" s="334"/>
      <c r="V6" s="334"/>
      <c r="W6" s="334"/>
    </row>
    <row r="7" spans="1:24" s="3" customFormat="1" x14ac:dyDescent="0.2">
      <c r="A7" s="334"/>
      <c r="B7" s="334"/>
      <c r="C7" s="334">
        <f>Invoerblad!K18</f>
        <v>2021</v>
      </c>
      <c r="D7" s="334">
        <f>Invoerblad!L18</f>
        <v>2022</v>
      </c>
      <c r="E7" s="334">
        <f>Invoerblad!M18</f>
        <v>2023</v>
      </c>
      <c r="F7" s="334">
        <f>Invoerblad!N18</f>
        <v>2024</v>
      </c>
      <c r="G7" s="334">
        <f>Invoerblad!O18</f>
        <v>2025</v>
      </c>
      <c r="H7" s="334">
        <f>Invoerblad!P18</f>
        <v>2026</v>
      </c>
      <c r="I7" s="334">
        <f>Invoerblad!Q18</f>
        <v>2027</v>
      </c>
      <c r="J7" s="334">
        <f>Invoerblad!R18</f>
        <v>2028</v>
      </c>
      <c r="K7" s="334">
        <f>Invoerblad!S18</f>
        <v>2029</v>
      </c>
      <c r="L7" s="334">
        <f>Invoerblad!T18</f>
        <v>2030</v>
      </c>
      <c r="M7" s="334">
        <f>Invoerblad!U18</f>
        <v>2031</v>
      </c>
      <c r="N7" s="334">
        <f>Invoerblad!V18</f>
        <v>2032</v>
      </c>
      <c r="O7" s="334">
        <f>Invoerblad!W18</f>
        <v>2033</v>
      </c>
      <c r="P7" s="334">
        <f>Invoerblad!X18</f>
        <v>2034</v>
      </c>
      <c r="Q7" s="334">
        <f>Invoerblad!Y18</f>
        <v>2035</v>
      </c>
      <c r="R7" s="334">
        <f>Invoerblad!Z18</f>
        <v>2036</v>
      </c>
      <c r="S7" s="334">
        <f>Invoerblad!AA18</f>
        <v>2037</v>
      </c>
      <c r="T7" s="334">
        <f>Invoerblad!AB18</f>
        <v>0</v>
      </c>
      <c r="U7" s="334"/>
      <c r="V7" s="334"/>
      <c r="W7" s="334"/>
    </row>
    <row r="8" spans="1:24" x14ac:dyDescent="0.2">
      <c r="A8" s="334" t="s">
        <v>405</v>
      </c>
      <c r="B8" s="334"/>
      <c r="C8" s="615">
        <f>IF(YEAR(Invoerblad!$E$32)&gt;C7,0,
IF(YEAR(Invoerblad!$E$32)=C7,(1-(MONTH(Invoerblad!$E$32)-1)/12)*Invoerblad!$E$62/'Hulpberekeningen 1'!$E$1,
+Invoerblad!$E$62/'Hulpberekeningen 1'!$E$1*'Hulpberekeningen 1'!E24))</f>
        <v>0</v>
      </c>
      <c r="D8" s="615">
        <f>IF(YEAR(Invoerblad!$E$32)&gt;D7,0,
IF(YEAR(Invoerblad!$E$32)=D7,(1-(MONTH(Invoerblad!$E$32)-1)/12)*Invoerblad!$E$62/'Hulpberekeningen 1'!$E$1,
+Invoerblad!$E$62/'Hulpberekeningen 1'!$E$1*'Hulpberekeningen 1'!F24))</f>
        <v>0</v>
      </c>
      <c r="E8" s="615">
        <f>IF(YEAR(Invoerblad!$E$32)&gt;E7,0,
IF(YEAR(Invoerblad!$E$32)=E7,(1-(MONTH(Invoerblad!$E$32)-1)/12)*Invoerblad!$E$62/'Hulpberekeningen 1'!$E$1,
+Invoerblad!$E$62/'Hulpberekeningen 1'!$E$1*'Hulpberekeningen 1'!G24))</f>
        <v>0</v>
      </c>
      <c r="F8" s="615">
        <f>Invoerblad!$E$62/'Hulpberekeningen 1'!$E$1*'Hulpberekeningen 1'!H24</f>
        <v>0</v>
      </c>
      <c r="G8" s="615">
        <f>Invoerblad!$E$62/'Hulpberekeningen 1'!$E$1*'Hulpberekeningen 1'!I24</f>
        <v>0</v>
      </c>
      <c r="H8" s="615">
        <f>Invoerblad!$E$62/'Hulpberekeningen 1'!$E$1*'Hulpberekeningen 1'!J24</f>
        <v>0</v>
      </c>
      <c r="I8" s="615">
        <f>Invoerblad!$E$62/'Hulpberekeningen 1'!$E$1*'Hulpberekeningen 1'!K24</f>
        <v>0</v>
      </c>
      <c r="J8" s="615">
        <f>Invoerblad!$E$62/'Hulpberekeningen 1'!$E$1*'Hulpberekeningen 1'!L24</f>
        <v>0</v>
      </c>
      <c r="K8" s="615">
        <f>Invoerblad!$E$62/'Hulpberekeningen 1'!$E$1*'Hulpberekeningen 1'!M24</f>
        <v>0</v>
      </c>
      <c r="L8" s="615">
        <f>Invoerblad!$E$62/'Hulpberekeningen 1'!$E$1*'Hulpberekeningen 1'!N24</f>
        <v>0</v>
      </c>
      <c r="M8" s="615">
        <f>Invoerblad!$E$62/'Hulpberekeningen 1'!$E$1*'Hulpberekeningen 1'!O24</f>
        <v>0</v>
      </c>
      <c r="N8" s="615">
        <f>Invoerblad!$E$62/'Hulpberekeningen 1'!$E$1*'Hulpberekeningen 1'!P24</f>
        <v>0</v>
      </c>
      <c r="O8" s="615">
        <f>Invoerblad!$E$62/'Hulpberekeningen 1'!$E$1*'Hulpberekeningen 1'!Q24</f>
        <v>0</v>
      </c>
      <c r="P8" s="615">
        <f>Invoerblad!$E$62/'Hulpberekeningen 1'!$E$1*'Hulpberekeningen 1'!R24</f>
        <v>0</v>
      </c>
      <c r="Q8" s="615">
        <f>Invoerblad!$E$62/'Hulpberekeningen 1'!$E$1*'Hulpberekeningen 1'!S24</f>
        <v>0</v>
      </c>
      <c r="R8" s="615">
        <f>Invoerblad!$E$62/'Hulpberekeningen 1'!$E$1-C8</f>
        <v>0</v>
      </c>
      <c r="S8" s="615">
        <f>Invoerblad!$E$62/'Hulpberekeningen 1'!$E$1-D8</f>
        <v>0</v>
      </c>
      <c r="T8" s="615">
        <f>Invoerblad!$E$62/'Hulpberekeningen 1'!$E$1-E8</f>
        <v>0</v>
      </c>
      <c r="U8" s="334"/>
      <c r="V8" s="334"/>
      <c r="W8" s="334"/>
      <c r="X8" s="135"/>
    </row>
    <row r="9" spans="1:24" x14ac:dyDescent="0.2">
      <c r="A9" s="334" t="s">
        <v>221</v>
      </c>
      <c r="B9" s="334"/>
      <c r="C9" s="597">
        <f>+Invoerblad!K62</f>
        <v>0</v>
      </c>
      <c r="D9" s="597">
        <f>+Invoerblad!L62</f>
        <v>0</v>
      </c>
      <c r="E9" s="597">
        <f>+Invoerblad!M62</f>
        <v>0</v>
      </c>
      <c r="F9" s="597">
        <f>+Invoerblad!N62</f>
        <v>0</v>
      </c>
      <c r="G9" s="597">
        <f>+Invoerblad!O62</f>
        <v>0</v>
      </c>
      <c r="H9" s="597">
        <f>+Invoerblad!P62</f>
        <v>0</v>
      </c>
      <c r="I9" s="597">
        <f>+Invoerblad!Q62</f>
        <v>0</v>
      </c>
      <c r="J9" s="597">
        <f>+Invoerblad!R62</f>
        <v>0</v>
      </c>
      <c r="K9" s="597">
        <f>+Invoerblad!S62</f>
        <v>0</v>
      </c>
      <c r="L9" s="597">
        <f>+Invoerblad!T62</f>
        <v>0</v>
      </c>
      <c r="M9" s="597">
        <f>+Invoerblad!U62</f>
        <v>0</v>
      </c>
      <c r="N9" s="597">
        <f>+Invoerblad!V62</f>
        <v>0</v>
      </c>
      <c r="O9" s="597">
        <f>+Invoerblad!W62</f>
        <v>0</v>
      </c>
      <c r="P9" s="597">
        <f>+Invoerblad!X62</f>
        <v>0</v>
      </c>
      <c r="Q9" s="597">
        <f>+Invoerblad!Y62</f>
        <v>0</v>
      </c>
      <c r="R9" s="597">
        <f>+Invoerblad!Z62</f>
        <v>0</v>
      </c>
      <c r="S9" s="597">
        <f>+Invoerblad!AA62</f>
        <v>0</v>
      </c>
      <c r="T9" s="597">
        <f>+Invoerblad!AB62</f>
        <v>0</v>
      </c>
      <c r="U9" s="334"/>
      <c r="V9" s="334"/>
      <c r="W9" s="334"/>
      <c r="X9" s="135"/>
    </row>
    <row r="10" spans="1:24" x14ac:dyDescent="0.2">
      <c r="A10" s="334"/>
      <c r="B10" s="334"/>
      <c r="C10" s="597"/>
      <c r="D10" s="597"/>
      <c r="E10" s="597"/>
      <c r="F10" s="597"/>
      <c r="G10" s="597"/>
      <c r="H10" s="597"/>
      <c r="I10" s="597"/>
      <c r="J10" s="597"/>
      <c r="K10" s="597"/>
      <c r="L10" s="597"/>
      <c r="M10" s="597"/>
      <c r="N10" s="597"/>
      <c r="O10" s="597"/>
      <c r="P10" s="597"/>
      <c r="Q10" s="597"/>
      <c r="R10" s="597"/>
      <c r="S10" s="334"/>
      <c r="T10" s="334"/>
      <c r="U10" s="334"/>
      <c r="V10" s="334"/>
      <c r="W10" s="334"/>
    </row>
    <row r="11" spans="1:24" x14ac:dyDescent="0.2">
      <c r="A11" s="334" t="s">
        <v>222</v>
      </c>
      <c r="B11" s="334"/>
      <c r="C11" s="597">
        <f t="shared" ref="C11:T11" si="0">+C9-C8</f>
        <v>0</v>
      </c>
      <c r="D11" s="597">
        <f t="shared" si="0"/>
        <v>0</v>
      </c>
      <c r="E11" s="597">
        <f t="shared" si="0"/>
        <v>0</v>
      </c>
      <c r="F11" s="597">
        <f t="shared" si="0"/>
        <v>0</v>
      </c>
      <c r="G11" s="597">
        <f t="shared" si="0"/>
        <v>0</v>
      </c>
      <c r="H11" s="597">
        <f t="shared" si="0"/>
        <v>0</v>
      </c>
      <c r="I11" s="597">
        <f t="shared" si="0"/>
        <v>0</v>
      </c>
      <c r="J11" s="597">
        <f t="shared" si="0"/>
        <v>0</v>
      </c>
      <c r="K11" s="597">
        <f t="shared" si="0"/>
        <v>0</v>
      </c>
      <c r="L11" s="597">
        <f t="shared" si="0"/>
        <v>0</v>
      </c>
      <c r="M11" s="597">
        <f t="shared" si="0"/>
        <v>0</v>
      </c>
      <c r="N11" s="597">
        <f t="shared" si="0"/>
        <v>0</v>
      </c>
      <c r="O11" s="597">
        <f t="shared" si="0"/>
        <v>0</v>
      </c>
      <c r="P11" s="597">
        <f t="shared" si="0"/>
        <v>0</v>
      </c>
      <c r="Q11" s="597">
        <f t="shared" si="0"/>
        <v>0</v>
      </c>
      <c r="R11" s="597">
        <f t="shared" si="0"/>
        <v>0</v>
      </c>
      <c r="S11" s="597">
        <f t="shared" si="0"/>
        <v>0</v>
      </c>
      <c r="T11" s="597">
        <f t="shared" si="0"/>
        <v>0</v>
      </c>
      <c r="U11" s="334"/>
      <c r="V11" s="334"/>
      <c r="W11" s="334"/>
    </row>
    <row r="12" spans="1:24" x14ac:dyDescent="0.2">
      <c r="A12" s="334"/>
      <c r="B12" s="334"/>
      <c r="C12" s="597"/>
      <c r="D12" s="597"/>
      <c r="E12" s="597"/>
      <c r="F12" s="597"/>
      <c r="G12" s="597"/>
      <c r="H12" s="597"/>
      <c r="I12" s="597"/>
      <c r="J12" s="597"/>
      <c r="K12" s="597"/>
      <c r="L12" s="597"/>
      <c r="M12" s="597"/>
      <c r="N12" s="597"/>
      <c r="O12" s="597"/>
      <c r="P12" s="597"/>
      <c r="Q12" s="597"/>
      <c r="R12" s="597"/>
      <c r="S12" s="334"/>
      <c r="T12" s="334"/>
      <c r="U12" s="334"/>
      <c r="V12" s="334"/>
      <c r="W12" s="334"/>
    </row>
    <row r="13" spans="1:24" x14ac:dyDescent="0.2">
      <c r="A13" s="334" t="s">
        <v>223</v>
      </c>
      <c r="B13" s="334"/>
      <c r="C13" s="597">
        <f>+C11*Invoerblad!$E$56</f>
        <v>0</v>
      </c>
      <c r="D13" s="597">
        <f>+D11*Invoerblad!$E$56</f>
        <v>0</v>
      </c>
      <c r="E13" s="597">
        <f>+E11*Invoerblad!$E$56</f>
        <v>0</v>
      </c>
      <c r="F13" s="597">
        <f>+F11*Invoerblad!$E$56</f>
        <v>0</v>
      </c>
      <c r="G13" s="597">
        <f>+G11*Invoerblad!$E$56</f>
        <v>0</v>
      </c>
      <c r="H13" s="597">
        <f>+H11*Invoerblad!$E$56</f>
        <v>0</v>
      </c>
      <c r="I13" s="597">
        <f>+I11*Invoerblad!$E$56</f>
        <v>0</v>
      </c>
      <c r="J13" s="597">
        <f>+J11*Invoerblad!$E$56</f>
        <v>0</v>
      </c>
      <c r="K13" s="597">
        <f>+K11*Invoerblad!$E$56</f>
        <v>0</v>
      </c>
      <c r="L13" s="597">
        <f>+L11*Invoerblad!$E$56</f>
        <v>0</v>
      </c>
      <c r="M13" s="597">
        <f>+M11*Invoerblad!$E$56</f>
        <v>0</v>
      </c>
      <c r="N13" s="597">
        <f>+N11*Invoerblad!$E$56</f>
        <v>0</v>
      </c>
      <c r="O13" s="597">
        <f>+O11*Invoerblad!$E$56</f>
        <v>0</v>
      </c>
      <c r="P13" s="597">
        <f>+P11*Invoerblad!$E$56</f>
        <v>0</v>
      </c>
      <c r="Q13" s="597">
        <f>+Q11*Invoerblad!$E$56</f>
        <v>0</v>
      </c>
      <c r="R13" s="597">
        <f>+R11*Invoerblad!$E$56</f>
        <v>0</v>
      </c>
      <c r="S13" s="597">
        <f>+S11*Invoerblad!$E$56</f>
        <v>0</v>
      </c>
      <c r="T13" s="597">
        <f>+T11*Invoerblad!$E$56</f>
        <v>0</v>
      </c>
      <c r="U13" s="334"/>
      <c r="V13" s="334"/>
      <c r="W13" s="334"/>
    </row>
    <row r="14" spans="1:24" x14ac:dyDescent="0.2">
      <c r="A14" s="334"/>
      <c r="B14" s="334"/>
      <c r="C14" s="334"/>
      <c r="D14" s="334"/>
      <c r="E14" s="334"/>
      <c r="F14" s="334"/>
      <c r="G14" s="334"/>
      <c r="H14" s="334"/>
      <c r="I14" s="334"/>
      <c r="J14" s="334"/>
      <c r="K14" s="334"/>
      <c r="L14" s="334"/>
      <c r="M14" s="334"/>
      <c r="N14" s="334"/>
      <c r="O14" s="334"/>
      <c r="P14" s="334"/>
      <c r="Q14" s="334"/>
      <c r="R14" s="334"/>
      <c r="S14" s="334"/>
      <c r="T14" s="334"/>
      <c r="U14" s="334"/>
      <c r="V14" s="334"/>
      <c r="W14" s="334"/>
    </row>
    <row r="15" spans="1:24" x14ac:dyDescent="0.2">
      <c r="A15" s="616" t="str">
        <f>"NCW berekend naar datum midden van de bouwperiode ("&amp;DAY(Invoerblad!E34)&amp;"-"&amp;MONTH(Invoerblad!E34)&amp;"-"&amp;YEAR(Invoerblad!E34)&amp;")"</f>
        <v>NCW berekend naar datum midden van de bouwperiode (1-12-2020)</v>
      </c>
      <c r="B15" s="616"/>
      <c r="C15" s="617">
        <f>NPV(Invoerblad!$E$85,C13:T13)*'Hulpberekeningen 1'!$P$32</f>
        <v>0</v>
      </c>
      <c r="D15" s="334"/>
      <c r="E15" s="334"/>
      <c r="F15" s="334"/>
      <c r="G15" s="334"/>
      <c r="H15" s="334"/>
      <c r="I15" s="334"/>
      <c r="J15" s="334"/>
      <c r="K15" s="334"/>
      <c r="L15" s="334"/>
      <c r="M15" s="334"/>
      <c r="N15" s="334"/>
      <c r="O15" s="334"/>
      <c r="P15" s="334"/>
      <c r="Q15" s="334"/>
      <c r="R15" s="334"/>
      <c r="S15" s="334"/>
      <c r="T15" s="334"/>
      <c r="U15" s="334"/>
      <c r="V15" s="334"/>
      <c r="W15" s="334"/>
    </row>
    <row r="16" spans="1:24" x14ac:dyDescent="0.2">
      <c r="A16" s="334"/>
      <c r="B16" s="334"/>
      <c r="C16" s="334"/>
      <c r="D16" s="334"/>
      <c r="E16" s="334"/>
      <c r="F16" s="334"/>
      <c r="G16" s="334"/>
      <c r="H16" s="334"/>
      <c r="I16" s="334"/>
      <c r="J16" s="334"/>
      <c r="K16" s="334"/>
      <c r="L16" s="334"/>
      <c r="M16" s="334"/>
      <c r="N16" s="334"/>
      <c r="O16" s="334"/>
      <c r="P16" s="334"/>
      <c r="Q16" s="334"/>
      <c r="R16" s="334"/>
      <c r="S16" s="334"/>
      <c r="T16" s="334"/>
      <c r="U16" s="334"/>
      <c r="V16" s="334"/>
      <c r="W16" s="334"/>
    </row>
    <row r="17" spans="1:23" x14ac:dyDescent="0.2">
      <c r="A17" s="334"/>
      <c r="B17" s="334"/>
      <c r="C17" s="334"/>
      <c r="D17" s="334"/>
      <c r="E17" s="334"/>
      <c r="F17" s="334"/>
      <c r="G17" s="334"/>
      <c r="H17" s="334"/>
      <c r="I17" s="334"/>
      <c r="J17" s="334"/>
      <c r="K17" s="334"/>
      <c r="L17" s="334"/>
      <c r="M17" s="334"/>
      <c r="N17" s="334"/>
      <c r="O17" s="334"/>
      <c r="P17" s="334"/>
      <c r="Q17" s="334"/>
      <c r="R17" s="334"/>
      <c r="S17" s="334"/>
      <c r="T17" s="334"/>
      <c r="U17" s="334"/>
      <c r="V17" s="334"/>
      <c r="W17" s="334"/>
    </row>
    <row r="18" spans="1:23" x14ac:dyDescent="0.2">
      <c r="A18" s="334"/>
      <c r="B18" s="334"/>
      <c r="C18" s="334"/>
      <c r="D18" s="334"/>
      <c r="E18" s="334"/>
      <c r="F18" s="334"/>
      <c r="G18" s="334"/>
      <c r="H18" s="334"/>
      <c r="I18" s="334"/>
      <c r="J18" s="334"/>
      <c r="K18" s="334"/>
      <c r="L18" s="334"/>
      <c r="M18" s="334"/>
      <c r="N18" s="334"/>
      <c r="O18" s="334"/>
      <c r="P18" s="334"/>
      <c r="Q18" s="334"/>
      <c r="R18" s="334"/>
      <c r="S18" s="334"/>
      <c r="T18" s="334"/>
      <c r="U18" s="334"/>
      <c r="V18" s="334"/>
      <c r="W18" s="334"/>
    </row>
    <row r="19" spans="1:23" x14ac:dyDescent="0.2">
      <c r="A19" s="334"/>
      <c r="B19" s="334"/>
      <c r="C19" s="334"/>
      <c r="D19" s="334"/>
      <c r="E19" s="334"/>
      <c r="F19" s="334"/>
      <c r="G19" s="334"/>
      <c r="H19" s="334"/>
      <c r="I19" s="334"/>
      <c r="J19" s="334"/>
      <c r="K19" s="334"/>
      <c r="L19" s="334"/>
      <c r="M19" s="334"/>
      <c r="N19" s="334"/>
      <c r="O19" s="334"/>
      <c r="P19" s="334"/>
      <c r="Q19" s="334"/>
      <c r="R19" s="334"/>
      <c r="S19" s="334"/>
      <c r="T19" s="334"/>
      <c r="U19" s="334"/>
      <c r="V19" s="334"/>
      <c r="W19" s="334"/>
    </row>
    <row r="20" spans="1:23" x14ac:dyDescent="0.2">
      <c r="A20" s="334"/>
      <c r="B20" s="334"/>
      <c r="C20" s="616"/>
      <c r="D20" s="334"/>
      <c r="E20" s="334"/>
      <c r="F20" s="334"/>
      <c r="G20" s="334"/>
      <c r="H20" s="334"/>
      <c r="I20" s="334"/>
      <c r="J20" s="334"/>
      <c r="K20" s="334"/>
      <c r="L20" s="334"/>
      <c r="M20" s="334"/>
      <c r="N20" s="334"/>
      <c r="O20" s="334"/>
      <c r="P20" s="334"/>
      <c r="Q20" s="334"/>
      <c r="R20" s="334"/>
      <c r="S20" s="334"/>
      <c r="T20" s="334"/>
      <c r="U20" s="334"/>
      <c r="V20" s="334"/>
      <c r="W20" s="334"/>
    </row>
  </sheetData>
  <pageMargins left="0.75" right="0.75" top="1" bottom="1" header="0.51180555555555496" footer="0.51180555555555496"/>
  <pageSetup paperSize="9" firstPageNumber="0" orientation="landscape" horizontalDpi="300" verticalDpi="300" r:id="rId1"/>
  <headerFooter>
    <oddHeader>&amp;L&amp;"Calibri"&amp;10&amp;K000000 Vertrouwelijk&amp;1#_x000D_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0"/>
  <sheetViews>
    <sheetView zoomScaleNormal="100" workbookViewId="0">
      <selection activeCell="C8" sqref="C8"/>
    </sheetView>
  </sheetViews>
  <sheetFormatPr defaultRowHeight="12.75" x14ac:dyDescent="0.2"/>
  <cols>
    <col min="1" max="1" width="8.6640625" customWidth="1"/>
    <col min="2" max="2" width="49.1640625" customWidth="1"/>
    <col min="3" max="3" width="14.6640625" customWidth="1"/>
    <col min="4" max="5" width="8.6640625" customWidth="1"/>
    <col min="6" max="6" width="11.33203125" customWidth="1"/>
    <col min="7" max="1025" width="8.6640625" customWidth="1"/>
  </cols>
  <sheetData>
    <row r="1" spans="1:7" ht="18.75" x14ac:dyDescent="0.3">
      <c r="A1" s="201" t="s">
        <v>224</v>
      </c>
      <c r="B1" s="31"/>
      <c r="F1" s="300">
        <f>+Invoerblad!N8</f>
        <v>0</v>
      </c>
    </row>
    <row r="2" spans="1:7" ht="18.75" x14ac:dyDescent="0.3">
      <c r="A2" s="301"/>
      <c r="B2" s="31"/>
      <c r="F2" s="302"/>
    </row>
    <row r="3" spans="1:7" ht="14.25" x14ac:dyDescent="0.2">
      <c r="A3" s="21" t="s">
        <v>225</v>
      </c>
      <c r="B3" s="21"/>
      <c r="C3" s="21"/>
      <c r="D3" s="21"/>
    </row>
    <row r="4" spans="1:7" x14ac:dyDescent="0.2">
      <c r="A4" s="110"/>
      <c r="B4" s="31"/>
    </row>
    <row r="5" spans="1:7" x14ac:dyDescent="0.2">
      <c r="A5" s="110" t="s">
        <v>226</v>
      </c>
      <c r="B5" s="31"/>
    </row>
    <row r="6" spans="1:7" x14ac:dyDescent="0.2">
      <c r="B6" s="31"/>
    </row>
    <row r="7" spans="1:7" x14ac:dyDescent="0.2">
      <c r="A7" s="303" t="s">
        <v>227</v>
      </c>
      <c r="B7" s="31" t="s">
        <v>228</v>
      </c>
      <c r="C7" s="304" t="s">
        <v>229</v>
      </c>
    </row>
    <row r="8" spans="1:7" x14ac:dyDescent="0.2">
      <c r="A8">
        <v>1</v>
      </c>
      <c r="B8" t="s">
        <v>230</v>
      </c>
      <c r="C8" s="305">
        <v>0.06</v>
      </c>
      <c r="D8" s="49"/>
      <c r="E8" s="49"/>
      <c r="F8" s="49"/>
      <c r="G8" s="49"/>
    </row>
    <row r="9" spans="1:7" hidden="1" x14ac:dyDescent="0.2">
      <c r="B9" t="s">
        <v>231</v>
      </c>
      <c r="C9" s="302">
        <f>POWER((C8+1),1/12)-1</f>
        <v>4.8675505653430484E-3</v>
      </c>
      <c r="D9" s="306"/>
      <c r="E9" s="157"/>
      <c r="F9" s="157"/>
      <c r="G9" s="49"/>
    </row>
    <row r="10" spans="1:7" hidden="1" x14ac:dyDescent="0.2">
      <c r="C10" s="299"/>
      <c r="D10" s="299"/>
      <c r="E10" s="171"/>
      <c r="G10" s="49"/>
    </row>
    <row r="11" spans="1:7" x14ac:dyDescent="0.2">
      <c r="A11">
        <v>2</v>
      </c>
      <c r="B11" t="s">
        <v>232</v>
      </c>
      <c r="C11" s="307">
        <f>339777/12</f>
        <v>28314.75</v>
      </c>
      <c r="E11" s="135"/>
      <c r="F11" s="157"/>
    </row>
    <row r="12" spans="1:7" x14ac:dyDescent="0.2">
      <c r="A12">
        <v>3</v>
      </c>
      <c r="B12" t="s">
        <v>233</v>
      </c>
      <c r="C12" s="307">
        <f>12*15</f>
        <v>180</v>
      </c>
      <c r="E12" s="135"/>
      <c r="F12" s="157"/>
    </row>
    <row r="13" spans="1:7" x14ac:dyDescent="0.2">
      <c r="A13">
        <v>4</v>
      </c>
      <c r="B13" t="s">
        <v>234</v>
      </c>
      <c r="C13" s="307">
        <v>0</v>
      </c>
      <c r="E13" s="135"/>
      <c r="F13" s="157"/>
    </row>
    <row r="14" spans="1:7" x14ac:dyDescent="0.2">
      <c r="A14">
        <v>5</v>
      </c>
      <c r="B14" t="s">
        <v>235</v>
      </c>
      <c r="C14" s="307"/>
      <c r="E14" s="135"/>
      <c r="F14" s="157"/>
    </row>
    <row r="15" spans="1:7" x14ac:dyDescent="0.2">
      <c r="A15">
        <v>6</v>
      </c>
      <c r="B15" t="s">
        <v>236</v>
      </c>
      <c r="C15" s="308"/>
    </row>
    <row r="17" spans="1:7" x14ac:dyDescent="0.2">
      <c r="A17" s="303" t="s">
        <v>237</v>
      </c>
    </row>
    <row r="18" spans="1:7" x14ac:dyDescent="0.2">
      <c r="A18">
        <v>7</v>
      </c>
      <c r="B18" t="s">
        <v>238</v>
      </c>
      <c r="C18" s="7">
        <f>-PV(C9,C12,C11,,C15)</f>
        <v>3389794.0863765017</v>
      </c>
    </row>
    <row r="19" spans="1:7" x14ac:dyDescent="0.2">
      <c r="A19">
        <v>8</v>
      </c>
      <c r="B19" t="s">
        <v>239</v>
      </c>
      <c r="C19" s="7">
        <f>C13/POWER((1+C9),C14)</f>
        <v>0</v>
      </c>
    </row>
    <row r="20" spans="1:7" x14ac:dyDescent="0.2">
      <c r="A20" s="31">
        <v>9</v>
      </c>
      <c r="B20" s="31" t="s">
        <v>240</v>
      </c>
      <c r="C20" s="309">
        <f>+C18+C19</f>
        <v>3389794.0863765017</v>
      </c>
    </row>
    <row r="23" spans="1:7" x14ac:dyDescent="0.2">
      <c r="A23" s="31" t="s">
        <v>241</v>
      </c>
    </row>
    <row r="24" spans="1:7" x14ac:dyDescent="0.2">
      <c r="C24" s="310"/>
      <c r="D24" s="49"/>
      <c r="E24" s="49"/>
      <c r="F24" s="49"/>
      <c r="G24" s="49"/>
    </row>
    <row r="25" spans="1:7" x14ac:dyDescent="0.2">
      <c r="A25">
        <v>1</v>
      </c>
      <c r="B25" t="s">
        <v>242</v>
      </c>
      <c r="C25" s="310"/>
      <c r="D25" s="311"/>
      <c r="E25" s="49"/>
      <c r="F25" s="49"/>
      <c r="G25" s="49"/>
    </row>
    <row r="26" spans="1:7" x14ac:dyDescent="0.2">
      <c r="B26" t="s">
        <v>243</v>
      </c>
      <c r="C26" s="310"/>
      <c r="D26" s="311"/>
      <c r="E26" s="49"/>
      <c r="F26" s="49"/>
      <c r="G26" s="49"/>
    </row>
    <row r="27" spans="1:7" x14ac:dyDescent="0.2">
      <c r="B27" s="312" t="s">
        <v>74</v>
      </c>
      <c r="C27" s="310"/>
      <c r="D27" s="311"/>
      <c r="E27" s="49"/>
      <c r="F27" s="49"/>
      <c r="G27" s="49"/>
    </row>
    <row r="28" spans="1:7" x14ac:dyDescent="0.2">
      <c r="A28">
        <v>2</v>
      </c>
      <c r="B28" s="110" t="s">
        <v>244</v>
      </c>
      <c r="C28" s="310"/>
      <c r="D28" s="311"/>
      <c r="E28" s="49"/>
      <c r="F28" s="49"/>
      <c r="G28" s="49"/>
    </row>
    <row r="29" spans="1:7" x14ac:dyDescent="0.2">
      <c r="A29">
        <v>4</v>
      </c>
      <c r="B29" t="s">
        <v>245</v>
      </c>
      <c r="C29" s="49"/>
      <c r="D29" s="49"/>
      <c r="E29" s="49"/>
      <c r="F29" s="49"/>
      <c r="G29" s="49"/>
    </row>
    <row r="30" spans="1:7" x14ac:dyDescent="0.2">
      <c r="A30">
        <v>5</v>
      </c>
      <c r="B30" t="s">
        <v>246</v>
      </c>
      <c r="C30" s="49"/>
      <c r="D30" s="49"/>
      <c r="E30" s="49"/>
      <c r="F30" s="49"/>
      <c r="G30" s="49"/>
    </row>
    <row r="31" spans="1:7" x14ac:dyDescent="0.2">
      <c r="B31" t="s">
        <v>247</v>
      </c>
      <c r="C31" s="49"/>
      <c r="D31" s="49"/>
      <c r="E31" s="49"/>
      <c r="F31" s="49"/>
      <c r="G31" s="49"/>
    </row>
    <row r="32" spans="1:7" x14ac:dyDescent="0.2">
      <c r="A32">
        <v>6</v>
      </c>
      <c r="B32" t="s">
        <v>248</v>
      </c>
      <c r="C32" s="49"/>
      <c r="D32" s="49"/>
      <c r="E32" s="49"/>
      <c r="F32" s="49"/>
      <c r="G32" s="49"/>
    </row>
    <row r="33" spans="1:7" x14ac:dyDescent="0.2">
      <c r="A33">
        <v>9</v>
      </c>
      <c r="B33" t="s">
        <v>249</v>
      </c>
      <c r="C33" s="49"/>
      <c r="D33" s="49"/>
      <c r="E33" s="49"/>
      <c r="F33" s="49"/>
      <c r="G33" s="49"/>
    </row>
    <row r="34" spans="1:7" x14ac:dyDescent="0.2">
      <c r="C34" s="49"/>
      <c r="D34" s="49"/>
      <c r="E34" s="49"/>
      <c r="F34" s="49"/>
      <c r="G34" s="49"/>
    </row>
    <row r="36" spans="1:7" x14ac:dyDescent="0.2">
      <c r="B36" s="110"/>
    </row>
    <row r="37" spans="1:7" x14ac:dyDescent="0.2">
      <c r="B37" s="110"/>
    </row>
    <row r="38" spans="1:7" x14ac:dyDescent="0.2">
      <c r="B38" s="110"/>
    </row>
    <row r="39" spans="1:7" x14ac:dyDescent="0.2">
      <c r="B39" s="110"/>
    </row>
    <row r="40" spans="1:7" x14ac:dyDescent="0.2">
      <c r="B40" s="110"/>
    </row>
  </sheetData>
  <hyperlinks>
    <hyperlink ref="B27" r:id="rId1" xr:uid="{00000000-0004-0000-0B00-000000000000}"/>
  </hyperlinks>
  <pageMargins left="0.75" right="0.75" top="1" bottom="1" header="0.51180555555555496" footer="0.51180555555555496"/>
  <pageSetup paperSize="9" firstPageNumber="0" orientation="landscape" horizontalDpi="300" verticalDpi="300"/>
  <headerFooter>
    <oddHeader>&amp;L&amp;"Calibri"&amp;10&amp;K000000 Vertrouwelijk&amp;1#_x000D_</oddHeader>
  </headerFooter>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20</vt:i4>
      </vt:variant>
    </vt:vector>
  </HeadingPairs>
  <TitlesOfParts>
    <vt:vector size="32" baseType="lpstr">
      <vt:lpstr>Invoerblad</vt:lpstr>
      <vt:lpstr>Overzicht MSK toets</vt:lpstr>
      <vt:lpstr>hulpberekeningen 2</vt:lpstr>
      <vt:lpstr>Samenvatting en uitgangspunten</vt:lpstr>
      <vt:lpstr>Hulpberekeningen 1</vt:lpstr>
      <vt:lpstr>Beoordeling</vt:lpstr>
      <vt:lpstr>Toelichting</vt:lpstr>
      <vt:lpstr>Stamblad</vt:lpstr>
      <vt:lpstr>Hulpberekeningen 3 </vt:lpstr>
      <vt:lpstr>Rendement geinv. vermogen</vt:lpstr>
      <vt:lpstr>VAMIL voordeel</vt:lpstr>
      <vt:lpstr>Invoerblad  bij lease</vt:lpstr>
      <vt:lpstr>Invoerblad!Afdrukbereik</vt:lpstr>
      <vt:lpstr>inv_bl_A</vt:lpstr>
      <vt:lpstr>invbl_B1</vt:lpstr>
      <vt:lpstr>invbl_b2</vt:lpstr>
      <vt:lpstr>msktoets</vt:lpstr>
      <vt:lpstr>Invoerblad!Z_4284377C_91E6_4152_887E_8DA87560FDD6_.wvu.Cols</vt:lpstr>
      <vt:lpstr>'Invoerblad  bij lease'!Z_4284377C_91E6_4152_887E_8DA87560FDD6_.wvu.Rows</vt:lpstr>
      <vt:lpstr>'Overzicht MSK toets'!Z_4284377C_91E6_4152_887E_8DA87560FDD6_.wvu.Rows</vt:lpstr>
      <vt:lpstr>Invoerblad!Z_546B9E27_05F9_47A7_B161_BCC56D613799_.wvu.Cols</vt:lpstr>
      <vt:lpstr>'Invoerblad  bij lease'!Z_546B9E27_05F9_47A7_B161_BCC56D613799_.wvu.Rows</vt:lpstr>
      <vt:lpstr>'Overzicht MSK toets'!Z_546B9E27_05F9_47A7_B161_BCC56D613799_.wvu.Rows</vt:lpstr>
      <vt:lpstr>Invoerblad!Z_5D986420_B83B_47C8_8160_784F77FFC196_.wvu.Cols</vt:lpstr>
      <vt:lpstr>'Invoerblad  bij lease'!Z_5D986420_B83B_47C8_8160_784F77FFC196_.wvu.Rows</vt:lpstr>
      <vt:lpstr>'Overzicht MSK toets'!Z_5D986420_B83B_47C8_8160_784F77FFC196_.wvu.Rows</vt:lpstr>
      <vt:lpstr>Invoerblad!Z_C9029B8D_126A_43F1_8BE9_BB8A7DE12FBF_.wvu.Cols</vt:lpstr>
      <vt:lpstr>'Invoerblad  bij lease'!Z_C9029B8D_126A_43F1_8BE9_BB8A7DE12FBF_.wvu.Rows</vt:lpstr>
      <vt:lpstr>'Overzicht MSK toets'!Z_C9029B8D_126A_43F1_8BE9_BB8A7DE12FBF_.wvu.Rows</vt:lpstr>
      <vt:lpstr>Invoerblad!Z_D98A0717_74D0_4F54_BB8F_A337A1A9E4DF_.wvu.Cols</vt:lpstr>
      <vt:lpstr>'Invoerblad  bij lease'!Z_D98A0717_74D0_4F54_BB8F_A337A1A9E4DF_.wvu.Rows</vt:lpstr>
      <vt:lpstr>'Overzicht MSK toets'!Z_D98A0717_74D0_4F54_BB8F_A337A1A9E4DF_.wvu.Rows</vt:lpstr>
    </vt:vector>
  </TitlesOfParts>
  <Company>Senter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Winter</dc:creator>
  <dc:description/>
  <cp:lastModifiedBy>Vos, L.A. de (Leonie)</cp:lastModifiedBy>
  <cp:revision>1</cp:revision>
  <cp:lastPrinted>2019-08-15T14:15:45Z</cp:lastPrinted>
  <dcterms:created xsi:type="dcterms:W3CDTF">2001-10-29T12:18:33Z</dcterms:created>
  <dcterms:modified xsi:type="dcterms:W3CDTF">2023-09-28T07:44:05Z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Senter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26b69bfc-5c76-4d05-916d-73ebda3cf11d_Enabled">
    <vt:lpwstr>true</vt:lpwstr>
  </property>
  <property fmtid="{D5CDD505-2E9C-101B-9397-08002B2CF9AE}" pid="10" name="MSIP_Label_26b69bfc-5c76-4d05-916d-73ebda3cf11d_SetDate">
    <vt:lpwstr>2022-11-30T14:41:24Z</vt:lpwstr>
  </property>
  <property fmtid="{D5CDD505-2E9C-101B-9397-08002B2CF9AE}" pid="11" name="MSIP_Label_26b69bfc-5c76-4d05-916d-73ebda3cf11d_Method">
    <vt:lpwstr>Privileged</vt:lpwstr>
  </property>
  <property fmtid="{D5CDD505-2E9C-101B-9397-08002B2CF9AE}" pid="12" name="MSIP_Label_26b69bfc-5c76-4d05-916d-73ebda3cf11d_Name">
    <vt:lpwstr>Sublabel-Vertrouwelijk-onversleuteld</vt:lpwstr>
  </property>
  <property fmtid="{D5CDD505-2E9C-101B-9397-08002B2CF9AE}" pid="13" name="MSIP_Label_26b69bfc-5c76-4d05-916d-73ebda3cf11d_SiteId">
    <vt:lpwstr>1321633e-f6b9-44e2-a44f-59b9d264ecb7</vt:lpwstr>
  </property>
  <property fmtid="{D5CDD505-2E9C-101B-9397-08002B2CF9AE}" pid="14" name="MSIP_Label_26b69bfc-5c76-4d05-916d-73ebda3cf11d_ActionId">
    <vt:lpwstr>cc8420c9-47e4-451e-bdad-45188253d3ad</vt:lpwstr>
  </property>
  <property fmtid="{D5CDD505-2E9C-101B-9397-08002B2CF9AE}" pid="15" name="MSIP_Label_26b69bfc-5c76-4d05-916d-73ebda3cf11d_ContentBits">
    <vt:lpwstr>2</vt:lpwstr>
  </property>
</Properties>
</file>