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lnv.intern\grp\DR\Contentmanagement\Opdrachten 2023\Opmaak pdf\SDE\Oktober, rekenmodellen\"/>
    </mc:Choice>
  </mc:AlternateContent>
  <xr:revisionPtr revIDLastSave="0" documentId="14_{3F5DB384-B36F-46E4-B347-ECA962A14D93}" xr6:coauthVersionLast="47" xr6:coauthVersionMax="47" xr10:uidLastSave="{00000000-0000-0000-0000-000000000000}"/>
  <bookViews>
    <workbookView xWindow="-120" yWindow="-120" windowWidth="29040" windowHeight="15840" tabRatio="874" xr2:uid="{00000000-000D-0000-FFFF-FFFF00000000}"/>
  </bookViews>
  <sheets>
    <sheet name="Invoerblad" sheetId="1" r:id="rId1"/>
    <sheet name="Overzicht MSK toets" sheetId="3" r:id="rId2"/>
    <sheet name="hulpberekeningen 2" sheetId="15" state="hidden" r:id="rId3"/>
    <sheet name="Samenvatting en uitgangspunten" sheetId="6" r:id="rId4"/>
    <sheet name="Hulpberekeningen 1" sheetId="9" state="hidden" r:id="rId5"/>
    <sheet name="Beoordeling" sheetId="18" state="hidden" r:id="rId6"/>
    <sheet name="Toelichting" sheetId="17" r:id="rId7"/>
    <sheet name="Stamblad" sheetId="7" state="hidden" r:id="rId8"/>
    <sheet name="Hulpberekeningen 3 " sheetId="19" state="hidden" r:id="rId9"/>
    <sheet name="Rendement geinv. vermogen" sheetId="10" state="hidden" r:id="rId10"/>
    <sheet name="VAMIL voordeel" sheetId="11" state="hidden" r:id="rId11"/>
    <sheet name="Invoerblad  bij lease" sheetId="12" state="hidden" r:id="rId12"/>
  </sheets>
  <externalReferences>
    <externalReference r:id="rId13"/>
  </externalReferences>
  <definedNames>
    <definedName name="_xlnm.Print_Area" localSheetId="0">Invoerblad!$A$5:$AB$163</definedName>
    <definedName name="Categorie">[1]Stamblad!$B$9:$B$39</definedName>
    <definedName name="inv_bl_A">Invoerblad!$A$8:$W$96</definedName>
    <definedName name="inv_bl_C">Invoerblad!#REF!</definedName>
    <definedName name="invbl_B1">Invoerblad!$A$145:$W$149</definedName>
    <definedName name="invbl_b2">Invoerblad!$A$151:$W$163</definedName>
    <definedName name="lijst_categorien" localSheetId="7">#REF!</definedName>
    <definedName name="lijst_categorien">#REF!</definedName>
    <definedName name="msktoets">'Overzicht MSK toets'!$A$1:$M$97</definedName>
    <definedName name="sde_ronde">#REF!</definedName>
    <definedName name="Z_4284377C_91E6_4152_887E_8DA87560FDD6_.wvu.Cols" localSheetId="0">Invoerblad!$F:$F,Invoerblad!$I:$J</definedName>
    <definedName name="Z_4284377C_91E6_4152_887E_8DA87560FDD6_.wvu.Rows" localSheetId="0">Invoerblad!#REF!,Invoerblad!#REF!,Invoerblad!#REF!</definedName>
    <definedName name="Z_4284377C_91E6_4152_887E_8DA87560FDD6_.wvu.Rows" localSheetId="11">'Invoerblad  bij lease'!$9:$10</definedName>
    <definedName name="Z_4284377C_91E6_4152_887E_8DA87560FDD6_.wvu.Rows" localSheetId="1">'Overzicht MSK toets'!$79:$79,'Overzicht MSK toets'!$82:$82</definedName>
    <definedName name="Z_546B9E27_05F9_47A7_B161_BCC56D613799_.wvu.Cols" localSheetId="0">Invoerblad!$F:$F,Invoerblad!$I:$J</definedName>
    <definedName name="Z_546B9E27_05F9_47A7_B161_BCC56D613799_.wvu.Rows" localSheetId="0">Invoerblad!#REF!,Invoerblad!#REF!,Invoerblad!#REF!</definedName>
    <definedName name="Z_546B9E27_05F9_47A7_B161_BCC56D613799_.wvu.Rows" localSheetId="11">'Invoerblad  bij lease'!$9:$10</definedName>
    <definedName name="Z_546B9E27_05F9_47A7_B161_BCC56D613799_.wvu.Rows" localSheetId="1">'Overzicht MSK toets'!$79:$79,'Overzicht MSK toets'!$82:$82</definedName>
    <definedName name="Z_5D986420_B83B_47C8_8160_784F77FFC196_.wvu.Cols" localSheetId="0">Invoerblad!$I:$J</definedName>
    <definedName name="Z_5D986420_B83B_47C8_8160_784F77FFC196_.wvu.Rows" localSheetId="0">Invoerblad!#REF!,Invoerblad!#REF!,Invoerblad!#REF!</definedName>
    <definedName name="Z_5D986420_B83B_47C8_8160_784F77FFC196_.wvu.Rows" localSheetId="11">'Invoerblad  bij lease'!$9:$10</definedName>
    <definedName name="Z_5D986420_B83B_47C8_8160_784F77FFC196_.wvu.Rows" localSheetId="1">'Overzicht MSK toets'!$79:$79,'Overzicht MSK toets'!$82:$82</definedName>
    <definedName name="Z_C9029B8D_126A_43F1_8BE9_BB8A7DE12FBF_.wvu.Cols" localSheetId="0">Invoerblad!$F:$F,Invoerblad!$I:$J</definedName>
    <definedName name="Z_C9029B8D_126A_43F1_8BE9_BB8A7DE12FBF_.wvu.Rows" localSheetId="0">Invoerblad!#REF!,Invoerblad!#REF!,Invoerblad!#REF!</definedName>
    <definedName name="Z_C9029B8D_126A_43F1_8BE9_BB8A7DE12FBF_.wvu.Rows" localSheetId="11">'Invoerblad  bij lease'!$9:$10</definedName>
    <definedName name="Z_C9029B8D_126A_43F1_8BE9_BB8A7DE12FBF_.wvu.Rows" localSheetId="1">'Overzicht MSK toets'!$79:$79,'Overzicht MSK toets'!$82:$82</definedName>
    <definedName name="Z_D98A0717_74D0_4F54_BB8F_A337A1A9E4DF_.wvu.Cols" localSheetId="0">Invoerblad!$F:$F,Invoerblad!$I:$J</definedName>
    <definedName name="Z_D98A0717_74D0_4F54_BB8F_A337A1A9E4DF_.wvu.Rows" localSheetId="0">Invoerblad!#REF!,Invoerblad!#REF!,Invoerblad!#REF!</definedName>
    <definedName name="Z_D98A0717_74D0_4F54_BB8F_A337A1A9E4DF_.wvu.Rows" localSheetId="11">'Invoerblad  bij lease'!$9:$10</definedName>
    <definedName name="Z_D98A0717_74D0_4F54_BB8F_A337A1A9E4DF_.wvu.Rows" localSheetId="1">'Overzicht MSK toets'!$79:$79,'Overzicht MSK toets'!$82:$82</definedName>
  </definedNames>
  <calcPr calcId="191029" iterate="1" iterateCount="300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K18" i="1" l="1"/>
  <c r="F27" i="1"/>
  <c r="F24" i="1"/>
  <c r="F23" i="1"/>
  <c r="B186" i="1"/>
  <c r="B187" i="1"/>
  <c r="B185" i="1"/>
  <c r="B184" i="1"/>
  <c r="B179" i="1"/>
  <c r="B180" i="1"/>
  <c r="B181" i="1"/>
  <c r="B182" i="1"/>
  <c r="B183" i="1"/>
  <c r="B178" i="1"/>
  <c r="B102" i="1" l="1"/>
  <c r="B113" i="1"/>
  <c r="T9" i="11" l="1"/>
  <c r="T7" i="11"/>
  <c r="O73" i="1"/>
  <c r="P73" i="1"/>
  <c r="Q73" i="1"/>
  <c r="R73" i="1"/>
  <c r="S73" i="1"/>
  <c r="T73" i="1"/>
  <c r="U73" i="1"/>
  <c r="V73" i="1"/>
  <c r="W73" i="1"/>
  <c r="X73" i="1"/>
  <c r="Y73" i="1"/>
  <c r="N73" i="1"/>
  <c r="P29" i="9" l="1"/>
  <c r="P30" i="9" l="1"/>
  <c r="P31" i="9" s="1"/>
  <c r="P32" i="9" s="1"/>
  <c r="A15" i="11"/>
  <c r="I169" i="1"/>
  <c r="Y160" i="1" a="1"/>
  <c r="Y160" i="1" s="1"/>
  <c r="X160" i="1" a="1"/>
  <c r="X160" i="1" s="1"/>
  <c r="W160" i="1" a="1"/>
  <c r="W160" i="1" s="1"/>
  <c r="V160" i="1" a="1"/>
  <c r="V160" i="1" s="1"/>
  <c r="U160" i="1" a="1"/>
  <c r="U160" i="1" s="1"/>
  <c r="T160" i="1" a="1"/>
  <c r="T160" i="1" s="1"/>
  <c r="S160" i="1" a="1"/>
  <c r="S160" i="1" s="1"/>
  <c r="R160" i="1" a="1"/>
  <c r="R160" i="1" s="1"/>
  <c r="Q160" i="1" a="1"/>
  <c r="Q160" i="1" s="1"/>
  <c r="P160" i="1" a="1"/>
  <c r="P160" i="1" s="1"/>
  <c r="O160" i="1" a="1"/>
  <c r="O160" i="1" s="1"/>
  <c r="N160" i="1" a="1"/>
  <c r="N160" i="1" s="1"/>
  <c r="E20" i="1" a="1"/>
  <c r="E20" i="1" s="1"/>
  <c r="E19" i="1" a="1"/>
  <c r="E19" i="1" s="1"/>
  <c r="I49" i="1" l="1"/>
  <c r="I163" i="1"/>
  <c r="E94" i="1" l="1" a="1"/>
  <c r="E94" i="1" s="1"/>
  <c r="E93" i="1" a="1"/>
  <c r="E93" i="1" s="1"/>
  <c r="M14" i="1" l="1"/>
  <c r="M13" i="1"/>
  <c r="E5" i="9" l="1"/>
  <c r="K169" i="1" l="1"/>
  <c r="K22" i="1" l="1"/>
  <c r="B3" i="15"/>
  <c r="L22" i="1" l="1"/>
  <c r="M22" i="1"/>
  <c r="I23" i="1" l="1"/>
  <c r="E23" i="1" s="1"/>
  <c r="I24" i="1"/>
  <c r="E24" i="1" s="1"/>
  <c r="N22" i="1" l="1"/>
  <c r="O22" i="1"/>
  <c r="P22" i="1"/>
  <c r="Q22" i="1"/>
  <c r="R22" i="1"/>
  <c r="S22" i="1"/>
  <c r="T22" i="1"/>
  <c r="U22" i="1"/>
  <c r="V22" i="1"/>
  <c r="W22" i="1"/>
  <c r="X22" i="1"/>
  <c r="Y22" i="1"/>
  <c r="Z22" i="1"/>
  <c r="AA22" i="1"/>
  <c r="I22" i="1" l="1"/>
  <c r="B6" i="15"/>
  <c r="E4" i="15"/>
  <c r="F4" i="15"/>
  <c r="G4" i="15"/>
  <c r="H4" i="15"/>
  <c r="I4" i="15"/>
  <c r="J4" i="15"/>
  <c r="K4" i="15"/>
  <c r="L4" i="15"/>
  <c r="M4" i="15"/>
  <c r="N4" i="15"/>
  <c r="O4" i="15"/>
  <c r="P4" i="15"/>
  <c r="Q4" i="15"/>
  <c r="R4" i="15"/>
  <c r="S4" i="15"/>
  <c r="T4" i="15"/>
  <c r="D4" i="15"/>
  <c r="B5" i="15"/>
  <c r="B4" i="15"/>
  <c r="D33" i="15"/>
  <c r="E33" i="15"/>
  <c r="F33" i="15"/>
  <c r="G33" i="15"/>
  <c r="H33" i="15"/>
  <c r="I33" i="15"/>
  <c r="J33" i="15"/>
  <c r="K33" i="15"/>
  <c r="L33" i="15"/>
  <c r="M33" i="15"/>
  <c r="N33" i="15"/>
  <c r="O33" i="15"/>
  <c r="P33" i="15"/>
  <c r="Q33" i="15"/>
  <c r="R33" i="15"/>
  <c r="S33" i="15"/>
  <c r="T33" i="15"/>
  <c r="U33" i="15"/>
  <c r="U41" i="15" l="1"/>
  <c r="T40" i="15"/>
  <c r="U40" i="15"/>
  <c r="B7" i="15" l="1"/>
  <c r="I20" i="1"/>
  <c r="E3" i="9" l="1"/>
  <c r="L111" i="1" l="1"/>
  <c r="M111" i="1"/>
  <c r="N111" i="1"/>
  <c r="O111" i="1"/>
  <c r="P111" i="1"/>
  <c r="Q111" i="1"/>
  <c r="R111" i="1"/>
  <c r="S111" i="1"/>
  <c r="T111" i="1"/>
  <c r="U111" i="1"/>
  <c r="V111" i="1"/>
  <c r="W111" i="1"/>
  <c r="X111" i="1"/>
  <c r="Y111" i="1"/>
  <c r="Z111" i="1"/>
  <c r="AA111" i="1"/>
  <c r="AB111" i="1"/>
  <c r="L112" i="1"/>
  <c r="M112" i="1"/>
  <c r="N112" i="1"/>
  <c r="O112" i="1"/>
  <c r="P112" i="1"/>
  <c r="Q112" i="1"/>
  <c r="R112" i="1"/>
  <c r="S112" i="1"/>
  <c r="T112" i="1"/>
  <c r="U112" i="1"/>
  <c r="V112" i="1"/>
  <c r="W112" i="1"/>
  <c r="X112" i="1"/>
  <c r="Y112" i="1"/>
  <c r="Z112" i="1"/>
  <c r="AA112" i="1"/>
  <c r="AB112" i="1"/>
  <c r="K112" i="1"/>
  <c r="K111" i="1"/>
  <c r="AB100" i="1"/>
  <c r="L101" i="1"/>
  <c r="M101" i="1"/>
  <c r="N101" i="1"/>
  <c r="O101" i="1"/>
  <c r="P101" i="1"/>
  <c r="Q101" i="1"/>
  <c r="R101" i="1"/>
  <c r="S101" i="1"/>
  <c r="T101" i="1"/>
  <c r="U101" i="1"/>
  <c r="V101" i="1"/>
  <c r="W101" i="1"/>
  <c r="X101" i="1"/>
  <c r="Y101" i="1"/>
  <c r="Z101" i="1"/>
  <c r="AA101" i="1"/>
  <c r="AB101" i="1"/>
  <c r="L100" i="1"/>
  <c r="M100" i="1"/>
  <c r="N100" i="1"/>
  <c r="O100" i="1"/>
  <c r="P100" i="1"/>
  <c r="Q100" i="1"/>
  <c r="R100" i="1"/>
  <c r="S100" i="1"/>
  <c r="T100" i="1"/>
  <c r="U100" i="1"/>
  <c r="V100" i="1"/>
  <c r="W100" i="1"/>
  <c r="X100" i="1"/>
  <c r="Y100" i="1"/>
  <c r="Z100" i="1"/>
  <c r="AA100" i="1"/>
  <c r="K101" i="1"/>
  <c r="K100" i="1"/>
  <c r="D16" i="3" l="1"/>
  <c r="E11" i="6" s="1"/>
  <c r="D17" i="3"/>
  <c r="E12" i="6" s="1"/>
  <c r="B8" i="10" l="1"/>
  <c r="B25" i="10"/>
  <c r="B9" i="10" l="1"/>
  <c r="B177" i="1"/>
  <c r="B3" i="10" l="1"/>
  <c r="K114" i="1"/>
  <c r="T57" i="15" l="1"/>
  <c r="U57" i="15"/>
  <c r="U34" i="15"/>
  <c r="U58" i="15" l="1"/>
  <c r="A45" i="15"/>
  <c r="E57" i="15"/>
  <c r="F57" i="15"/>
  <c r="G57" i="15"/>
  <c r="H57" i="15"/>
  <c r="I57" i="15"/>
  <c r="J57" i="15"/>
  <c r="K57" i="15"/>
  <c r="L57" i="15"/>
  <c r="M57" i="15"/>
  <c r="N57" i="15"/>
  <c r="O57" i="15"/>
  <c r="P57" i="15"/>
  <c r="Q57" i="15"/>
  <c r="R57" i="15"/>
  <c r="S57" i="15"/>
  <c r="D57" i="15"/>
  <c r="E53" i="3" l="1"/>
  <c r="F37" i="6" s="1"/>
  <c r="B40" i="6" s="1"/>
  <c r="U37" i="15"/>
  <c r="U38" i="15"/>
  <c r="B55" i="3" l="1"/>
  <c r="B56" i="3"/>
  <c r="B54" i="3"/>
  <c r="C12" i="12" l="1"/>
  <c r="C11" i="12"/>
  <c r="C9" i="12"/>
  <c r="C19" i="12" s="1"/>
  <c r="F1" i="12"/>
  <c r="Q9" i="11"/>
  <c r="P9" i="11"/>
  <c r="O9" i="11"/>
  <c r="N9" i="11"/>
  <c r="M9" i="11"/>
  <c r="L9" i="11"/>
  <c r="K9" i="11"/>
  <c r="J9" i="11"/>
  <c r="I9" i="11"/>
  <c r="H9" i="11"/>
  <c r="G9" i="11"/>
  <c r="F9" i="11"/>
  <c r="B4" i="11"/>
  <c r="B26" i="10"/>
  <c r="B7" i="10"/>
  <c r="D3" i="9"/>
  <c r="E2" i="9"/>
  <c r="E1" i="9"/>
  <c r="E79" i="6"/>
  <c r="E78" i="6"/>
  <c r="E77" i="6"/>
  <c r="E76" i="6"/>
  <c r="E75" i="6"/>
  <c r="E74" i="6"/>
  <c r="E72" i="6"/>
  <c r="E68" i="6"/>
  <c r="E62" i="6"/>
  <c r="B63" i="6" s="1"/>
  <c r="E61" i="6"/>
  <c r="E59" i="6"/>
  <c r="E56" i="6"/>
  <c r="E55" i="6"/>
  <c r="B57" i="6" s="1"/>
  <c r="E54" i="6"/>
  <c r="E52" i="6"/>
  <c r="E51" i="6"/>
  <c r="E50" i="6"/>
  <c r="E45" i="6"/>
  <c r="E44" i="6"/>
  <c r="E43" i="6"/>
  <c r="D13" i="6"/>
  <c r="D12" i="6"/>
  <c r="D11" i="6"/>
  <c r="D20" i="3"/>
  <c r="E15" i="6" s="1"/>
  <c r="D19" i="3"/>
  <c r="E14" i="6" s="1"/>
  <c r="D18" i="3"/>
  <c r="E13" i="6" s="1"/>
  <c r="C18" i="3"/>
  <c r="C17" i="3"/>
  <c r="C16" i="3"/>
  <c r="E7" i="3"/>
  <c r="F4" i="6" s="1"/>
  <c r="AB114" i="1"/>
  <c r="AA114" i="1"/>
  <c r="Z114" i="1"/>
  <c r="Y114" i="1"/>
  <c r="X114" i="1"/>
  <c r="W114" i="1"/>
  <c r="V114" i="1"/>
  <c r="U114" i="1"/>
  <c r="T114" i="1"/>
  <c r="S114" i="1"/>
  <c r="R114" i="1"/>
  <c r="Q114" i="1"/>
  <c r="P114" i="1"/>
  <c r="O114" i="1"/>
  <c r="N114" i="1"/>
  <c r="M114" i="1"/>
  <c r="L114" i="1"/>
  <c r="AB103" i="1"/>
  <c r="AA103" i="1"/>
  <c r="Z103" i="1"/>
  <c r="Y103" i="1"/>
  <c r="X103" i="1"/>
  <c r="W103" i="1"/>
  <c r="V103" i="1"/>
  <c r="U103" i="1"/>
  <c r="T103" i="1"/>
  <c r="S103" i="1"/>
  <c r="R103" i="1"/>
  <c r="Q103" i="1"/>
  <c r="P103" i="1"/>
  <c r="O103" i="1"/>
  <c r="N103" i="1"/>
  <c r="M103" i="1"/>
  <c r="L103" i="1"/>
  <c r="K103" i="1"/>
  <c r="E87" i="1"/>
  <c r="B5" i="10" s="1"/>
  <c r="E78" i="1"/>
  <c r="E63" i="6" s="1"/>
  <c r="E70" i="1"/>
  <c r="E63" i="1"/>
  <c r="C18" i="12" l="1"/>
  <c r="C20" i="12" s="1"/>
  <c r="E4" i="9"/>
  <c r="E57" i="6"/>
  <c r="E84" i="1"/>
  <c r="E18" i="9"/>
  <c r="D8" i="9"/>
  <c r="F17" i="9"/>
  <c r="E69" i="6"/>
  <c r="E22" i="9" l="1"/>
  <c r="E15" i="9"/>
  <c r="C7" i="11"/>
  <c r="C8" i="11" s="1"/>
  <c r="D5" i="9"/>
  <c r="D10" i="9"/>
  <c r="D9" i="9"/>
  <c r="E14" i="9"/>
  <c r="E66" i="6"/>
  <c r="D11" i="9" l="1"/>
  <c r="E19" i="9" s="1"/>
  <c r="D12" i="9"/>
  <c r="D15" i="9" s="1"/>
  <c r="E24" i="9"/>
  <c r="K19" i="1" s="1"/>
  <c r="D34" i="15"/>
  <c r="D58" i="15" s="1"/>
  <c r="D5" i="15"/>
  <c r="K110" i="1"/>
  <c r="K99" i="1"/>
  <c r="C2" i="19" s="1"/>
  <c r="K68" i="1"/>
  <c r="L18" i="1"/>
  <c r="D7" i="11" s="1"/>
  <c r="K148" i="1"/>
  <c r="L148" i="1" s="1"/>
  <c r="M148" i="1" s="1"/>
  <c r="N148" i="1" s="1"/>
  <c r="O148" i="1" s="1"/>
  <c r="P148" i="1" s="1"/>
  <c r="Q148" i="1" s="1"/>
  <c r="R148" i="1" s="1"/>
  <c r="S148" i="1" s="1"/>
  <c r="T148" i="1" s="1"/>
  <c r="U148" i="1" s="1"/>
  <c r="V148" i="1" s="1"/>
  <c r="W148" i="1" s="1"/>
  <c r="X148" i="1" s="1"/>
  <c r="Y148" i="1" s="1"/>
  <c r="Z148" i="1" s="1"/>
  <c r="AA148" i="1" s="1"/>
  <c r="K76" i="1" l="1"/>
  <c r="K73" i="1"/>
  <c r="K70" i="1"/>
  <c r="C12" i="10"/>
  <c r="L68" i="1"/>
  <c r="D12" i="10" s="1"/>
  <c r="K160" i="1" a="1"/>
  <c r="K160" i="1" s="1"/>
  <c r="R8" i="11"/>
  <c r="D14" i="9"/>
  <c r="D7" i="15"/>
  <c r="K20" i="1" s="1"/>
  <c r="K115" i="1"/>
  <c r="K132" i="1"/>
  <c r="K104" i="1"/>
  <c r="K122" i="1"/>
  <c r="E25" i="9"/>
  <c r="E5" i="15"/>
  <c r="L99" i="1"/>
  <c r="D2" i="19" s="1"/>
  <c r="M18" i="1"/>
  <c r="E7" i="11" s="1"/>
  <c r="E34" i="15"/>
  <c r="L110" i="1"/>
  <c r="F21" i="9"/>
  <c r="L73" i="1" l="1"/>
  <c r="D9" i="11" s="1"/>
  <c r="C27" i="10"/>
  <c r="C26" i="10"/>
  <c r="C9" i="11"/>
  <c r="C11" i="11" s="1"/>
  <c r="C13" i="11" s="1"/>
  <c r="M68" i="1"/>
  <c r="E12" i="10" s="1"/>
  <c r="L76" i="1"/>
  <c r="L70" i="1"/>
  <c r="F5" i="15"/>
  <c r="L115" i="1"/>
  <c r="L132" i="1"/>
  <c r="K133" i="1"/>
  <c r="K153" i="1"/>
  <c r="L104" i="1"/>
  <c r="L122" i="1"/>
  <c r="K152" i="1"/>
  <c r="K123" i="1"/>
  <c r="M99" i="1"/>
  <c r="E2" i="19" s="1"/>
  <c r="E58" i="15"/>
  <c r="N18" i="1"/>
  <c r="F34" i="15"/>
  <c r="G21" i="9"/>
  <c r="M110" i="1"/>
  <c r="F22" i="9"/>
  <c r="F24" i="9"/>
  <c r="D26" i="10" l="1"/>
  <c r="E26" i="10" s="1"/>
  <c r="D27" i="10"/>
  <c r="F27" i="10"/>
  <c r="F26" i="10"/>
  <c r="E27" i="10"/>
  <c r="D8" i="11"/>
  <c r="S8" i="11" s="1"/>
  <c r="G5" i="15"/>
  <c r="F7" i="11"/>
  <c r="N68" i="1"/>
  <c r="M73" i="1"/>
  <c r="M76" i="1"/>
  <c r="E79" i="1" s="1"/>
  <c r="M70" i="1"/>
  <c r="E71" i="1" s="1"/>
  <c r="L19" i="1"/>
  <c r="L160" i="1" a="1"/>
  <c r="L160" i="1" s="1"/>
  <c r="L133" i="1"/>
  <c r="L153" i="1"/>
  <c r="M115" i="1"/>
  <c r="M132" i="1"/>
  <c r="L152" i="1"/>
  <c r="L123" i="1"/>
  <c r="M104" i="1"/>
  <c r="M122" i="1"/>
  <c r="E7" i="15"/>
  <c r="L20" i="1" s="1"/>
  <c r="N99" i="1"/>
  <c r="F2" i="19" s="1"/>
  <c r="O18" i="1"/>
  <c r="G34" i="15"/>
  <c r="F58" i="15"/>
  <c r="N110" i="1"/>
  <c r="F25" i="9"/>
  <c r="G24" i="9" s="1"/>
  <c r="E8" i="11" s="1"/>
  <c r="G22" i="9"/>
  <c r="H21" i="9"/>
  <c r="D11" i="11" l="1"/>
  <c r="D13" i="11" s="1"/>
  <c r="G27" i="10"/>
  <c r="G26" i="10"/>
  <c r="O68" i="1"/>
  <c r="F12" i="10"/>
  <c r="I76" i="1"/>
  <c r="M160" i="1" a="1"/>
  <c r="M160" i="1" s="1"/>
  <c r="T8" i="11"/>
  <c r="T11" i="11" s="1"/>
  <c r="T13" i="11" s="1"/>
  <c r="H5" i="15"/>
  <c r="G7" i="11"/>
  <c r="D12" i="3"/>
  <c r="E7" i="6" s="1"/>
  <c r="E58" i="6"/>
  <c r="E9" i="11"/>
  <c r="E64" i="6"/>
  <c r="D21" i="3"/>
  <c r="E16" i="6" s="1"/>
  <c r="I70" i="1"/>
  <c r="M19" i="1"/>
  <c r="F6" i="15" s="1"/>
  <c r="M153" i="1"/>
  <c r="M133" i="1"/>
  <c r="N115" i="1"/>
  <c r="N132" i="1"/>
  <c r="O99" i="1"/>
  <c r="G2" i="19" s="1"/>
  <c r="M152" i="1"/>
  <c r="M123" i="1"/>
  <c r="F7" i="15"/>
  <c r="M20" i="1" s="1"/>
  <c r="G58" i="15"/>
  <c r="P18" i="1"/>
  <c r="H34" i="15"/>
  <c r="O110" i="1"/>
  <c r="G25" i="9"/>
  <c r="H22" i="9"/>
  <c r="I21" i="9"/>
  <c r="H27" i="10" l="1"/>
  <c r="H26" i="10"/>
  <c r="P68" i="1"/>
  <c r="G12" i="10"/>
  <c r="E11" i="11"/>
  <c r="E13" i="11" s="1"/>
  <c r="I5" i="15"/>
  <c r="H7" i="11"/>
  <c r="N133" i="1"/>
  <c r="N153" i="1"/>
  <c r="O115" i="1"/>
  <c r="O132" i="1"/>
  <c r="N104" i="1"/>
  <c r="N122" i="1"/>
  <c r="P99" i="1"/>
  <c r="H2" i="19" s="1"/>
  <c r="H58" i="15"/>
  <c r="Q18" i="1"/>
  <c r="I34" i="15"/>
  <c r="J21" i="9"/>
  <c r="K21" i="9" s="1"/>
  <c r="P110" i="1"/>
  <c r="I22" i="9"/>
  <c r="H24" i="9"/>
  <c r="Q68" i="1" l="1"/>
  <c r="H12" i="10"/>
  <c r="I27" i="10"/>
  <c r="I26" i="10"/>
  <c r="N19" i="1"/>
  <c r="G6" i="15" s="1"/>
  <c r="F8" i="11"/>
  <c r="F11" i="11" s="1"/>
  <c r="F13" i="11" s="1"/>
  <c r="J5" i="15"/>
  <c r="I7" i="11"/>
  <c r="O153" i="1"/>
  <c r="O133" i="1"/>
  <c r="P115" i="1"/>
  <c r="P132" i="1"/>
  <c r="O104" i="1"/>
  <c r="O122" i="1"/>
  <c r="N123" i="1"/>
  <c r="N152" i="1"/>
  <c r="Q99" i="1"/>
  <c r="I2" i="19" s="1"/>
  <c r="G7" i="15"/>
  <c r="N20" i="1" s="1"/>
  <c r="I58" i="15"/>
  <c r="R18" i="1"/>
  <c r="J34" i="15"/>
  <c r="J22" i="9"/>
  <c r="K22" i="9" s="1"/>
  <c r="H25" i="9"/>
  <c r="L21" i="9"/>
  <c r="Q110" i="1"/>
  <c r="J27" i="10" l="1"/>
  <c r="J26" i="10"/>
  <c r="R68" i="1"/>
  <c r="I12" i="10"/>
  <c r="K5" i="15"/>
  <c r="J7" i="11"/>
  <c r="P153" i="1"/>
  <c r="P133" i="1"/>
  <c r="Q115" i="1"/>
  <c r="Q132" i="1"/>
  <c r="P104" i="1"/>
  <c r="P122" i="1"/>
  <c r="O152" i="1"/>
  <c r="O123" i="1"/>
  <c r="R99" i="1"/>
  <c r="J2" i="19" s="1"/>
  <c r="J58" i="15"/>
  <c r="S18" i="1"/>
  <c r="K34" i="15"/>
  <c r="I24" i="9"/>
  <c r="R110" i="1"/>
  <c r="L22" i="9"/>
  <c r="M21" i="9"/>
  <c r="K27" i="10" l="1"/>
  <c r="K26" i="10"/>
  <c r="S68" i="1"/>
  <c r="J12" i="10"/>
  <c r="L5" i="15"/>
  <c r="K7" i="11"/>
  <c r="O19" i="1"/>
  <c r="H6" i="15" s="1"/>
  <c r="G8" i="11"/>
  <c r="G11" i="11" s="1"/>
  <c r="G13" i="11" s="1"/>
  <c r="R115" i="1"/>
  <c r="R132" i="1"/>
  <c r="Q153" i="1"/>
  <c r="Q133" i="1"/>
  <c r="Q104" i="1"/>
  <c r="Q122" i="1"/>
  <c r="P123" i="1"/>
  <c r="P152" i="1"/>
  <c r="S99" i="1"/>
  <c r="K2" i="19" s="1"/>
  <c r="H7" i="15"/>
  <c r="O20" i="1" s="1"/>
  <c r="T18" i="1"/>
  <c r="L34" i="15"/>
  <c r="K58" i="15"/>
  <c r="S110" i="1"/>
  <c r="M22" i="9"/>
  <c r="N21" i="9"/>
  <c r="I25" i="9"/>
  <c r="L27" i="10" l="1"/>
  <c r="L26" i="10"/>
  <c r="T68" i="1"/>
  <c r="K12" i="10"/>
  <c r="M5" i="15"/>
  <c r="L7" i="11"/>
  <c r="R133" i="1"/>
  <c r="R153" i="1"/>
  <c r="S115" i="1"/>
  <c r="S132" i="1"/>
  <c r="R104" i="1"/>
  <c r="R122" i="1"/>
  <c r="Q152" i="1"/>
  <c r="Q123" i="1"/>
  <c r="T99" i="1"/>
  <c r="L2" i="19" s="1"/>
  <c r="U18" i="1"/>
  <c r="M34" i="15"/>
  <c r="L58" i="15"/>
  <c r="T110" i="1"/>
  <c r="N22" i="9"/>
  <c r="O21" i="9"/>
  <c r="J24" i="9"/>
  <c r="M27" i="10" l="1"/>
  <c r="M26" i="10"/>
  <c r="U68" i="1"/>
  <c r="L12" i="10"/>
  <c r="P19" i="1"/>
  <c r="I6" i="15" s="1"/>
  <c r="H8" i="11"/>
  <c r="H11" i="11" s="1"/>
  <c r="H13" i="11" s="1"/>
  <c r="N5" i="15"/>
  <c r="M7" i="11"/>
  <c r="S133" i="1"/>
  <c r="S153" i="1"/>
  <c r="T115" i="1"/>
  <c r="T132" i="1"/>
  <c r="S104" i="1"/>
  <c r="S122" i="1"/>
  <c r="R152" i="1"/>
  <c r="R123" i="1"/>
  <c r="U99" i="1"/>
  <c r="M2" i="19" s="1"/>
  <c r="I7" i="15"/>
  <c r="P20" i="1" s="1"/>
  <c r="M58" i="15"/>
  <c r="V18" i="1"/>
  <c r="N34" i="15"/>
  <c r="J25" i="9"/>
  <c r="U110" i="1"/>
  <c r="O22" i="9"/>
  <c r="P21" i="9"/>
  <c r="N27" i="10" l="1"/>
  <c r="N26" i="10"/>
  <c r="V68" i="1"/>
  <c r="M12" i="10"/>
  <c r="B30" i="10"/>
  <c r="O5" i="15"/>
  <c r="N7" i="11"/>
  <c r="T153" i="1"/>
  <c r="T133" i="1"/>
  <c r="U115" i="1"/>
  <c r="U132" i="1"/>
  <c r="T104" i="1"/>
  <c r="T122" i="1"/>
  <c r="S152" i="1"/>
  <c r="S123" i="1"/>
  <c r="V99" i="1"/>
  <c r="N2" i="19" s="1"/>
  <c r="N58" i="15"/>
  <c r="W18" i="1"/>
  <c r="O34" i="15"/>
  <c r="P22" i="9"/>
  <c r="Q21" i="9"/>
  <c r="K24" i="9"/>
  <c r="V110" i="1"/>
  <c r="W68" i="1" l="1"/>
  <c r="N12" i="10"/>
  <c r="P5" i="15"/>
  <c r="O7" i="11"/>
  <c r="Q19" i="1"/>
  <c r="J6" i="15" s="1"/>
  <c r="I8" i="11"/>
  <c r="I11" i="11" s="1"/>
  <c r="I13" i="11" s="1"/>
  <c r="U153" i="1"/>
  <c r="U133" i="1"/>
  <c r="V115" i="1"/>
  <c r="V132" i="1"/>
  <c r="U104" i="1"/>
  <c r="U122" i="1"/>
  <c r="T152" i="1"/>
  <c r="T123" i="1"/>
  <c r="W99" i="1"/>
  <c r="O2" i="19" s="1"/>
  <c r="J7" i="15"/>
  <c r="Q20" i="1" s="1"/>
  <c r="O58" i="15"/>
  <c r="X18" i="1"/>
  <c r="P34" i="15"/>
  <c r="K25" i="9"/>
  <c r="L24" i="9" s="1"/>
  <c r="W110" i="1"/>
  <c r="Q22" i="9"/>
  <c r="R21" i="9"/>
  <c r="X68" i="1" l="1"/>
  <c r="O12" i="10"/>
  <c r="D11" i="3"/>
  <c r="E92" i="1"/>
  <c r="E73" i="6" s="1"/>
  <c r="R19" i="1"/>
  <c r="K6" i="15" s="1"/>
  <c r="J8" i="11"/>
  <c r="J11" i="11" s="1"/>
  <c r="J13" i="11" s="1"/>
  <c r="Q5" i="15"/>
  <c r="P7" i="11"/>
  <c r="W115" i="1"/>
  <c r="W132" i="1"/>
  <c r="V133" i="1"/>
  <c r="V153" i="1"/>
  <c r="V104" i="1"/>
  <c r="V122" i="1"/>
  <c r="U152" i="1"/>
  <c r="U123" i="1"/>
  <c r="X99" i="1"/>
  <c r="P2" i="19" s="1"/>
  <c r="K7" i="15"/>
  <c r="R20" i="1" s="1"/>
  <c r="P58" i="15"/>
  <c r="Y18" i="1"/>
  <c r="Q34" i="15"/>
  <c r="L25" i="9"/>
  <c r="R22" i="9"/>
  <c r="S21" i="9"/>
  <c r="X110" i="1"/>
  <c r="Y68" i="1" l="1"/>
  <c r="P12" i="10"/>
  <c r="E6" i="6"/>
  <c r="D14" i="3"/>
  <c r="E9" i="6" s="1"/>
  <c r="R5" i="15"/>
  <c r="Q7" i="11"/>
  <c r="X115" i="1"/>
  <c r="X132" i="1"/>
  <c r="W133" i="1"/>
  <c r="W153" i="1"/>
  <c r="W104" i="1"/>
  <c r="W122" i="1"/>
  <c r="V152" i="1"/>
  <c r="V123" i="1"/>
  <c r="Y99" i="1"/>
  <c r="Q2" i="19" s="1"/>
  <c r="Q58" i="15"/>
  <c r="Z18" i="1"/>
  <c r="R34" i="15"/>
  <c r="M24" i="9"/>
  <c r="Y110" i="1"/>
  <c r="S22" i="9"/>
  <c r="T21" i="9"/>
  <c r="Z68" i="1" l="1"/>
  <c r="Q12" i="10"/>
  <c r="S19" i="1"/>
  <c r="L6" i="15" s="1"/>
  <c r="K8" i="11"/>
  <c r="K11" i="11" s="1"/>
  <c r="K13" i="11" s="1"/>
  <c r="S5" i="15"/>
  <c r="R7" i="11"/>
  <c r="X133" i="1"/>
  <c r="X153" i="1"/>
  <c r="Y115" i="1"/>
  <c r="Y132" i="1"/>
  <c r="X104" i="1"/>
  <c r="X122" i="1"/>
  <c r="W123" i="1"/>
  <c r="W152" i="1"/>
  <c r="Z99" i="1"/>
  <c r="R2" i="19" s="1"/>
  <c r="L7" i="15"/>
  <c r="S20" i="1" s="1"/>
  <c r="R58" i="15"/>
  <c r="AA18" i="1"/>
  <c r="S7" i="11" s="1"/>
  <c r="S34" i="15"/>
  <c r="Z110" i="1"/>
  <c r="M25" i="9"/>
  <c r="T22" i="9"/>
  <c r="U21" i="9"/>
  <c r="R12" i="10" l="1"/>
  <c r="AA68" i="1"/>
  <c r="Z73" i="1"/>
  <c r="Z115" i="1"/>
  <c r="Z132" i="1"/>
  <c r="H132" i="1" s="1"/>
  <c r="Y153" i="1"/>
  <c r="Y133" i="1"/>
  <c r="Y104" i="1"/>
  <c r="Y122" i="1"/>
  <c r="X152" i="1"/>
  <c r="X123" i="1"/>
  <c r="AA99" i="1"/>
  <c r="S2" i="19" s="1"/>
  <c r="T34" i="15"/>
  <c r="T58" i="15" s="1"/>
  <c r="T5" i="15"/>
  <c r="S58" i="15"/>
  <c r="U24" i="9"/>
  <c r="U22" i="9"/>
  <c r="V21" i="9"/>
  <c r="N24" i="9"/>
  <c r="AA110" i="1"/>
  <c r="AA73" i="1" l="1"/>
  <c r="S9" i="11" s="1"/>
  <c r="S11" i="11" s="1"/>
  <c r="S13" i="11" s="1"/>
  <c r="S12" i="10"/>
  <c r="R9" i="11"/>
  <c r="T19" i="1"/>
  <c r="M6" i="15" s="1"/>
  <c r="L8" i="11"/>
  <c r="L11" i="11" s="1"/>
  <c r="L13" i="11" s="1"/>
  <c r="T7" i="15"/>
  <c r="AA20" i="1" s="1"/>
  <c r="AA115" i="1"/>
  <c r="AA132" i="1"/>
  <c r="Z153" i="1"/>
  <c r="H153" i="1" s="1"/>
  <c r="E81" i="6" s="1"/>
  <c r="Z133" i="1"/>
  <c r="H133" i="1" s="1"/>
  <c r="Z104" i="1"/>
  <c r="Z122" i="1"/>
  <c r="Y152" i="1"/>
  <c r="Y123" i="1"/>
  <c r="AB99" i="1"/>
  <c r="T2" i="19" s="1"/>
  <c r="M7" i="15"/>
  <c r="T20" i="1" s="1"/>
  <c r="N25" i="9"/>
  <c r="O24" i="9" s="1"/>
  <c r="AB110" i="1"/>
  <c r="V24" i="9"/>
  <c r="V22" i="9"/>
  <c r="W21" i="9"/>
  <c r="I73" i="1" l="1"/>
  <c r="U19" i="1"/>
  <c r="N6" i="15" s="1"/>
  <c r="N16" i="15" s="1"/>
  <c r="M8" i="11"/>
  <c r="M11" i="11" s="1"/>
  <c r="M13" i="11" s="1"/>
  <c r="AB115" i="1"/>
  <c r="AB132" i="1"/>
  <c r="AB133" i="1" s="1"/>
  <c r="AA153" i="1"/>
  <c r="AA133" i="1"/>
  <c r="AB104" i="1"/>
  <c r="AB122" i="1"/>
  <c r="AB123" i="1" s="1"/>
  <c r="Z123" i="1"/>
  <c r="Z152" i="1"/>
  <c r="H152" i="1" s="1"/>
  <c r="E80" i="6" s="1"/>
  <c r="AA104" i="1"/>
  <c r="AA122" i="1"/>
  <c r="H122" i="1"/>
  <c r="N7" i="15"/>
  <c r="U20" i="1" s="1"/>
  <c r="W24" i="9"/>
  <c r="W22" i="9"/>
  <c r="X21" i="9"/>
  <c r="O25" i="9"/>
  <c r="AA123" i="1" l="1"/>
  <c r="AA152" i="1"/>
  <c r="H123" i="1"/>
  <c r="X24" i="9"/>
  <c r="X22" i="9"/>
  <c r="P24" i="9"/>
  <c r="N8" i="11" s="1"/>
  <c r="N11" i="11" s="1"/>
  <c r="N13" i="11" s="1"/>
  <c r="V19" i="1" l="1"/>
  <c r="O6" i="15" s="1"/>
  <c r="V162" i="1" a="1"/>
  <c r="V162" i="1" s="1"/>
  <c r="O16" i="15"/>
  <c r="O7" i="15"/>
  <c r="V20" i="1" s="1"/>
  <c r="P25" i="9"/>
  <c r="Q24" i="9" s="1"/>
  <c r="W19" i="1" l="1"/>
  <c r="P6" i="15" s="1"/>
  <c r="P16" i="15" s="1"/>
  <c r="O8" i="11"/>
  <c r="O11" i="11" s="1"/>
  <c r="O13" i="11" s="1"/>
  <c r="E85" i="6"/>
  <c r="I162" i="1"/>
  <c r="P7" i="15"/>
  <c r="W20" i="1" s="1"/>
  <c r="Q25" i="9"/>
  <c r="R24" i="9" s="1"/>
  <c r="X19" i="1" l="1"/>
  <c r="Q6" i="15" s="1"/>
  <c r="Q16" i="15" s="1"/>
  <c r="P8" i="11"/>
  <c r="Q7" i="15"/>
  <c r="X20" i="1" s="1"/>
  <c r="R25" i="9"/>
  <c r="P11" i="11" l="1"/>
  <c r="P13" i="11" s="1"/>
  <c r="S24" i="9"/>
  <c r="Y19" i="1" l="1"/>
  <c r="R6" i="15" s="1"/>
  <c r="R16" i="15" s="1"/>
  <c r="Q8" i="11"/>
  <c r="R7" i="15"/>
  <c r="Y20" i="1" s="1"/>
  <c r="S25" i="9"/>
  <c r="T24" i="9" s="1"/>
  <c r="S7" i="15" l="1"/>
  <c r="Z20" i="1" s="1"/>
  <c r="T25" i="9"/>
  <c r="U25" i="9" s="1"/>
  <c r="V25" i="9" s="1"/>
  <c r="W25" i="9" s="1"/>
  <c r="X25" i="9" s="1"/>
  <c r="Q11" i="11"/>
  <c r="Q13" i="11" s="1"/>
  <c r="R11" i="11" l="1"/>
  <c r="R13" i="11" s="1"/>
  <c r="C15" i="11" s="1"/>
  <c r="E74" i="1" l="1"/>
  <c r="E60" i="6" s="1"/>
  <c r="E80" i="1" l="1"/>
  <c r="E85" i="1" s="1"/>
  <c r="E67" i="6" s="1"/>
  <c r="D22" i="3"/>
  <c r="D23" i="3" s="1"/>
  <c r="E18" i="6" s="1"/>
  <c r="E65" i="6" l="1"/>
  <c r="E89" i="1"/>
  <c r="E71" i="6" s="1"/>
  <c r="E88" i="1"/>
  <c r="E70" i="6" s="1"/>
  <c r="C5" i="10"/>
  <c r="C3" i="10"/>
  <c r="E17" i="6"/>
  <c r="E24" i="3"/>
  <c r="F19" i="6" s="1"/>
  <c r="D64" i="15"/>
  <c r="C2" i="10" l="1"/>
  <c r="E26" i="3"/>
  <c r="F21" i="6" s="1"/>
  <c r="B13" i="10"/>
  <c r="C13" i="10" s="1"/>
  <c r="B14" i="10"/>
  <c r="C14" i="10" s="1"/>
  <c r="D14" i="10" l="1"/>
  <c r="E14" i="10" s="1"/>
  <c r="D13" i="10"/>
  <c r="E13" i="10" s="1"/>
  <c r="C15" i="10"/>
  <c r="C16" i="10"/>
  <c r="D16" i="10" l="1"/>
  <c r="E16" i="10"/>
  <c r="D15" i="10"/>
  <c r="F14" i="10" l="1"/>
  <c r="E15" i="10"/>
  <c r="F16" i="10" l="1"/>
  <c r="F13" i="10"/>
  <c r="F15" i="10"/>
  <c r="G14" i="10"/>
  <c r="G16" i="10"/>
  <c r="G15" i="10" l="1"/>
  <c r="G13" i="10"/>
  <c r="H14" i="10"/>
  <c r="H16" i="10"/>
  <c r="H15" i="10" l="1"/>
  <c r="H13" i="10"/>
  <c r="I16" i="10"/>
  <c r="I14" i="10"/>
  <c r="I13" i="10" l="1"/>
  <c r="I15" i="10"/>
  <c r="J16" i="10"/>
  <c r="J14" i="10"/>
  <c r="J13" i="10" l="1"/>
  <c r="J15" i="10"/>
  <c r="K14" i="10"/>
  <c r="K16" i="10"/>
  <c r="K15" i="10" l="1"/>
  <c r="K13" i="10"/>
  <c r="L14" i="10"/>
  <c r="L16" i="10"/>
  <c r="L13" i="10" l="1"/>
  <c r="L15" i="10"/>
  <c r="M14" i="10"/>
  <c r="M16" i="10"/>
  <c r="M13" i="10" l="1"/>
  <c r="M15" i="10"/>
  <c r="N16" i="10"/>
  <c r="N14" i="10"/>
  <c r="N13" i="10" l="1"/>
  <c r="N15" i="10"/>
  <c r="O16" i="10"/>
  <c r="O14" i="10"/>
  <c r="O15" i="10" l="1"/>
  <c r="O13" i="10"/>
  <c r="P14" i="10"/>
  <c r="P16" i="10"/>
  <c r="P15" i="10" l="1"/>
  <c r="P13" i="10"/>
  <c r="Q16" i="10"/>
  <c r="Q14" i="10"/>
  <c r="R14" i="10" l="1"/>
  <c r="R16" i="10"/>
  <c r="Q15" i="10"/>
  <c r="Q13" i="10"/>
  <c r="N8" i="15"/>
  <c r="O8" i="15"/>
  <c r="P8" i="15"/>
  <c r="Q8" i="15"/>
  <c r="R8" i="15"/>
  <c r="N9" i="15"/>
  <c r="N21" i="15" s="1"/>
  <c r="O9" i="15"/>
  <c r="O21" i="15" s="1"/>
  <c r="P9" i="15"/>
  <c r="P21" i="15" s="1"/>
  <c r="Q9" i="15"/>
  <c r="Q21" i="15" s="1"/>
  <c r="R9" i="15"/>
  <c r="R21" i="15" s="1"/>
  <c r="R15" i="10" l="1"/>
  <c r="R13" i="10"/>
  <c r="S14" i="10"/>
  <c r="S16" i="10"/>
  <c r="B20" i="10" s="1"/>
  <c r="F8" i="15"/>
  <c r="G8" i="15"/>
  <c r="H8" i="15"/>
  <c r="I8" i="15"/>
  <c r="J8" i="15"/>
  <c r="K8" i="15"/>
  <c r="L8" i="15"/>
  <c r="M8" i="15"/>
  <c r="F9" i="15"/>
  <c r="F21" i="15" s="1"/>
  <c r="G9" i="15"/>
  <c r="G21" i="15" s="1"/>
  <c r="H9" i="15"/>
  <c r="H21" i="15" s="1"/>
  <c r="I9" i="15"/>
  <c r="I21" i="15" s="1"/>
  <c r="J9" i="15"/>
  <c r="J21" i="15" s="1"/>
  <c r="K9" i="15"/>
  <c r="K21" i="15" s="1"/>
  <c r="L9" i="15"/>
  <c r="L21" i="15" s="1"/>
  <c r="M9" i="15"/>
  <c r="M21" i="15" s="1"/>
  <c r="F16" i="15"/>
  <c r="G16" i="15"/>
  <c r="H16" i="15"/>
  <c r="I16" i="15"/>
  <c r="J16" i="15"/>
  <c r="K16" i="15"/>
  <c r="L16" i="15"/>
  <c r="M16" i="15"/>
  <c r="S15" i="10" l="1"/>
  <c r="B19" i="10" s="1"/>
  <c r="B21" i="10" s="1"/>
  <c r="E28" i="3" s="1"/>
  <c r="F22" i="6" s="1"/>
  <c r="S13" i="10"/>
  <c r="D6" i="15"/>
  <c r="D16" i="15" l="1"/>
  <c r="D9" i="15"/>
  <c r="D13" i="15" s="1"/>
  <c r="D8" i="15"/>
  <c r="D14" i="15" s="1"/>
  <c r="D21" i="15" l="1"/>
  <c r="E6" i="15" l="1"/>
  <c r="E8" i="15" s="1"/>
  <c r="E16" i="15" l="1"/>
  <c r="E9" i="15"/>
  <c r="E21" i="15" s="1"/>
  <c r="E12" i="15"/>
  <c r="E11" i="15" l="1"/>
  <c r="E14" i="15" s="1"/>
  <c r="F12" i="15" s="1"/>
  <c r="F41" i="15"/>
  <c r="E40" i="15"/>
  <c r="F39" i="15" l="1"/>
  <c r="E13" i="15"/>
  <c r="F11" i="15" s="1"/>
  <c r="E25" i="15"/>
  <c r="F40" i="15"/>
  <c r="G41" i="15"/>
  <c r="F25" i="15" l="1"/>
  <c r="G39" i="15"/>
  <c r="F14" i="15"/>
  <c r="G12" i="15" s="1"/>
  <c r="F13" i="15"/>
  <c r="G40" i="15" l="1"/>
  <c r="H41" i="15"/>
  <c r="G11" i="15"/>
  <c r="G13" i="15" s="1"/>
  <c r="G25" i="15" l="1"/>
  <c r="H39" i="15"/>
  <c r="G14" i="15"/>
  <c r="H12" i="15" s="1"/>
  <c r="H11" i="15"/>
  <c r="H13" i="15" l="1"/>
  <c r="I11" i="15" s="1"/>
  <c r="I41" i="15"/>
  <c r="H40" i="15"/>
  <c r="H14" i="15"/>
  <c r="I12" i="15" s="1"/>
  <c r="H25" i="15"/>
  <c r="I39" i="15"/>
  <c r="J41" i="15" l="1"/>
  <c r="I40" i="15"/>
  <c r="I13" i="15"/>
  <c r="I14" i="15"/>
  <c r="J12" i="15" s="1"/>
  <c r="J11" i="15"/>
  <c r="I25" i="15"/>
  <c r="J39" i="15"/>
  <c r="J14" i="15" l="1"/>
  <c r="K12" i="15" s="1"/>
  <c r="K40" i="15" s="1"/>
  <c r="J13" i="15"/>
  <c r="K11" i="15" s="1"/>
  <c r="K41" i="15"/>
  <c r="J40" i="15"/>
  <c r="J25" i="15"/>
  <c r="K39" i="15"/>
  <c r="L41" i="15" l="1"/>
  <c r="K13" i="15"/>
  <c r="L11" i="15" s="1"/>
  <c r="K14" i="15"/>
  <c r="L12" i="15" s="1"/>
  <c r="K25" i="15"/>
  <c r="L39" i="15"/>
  <c r="L13" i="15" l="1"/>
  <c r="M41" i="15"/>
  <c r="L40" i="15"/>
  <c r="M11" i="15"/>
  <c r="L25" i="15"/>
  <c r="M39" i="15"/>
  <c r="L14" i="15"/>
  <c r="M12" i="15" l="1"/>
  <c r="M25" i="15" s="1"/>
  <c r="N39" i="15"/>
  <c r="N41" i="15" l="1"/>
  <c r="M40" i="15"/>
  <c r="M13" i="15"/>
  <c r="M14" i="15"/>
  <c r="N12" i="15" s="1"/>
  <c r="N11" i="15" l="1"/>
  <c r="N14" i="15" s="1"/>
  <c r="O12" i="15" s="1"/>
  <c r="O41" i="15"/>
  <c r="N40" i="15"/>
  <c r="O39" i="15" l="1"/>
  <c r="N25" i="15"/>
  <c r="N13" i="15"/>
  <c r="O11" i="15" s="1"/>
  <c r="O40" i="15"/>
  <c r="P41" i="15"/>
  <c r="O14" i="15" l="1"/>
  <c r="O25" i="15"/>
  <c r="P39" i="15"/>
  <c r="O13" i="15"/>
  <c r="P11" i="15" s="1"/>
  <c r="P12" i="15"/>
  <c r="Q39" i="15" l="1"/>
  <c r="P25" i="15"/>
  <c r="P13" i="15"/>
  <c r="Q11" i="15" s="1"/>
  <c r="P40" i="15"/>
  <c r="Q41" i="15"/>
  <c r="P14" i="15"/>
  <c r="R39" i="15" l="1"/>
  <c r="Q12" i="15"/>
  <c r="Q40" i="15" l="1"/>
  <c r="R41" i="15"/>
  <c r="Q13" i="15"/>
  <c r="R11" i="15" s="1"/>
  <c r="Q25" i="15"/>
  <c r="Q14" i="15"/>
  <c r="S39" i="15" l="1"/>
  <c r="R12" i="15"/>
  <c r="R14" i="15"/>
  <c r="S41" i="15" l="1"/>
  <c r="R40" i="15"/>
  <c r="R25" i="15"/>
  <c r="R13" i="15"/>
  <c r="B17" i="15" l="1"/>
  <c r="B18" i="15"/>
  <c r="F28" i="1"/>
  <c r="B19" i="15" l="1"/>
  <c r="C17" i="15" s="1"/>
  <c r="C18" i="15" l="1"/>
  <c r="E18" i="15" l="1"/>
  <c r="G18" i="15"/>
  <c r="I18" i="15"/>
  <c r="K18" i="15"/>
  <c r="M18" i="15"/>
  <c r="O18" i="15"/>
  <c r="Q18" i="15"/>
  <c r="D23" i="15"/>
  <c r="F23" i="15"/>
  <c r="H23" i="15"/>
  <c r="J23" i="15"/>
  <c r="L23" i="15"/>
  <c r="N23" i="15"/>
  <c r="P23" i="15"/>
  <c r="R23" i="15"/>
  <c r="D18" i="15"/>
  <c r="E29" i="15" s="1"/>
  <c r="L38" i="1" s="1"/>
  <c r="L136" i="1" s="1"/>
  <c r="H18" i="15"/>
  <c r="L18" i="15"/>
  <c r="P18" i="15"/>
  <c r="G23" i="15"/>
  <c r="K23" i="15"/>
  <c r="O23" i="15"/>
  <c r="J18" i="15"/>
  <c r="R18" i="15"/>
  <c r="E23" i="15"/>
  <c r="M23" i="15"/>
  <c r="F18" i="15"/>
  <c r="N18" i="15"/>
  <c r="I23" i="15"/>
  <c r="Q23" i="15"/>
  <c r="Q22" i="15" l="1"/>
  <c r="X31" i="1" s="1"/>
  <c r="X32" i="1"/>
  <c r="N17" i="15"/>
  <c r="N28" i="15"/>
  <c r="U37" i="1" s="1"/>
  <c r="V135" i="1" s="1"/>
  <c r="O29" i="15"/>
  <c r="V38" i="1" s="1"/>
  <c r="U28" i="1"/>
  <c r="U158" i="1" s="1"/>
  <c r="M22" i="15"/>
  <c r="T31" i="1" s="1"/>
  <c r="T32" i="1"/>
  <c r="R17" i="15"/>
  <c r="R28" i="15"/>
  <c r="Y37" i="1" s="1"/>
  <c r="Z135" i="1" s="1"/>
  <c r="Y28" i="1"/>
  <c r="Y158" i="1" s="1"/>
  <c r="O22" i="15"/>
  <c r="V31" i="1" s="1"/>
  <c r="V32" i="1"/>
  <c r="G22" i="15"/>
  <c r="N31" i="1" s="1"/>
  <c r="N32" i="1"/>
  <c r="L17" i="15"/>
  <c r="L28" i="15"/>
  <c r="S37" i="1" s="1"/>
  <c r="T135" i="1" s="1"/>
  <c r="M29" i="15"/>
  <c r="T38" i="1" s="1"/>
  <c r="S28" i="1"/>
  <c r="S158" i="1" s="1"/>
  <c r="D17" i="15"/>
  <c r="K28" i="1"/>
  <c r="P22" i="15"/>
  <c r="W31" i="1" s="1"/>
  <c r="W32" i="1"/>
  <c r="L22" i="15"/>
  <c r="S31" i="1" s="1"/>
  <c r="S32" i="1"/>
  <c r="H22" i="15"/>
  <c r="O31" i="1" s="1"/>
  <c r="O32" i="1"/>
  <c r="D22" i="15"/>
  <c r="K31" i="1" s="1"/>
  <c r="K32" i="1"/>
  <c r="O28" i="15"/>
  <c r="V37" i="1" s="1"/>
  <c r="W135" i="1" s="1"/>
  <c r="P29" i="15"/>
  <c r="W38" i="1" s="1"/>
  <c r="W136" i="1" s="1"/>
  <c r="O17" i="15"/>
  <c r="V28" i="1"/>
  <c r="V158" i="1" s="1"/>
  <c r="K28" i="15"/>
  <c r="R37" i="1" s="1"/>
  <c r="S135" i="1" s="1"/>
  <c r="L29" i="15"/>
  <c r="S38" i="1" s="1"/>
  <c r="K17" i="15"/>
  <c r="R28" i="1"/>
  <c r="R158" i="1" s="1"/>
  <c r="G28" i="15"/>
  <c r="N37" i="1" s="1"/>
  <c r="O135" i="1" s="1"/>
  <c r="H29" i="15"/>
  <c r="O38" i="1" s="1"/>
  <c r="G17" i="15"/>
  <c r="N28" i="1"/>
  <c r="N158" i="1" s="1"/>
  <c r="I22" i="15"/>
  <c r="P31" i="1" s="1"/>
  <c r="P32" i="1"/>
  <c r="F17" i="15"/>
  <c r="F28" i="15"/>
  <c r="M37" i="1" s="1"/>
  <c r="N135" i="1" s="1"/>
  <c r="G29" i="15"/>
  <c r="N38" i="1" s="1"/>
  <c r="M28" i="1"/>
  <c r="M158" i="1" s="1"/>
  <c r="E22" i="15"/>
  <c r="L31" i="1" s="1"/>
  <c r="L32" i="1"/>
  <c r="J17" i="15"/>
  <c r="J28" i="15"/>
  <c r="Q37" i="1" s="1"/>
  <c r="R135" i="1" s="1"/>
  <c r="K29" i="15"/>
  <c r="R38" i="1" s="1"/>
  <c r="Q28" i="1"/>
  <c r="Q158" i="1" s="1"/>
  <c r="K22" i="15"/>
  <c r="R31" i="1" s="1"/>
  <c r="R32" i="1"/>
  <c r="P17" i="15"/>
  <c r="P28" i="15"/>
  <c r="W37" i="1" s="1"/>
  <c r="X135" i="1" s="1"/>
  <c r="Q29" i="15"/>
  <c r="X38" i="1" s="1"/>
  <c r="W28" i="1"/>
  <c r="W158" i="1" s="1"/>
  <c r="H17" i="15"/>
  <c r="H28" i="15"/>
  <c r="O37" i="1" s="1"/>
  <c r="P135" i="1" s="1"/>
  <c r="I29" i="15"/>
  <c r="P38" i="1" s="1"/>
  <c r="O28" i="1"/>
  <c r="O158" i="1" s="1"/>
  <c r="R22" i="15"/>
  <c r="Y31" i="1" s="1"/>
  <c r="Y32" i="1"/>
  <c r="N22" i="15"/>
  <c r="U31" i="1" s="1"/>
  <c r="U32" i="1"/>
  <c r="J22" i="15"/>
  <c r="Q31" i="1" s="1"/>
  <c r="Q32" i="1"/>
  <c r="F22" i="15"/>
  <c r="M31" i="1" s="1"/>
  <c r="M32" i="1"/>
  <c r="Q28" i="15"/>
  <c r="X37" i="1" s="1"/>
  <c r="Y135" i="1" s="1"/>
  <c r="R29" i="15"/>
  <c r="Y38" i="1" s="1"/>
  <c r="X28" i="1"/>
  <c r="X158" i="1" s="1"/>
  <c r="Q17" i="15"/>
  <c r="M28" i="15"/>
  <c r="T37" i="1" s="1"/>
  <c r="U135" i="1" s="1"/>
  <c r="N29" i="15"/>
  <c r="U38" i="1" s="1"/>
  <c r="T28" i="1"/>
  <c r="T158" i="1" s="1"/>
  <c r="M17" i="15"/>
  <c r="I28" i="15"/>
  <c r="P37" i="1" s="1"/>
  <c r="Q135" i="1" s="1"/>
  <c r="J29" i="15"/>
  <c r="Q38" i="1" s="1"/>
  <c r="P28" i="1"/>
  <c r="P158" i="1" s="1"/>
  <c r="I17" i="15"/>
  <c r="E28" i="15"/>
  <c r="L37" i="1" s="1"/>
  <c r="F29" i="15"/>
  <c r="M38" i="1" s="1"/>
  <c r="L28" i="1"/>
  <c r="L158" i="1" s="1"/>
  <c r="E17" i="15"/>
  <c r="L27" i="1" s="1"/>
  <c r="P136" i="1" l="1"/>
  <c r="X136" i="1"/>
  <c r="K27" i="1"/>
  <c r="K26" i="1" s="1"/>
  <c r="E27" i="15"/>
  <c r="L36" i="1" s="1"/>
  <c r="L126" i="1" s="1"/>
  <c r="R136" i="1"/>
  <c r="N136" i="1"/>
  <c r="T136" i="1"/>
  <c r="M135" i="1"/>
  <c r="M124" i="1"/>
  <c r="M30" i="1"/>
  <c r="Q124" i="1"/>
  <c r="Q30" i="1"/>
  <c r="U124" i="1"/>
  <c r="U30" i="1"/>
  <c r="Y124" i="1"/>
  <c r="Y30" i="1"/>
  <c r="H26" i="15"/>
  <c r="O35" i="1" s="1"/>
  <c r="I27" i="15"/>
  <c r="P36" i="1" s="1"/>
  <c r="O27" i="1"/>
  <c r="P26" i="15"/>
  <c r="W35" i="1" s="1"/>
  <c r="Q27" i="15"/>
  <c r="X36" i="1" s="1"/>
  <c r="W27" i="1"/>
  <c r="R30" i="1"/>
  <c r="R124" i="1"/>
  <c r="J26" i="15"/>
  <c r="Q35" i="1" s="1"/>
  <c r="K27" i="15"/>
  <c r="R36" i="1" s="1"/>
  <c r="Q27" i="1"/>
  <c r="L30" i="1"/>
  <c r="L124" i="1"/>
  <c r="F26" i="15"/>
  <c r="M35" i="1" s="1"/>
  <c r="G27" i="15"/>
  <c r="N36" i="1" s="1"/>
  <c r="M27" i="1"/>
  <c r="P30" i="1"/>
  <c r="P124" i="1"/>
  <c r="G26" i="15"/>
  <c r="N35" i="1" s="1"/>
  <c r="H27" i="15"/>
  <c r="O36" i="1" s="1"/>
  <c r="N27" i="1"/>
  <c r="K26" i="15"/>
  <c r="R35" i="1" s="1"/>
  <c r="L27" i="15"/>
  <c r="S36" i="1" s="1"/>
  <c r="R27" i="1"/>
  <c r="O26" i="15"/>
  <c r="V35" i="1" s="1"/>
  <c r="P27" i="15"/>
  <c r="W36" i="1" s="1"/>
  <c r="V27" i="1"/>
  <c r="K124" i="1"/>
  <c r="K127" i="1" s="1"/>
  <c r="K30" i="1"/>
  <c r="O124" i="1"/>
  <c r="O30" i="1"/>
  <c r="S124" i="1"/>
  <c r="S30" i="1"/>
  <c r="W124" i="1"/>
  <c r="W30" i="1"/>
  <c r="L26" i="15"/>
  <c r="S35" i="1" s="1"/>
  <c r="M27" i="15"/>
  <c r="T36" i="1" s="1"/>
  <c r="S27" i="1"/>
  <c r="N30" i="1"/>
  <c r="N124" i="1"/>
  <c r="V30" i="1"/>
  <c r="V124" i="1"/>
  <c r="T134" i="1"/>
  <c r="X134" i="1"/>
  <c r="E26" i="15"/>
  <c r="L35" i="1" s="1"/>
  <c r="F27" i="15"/>
  <c r="M36" i="1" s="1"/>
  <c r="M136" i="1"/>
  <c r="I26" i="15"/>
  <c r="P35" i="1" s="1"/>
  <c r="J27" i="15"/>
  <c r="Q36" i="1" s="1"/>
  <c r="P27" i="1"/>
  <c r="Q136" i="1"/>
  <c r="M26" i="15"/>
  <c r="T35" i="1" s="1"/>
  <c r="N27" i="15"/>
  <c r="U36" i="1" s="1"/>
  <c r="T27" i="1"/>
  <c r="U136" i="1"/>
  <c r="Q26" i="15"/>
  <c r="X35" i="1" s="1"/>
  <c r="R27" i="15"/>
  <c r="Y36" i="1" s="1"/>
  <c r="X27" i="1"/>
  <c r="Y136" i="1"/>
  <c r="M134" i="1"/>
  <c r="Q134" i="1"/>
  <c r="Q137" i="1" s="1"/>
  <c r="Q138" i="1" s="1"/>
  <c r="U134" i="1"/>
  <c r="Y134" i="1"/>
  <c r="R134" i="1"/>
  <c r="L134" i="1"/>
  <c r="L137" i="1" s="1"/>
  <c r="L138" i="1" s="1"/>
  <c r="P134" i="1"/>
  <c r="O136" i="1"/>
  <c r="S136" i="1"/>
  <c r="K134" i="1"/>
  <c r="K137" i="1" s="1"/>
  <c r="O134" i="1"/>
  <c r="S134" i="1"/>
  <c r="W134" i="1"/>
  <c r="W137" i="1" s="1"/>
  <c r="W138" i="1" s="1"/>
  <c r="K158" i="1"/>
  <c r="N134" i="1"/>
  <c r="V134" i="1"/>
  <c r="R26" i="15"/>
  <c r="Y35" i="1" s="1"/>
  <c r="Y27" i="1"/>
  <c r="T30" i="1"/>
  <c r="T124" i="1"/>
  <c r="V136" i="1"/>
  <c r="N26" i="15"/>
  <c r="U35" i="1" s="1"/>
  <c r="O27" i="15"/>
  <c r="V36" i="1" s="1"/>
  <c r="U27" i="1"/>
  <c r="X30" i="1"/>
  <c r="X124" i="1"/>
  <c r="E38" i="15" l="1"/>
  <c r="D37" i="15"/>
  <c r="F38" i="15"/>
  <c r="E37" i="15"/>
  <c r="C3" i="19"/>
  <c r="Y137" i="1"/>
  <c r="Y138" i="1" s="1"/>
  <c r="Y126" i="1"/>
  <c r="T137" i="1"/>
  <c r="T138" i="1" s="1"/>
  <c r="K157" i="1"/>
  <c r="X137" i="1"/>
  <c r="X138" i="1" s="1"/>
  <c r="P137" i="1"/>
  <c r="P138" i="1" s="1"/>
  <c r="R137" i="1"/>
  <c r="R138" i="1" s="1"/>
  <c r="K138" i="1"/>
  <c r="O137" i="1"/>
  <c r="O138" i="1" s="1"/>
  <c r="V126" i="1"/>
  <c r="U137" i="1"/>
  <c r="U138" i="1" s="1"/>
  <c r="M137" i="1"/>
  <c r="M138" i="1" s="1"/>
  <c r="N137" i="1"/>
  <c r="N138" i="1" s="1"/>
  <c r="L127" i="1"/>
  <c r="S137" i="1"/>
  <c r="S138" i="1" s="1"/>
  <c r="U126" i="1"/>
  <c r="S126" i="1"/>
  <c r="O126" i="1"/>
  <c r="P126" i="1"/>
  <c r="U157" i="1"/>
  <c r="U26" i="1"/>
  <c r="U149" i="1" s="1"/>
  <c r="U161" i="1" s="1" a="1"/>
  <c r="U161" i="1" s="1"/>
  <c r="U34" i="1"/>
  <c r="V125" i="1"/>
  <c r="N38" i="15"/>
  <c r="M37" i="15"/>
  <c r="Y34" i="1"/>
  <c r="Z125" i="1"/>
  <c r="X26" i="1"/>
  <c r="X149" i="1" s="1"/>
  <c r="X161" i="1" s="1" a="1"/>
  <c r="X161" i="1" s="1"/>
  <c r="X157" i="1"/>
  <c r="Y125" i="1"/>
  <c r="X34" i="1"/>
  <c r="T26" i="1"/>
  <c r="T149" i="1" s="1"/>
  <c r="T161" i="1" s="1" a="1"/>
  <c r="T161" i="1" s="1"/>
  <c r="T157" i="1"/>
  <c r="U125" i="1"/>
  <c r="U127" i="1" s="1"/>
  <c r="M3" i="19" s="1"/>
  <c r="T34" i="1"/>
  <c r="P26" i="1"/>
  <c r="P149" i="1" s="1"/>
  <c r="P161" i="1" s="1" a="1"/>
  <c r="P161" i="1" s="1"/>
  <c r="P157" i="1"/>
  <c r="Q125" i="1"/>
  <c r="P34" i="1"/>
  <c r="M126" i="1"/>
  <c r="P38" i="15"/>
  <c r="O37" i="15"/>
  <c r="S26" i="1"/>
  <c r="S149" i="1" s="1"/>
  <c r="S161" i="1" s="1" a="1"/>
  <c r="S161" i="1" s="1"/>
  <c r="S157" i="1"/>
  <c r="S34" i="1"/>
  <c r="T125" i="1"/>
  <c r="L37" i="15"/>
  <c r="M38" i="15"/>
  <c r="V26" i="1"/>
  <c r="V149" i="1" s="1"/>
  <c r="V161" i="1" s="1" a="1"/>
  <c r="V161" i="1" s="1"/>
  <c r="V157" i="1"/>
  <c r="W125" i="1"/>
  <c r="V34" i="1"/>
  <c r="N26" i="1"/>
  <c r="N149" i="1" s="1"/>
  <c r="N161" i="1" s="1" a="1"/>
  <c r="N161" i="1" s="1"/>
  <c r="N157" i="1"/>
  <c r="O125" i="1"/>
  <c r="N34" i="1"/>
  <c r="M157" i="1"/>
  <c r="M26" i="1"/>
  <c r="M149" i="1" s="1"/>
  <c r="M161" i="1" s="1" a="1"/>
  <c r="M161" i="1" s="1"/>
  <c r="M34" i="1"/>
  <c r="N125" i="1"/>
  <c r="Q26" i="1"/>
  <c r="Q149" i="1" s="1"/>
  <c r="Q161" i="1" s="1" a="1"/>
  <c r="Q161" i="1" s="1"/>
  <c r="Q157" i="1"/>
  <c r="Q34" i="1"/>
  <c r="R125" i="1"/>
  <c r="W26" i="1"/>
  <c r="W149" i="1" s="1"/>
  <c r="W161" i="1" s="1" a="1"/>
  <c r="W161" i="1" s="1"/>
  <c r="W157" i="1"/>
  <c r="W34" i="1"/>
  <c r="X125" i="1"/>
  <c r="R37" i="15"/>
  <c r="S38" i="15"/>
  <c r="J37" i="15"/>
  <c r="K38" i="15"/>
  <c r="R38" i="15"/>
  <c r="Q37" i="15"/>
  <c r="Y26" i="1"/>
  <c r="Y149" i="1" s="1"/>
  <c r="Y161" i="1" s="1" a="1"/>
  <c r="Y161" i="1" s="1"/>
  <c r="Y157" i="1"/>
  <c r="V137" i="1"/>
  <c r="Q126" i="1"/>
  <c r="Q127" i="1" s="1"/>
  <c r="I3" i="19" s="1"/>
  <c r="L26" i="1"/>
  <c r="L149" i="1" s="1"/>
  <c r="L161" i="1" s="1" a="1"/>
  <c r="L161" i="1" s="1"/>
  <c r="L157" i="1"/>
  <c r="M125" i="1"/>
  <c r="L34" i="1"/>
  <c r="H38" i="15"/>
  <c r="G37" i="15"/>
  <c r="T126" i="1"/>
  <c r="K149" i="1"/>
  <c r="K161" i="1" s="1"/>
  <c r="P37" i="15"/>
  <c r="Q38" i="15"/>
  <c r="H37" i="15"/>
  <c r="I38" i="15"/>
  <c r="K128" i="1"/>
  <c r="W126" i="1"/>
  <c r="R26" i="1"/>
  <c r="R149" i="1" s="1"/>
  <c r="R161" i="1" s="1" a="1"/>
  <c r="R161" i="1" s="1"/>
  <c r="R157" i="1"/>
  <c r="S125" i="1"/>
  <c r="R34" i="1"/>
  <c r="J38" i="15"/>
  <c r="I37" i="15"/>
  <c r="N126" i="1"/>
  <c r="R126" i="1"/>
  <c r="L38" i="15"/>
  <c r="K37" i="15"/>
  <c r="X126" i="1"/>
  <c r="O26" i="1"/>
  <c r="O149" i="1" s="1"/>
  <c r="O161" i="1" s="1" a="1"/>
  <c r="O161" i="1" s="1"/>
  <c r="O157" i="1"/>
  <c r="O34" i="1"/>
  <c r="P125" i="1"/>
  <c r="N37" i="15"/>
  <c r="O38" i="15"/>
  <c r="F37" i="15"/>
  <c r="G38" i="15"/>
  <c r="C6" i="19" l="1"/>
  <c r="J9" i="3" s="1"/>
  <c r="L128" i="1"/>
  <c r="D3" i="19"/>
  <c r="P127" i="1"/>
  <c r="H3" i="19" s="1"/>
  <c r="Y127" i="1"/>
  <c r="V127" i="1"/>
  <c r="S127" i="1"/>
  <c r="K3" i="19" s="1"/>
  <c r="R127" i="1"/>
  <c r="J3" i="19" s="1"/>
  <c r="M127" i="1"/>
  <c r="E3" i="19" s="1"/>
  <c r="X127" i="1"/>
  <c r="N127" i="1"/>
  <c r="O127" i="1"/>
  <c r="G3" i="19" s="1"/>
  <c r="W127" i="1"/>
  <c r="O3" i="19" s="1"/>
  <c r="T127" i="1"/>
  <c r="L3" i="19" s="1"/>
  <c r="Q128" i="1"/>
  <c r="U128" i="1"/>
  <c r="V138" i="1"/>
  <c r="Z19" i="1"/>
  <c r="Z160" i="1" s="1" a="1"/>
  <c r="Z160" i="1" s="1"/>
  <c r="E6" i="19" l="1"/>
  <c r="D6" i="19"/>
  <c r="N128" i="1"/>
  <c r="F3" i="19"/>
  <c r="X128" i="1"/>
  <c r="P3" i="19"/>
  <c r="V128" i="1"/>
  <c r="N3" i="19"/>
  <c r="Y128" i="1"/>
  <c r="Q3" i="19"/>
  <c r="J10" i="3"/>
  <c r="J11" i="3"/>
  <c r="P128" i="1"/>
  <c r="M128" i="1"/>
  <c r="O128" i="1"/>
  <c r="S128" i="1"/>
  <c r="R128" i="1"/>
  <c r="W128" i="1"/>
  <c r="T128" i="1"/>
  <c r="S6" i="15"/>
  <c r="Q6" i="19" l="1"/>
  <c r="J23" i="3" s="1"/>
  <c r="P6" i="19"/>
  <c r="J22" i="3" s="1"/>
  <c r="O6" i="19"/>
  <c r="J21" i="3" s="1"/>
  <c r="N6" i="19"/>
  <c r="J20" i="3" s="1"/>
  <c r="M6" i="19"/>
  <c r="J19" i="3" s="1"/>
  <c r="L6" i="19"/>
  <c r="J18" i="3" s="1"/>
  <c r="K6" i="19"/>
  <c r="J17" i="3" s="1"/>
  <c r="J6" i="19"/>
  <c r="J16" i="3" s="1"/>
  <c r="I6" i="19"/>
  <c r="J15" i="3" s="1"/>
  <c r="H6" i="19"/>
  <c r="J14" i="3" s="1"/>
  <c r="G6" i="19"/>
  <c r="J13" i="3" s="1"/>
  <c r="F6" i="19"/>
  <c r="J12" i="3" s="1"/>
  <c r="S16" i="15"/>
  <c r="S9" i="15"/>
  <c r="S21" i="15" s="1"/>
  <c r="S8" i="15"/>
  <c r="S23" i="15" l="1"/>
  <c r="Z32" i="1" s="1"/>
  <c r="S12" i="15"/>
  <c r="S11" i="15"/>
  <c r="S18" i="15"/>
  <c r="Z28" i="1" s="1"/>
  <c r="S14" i="15" l="1"/>
  <c r="T29" i="15"/>
  <c r="AA38" i="1" s="1"/>
  <c r="AB136" i="1" s="1"/>
  <c r="Z158" i="1"/>
  <c r="Z134" i="1"/>
  <c r="S17" i="15"/>
  <c r="S28" i="15"/>
  <c r="Z37" i="1" s="1"/>
  <c r="S13" i="15"/>
  <c r="T11" i="15" s="1"/>
  <c r="AA19" i="1" s="1"/>
  <c r="AA160" i="1" s="1" a="1"/>
  <c r="AA160" i="1" s="1"/>
  <c r="I160" i="1" s="1"/>
  <c r="T39" i="15"/>
  <c r="S25" i="15"/>
  <c r="S27" i="15"/>
  <c r="Z36" i="1" s="1"/>
  <c r="S29" i="15"/>
  <c r="Z38" i="1" s="1"/>
  <c r="T41" i="15"/>
  <c r="S40" i="15"/>
  <c r="S22" i="15"/>
  <c r="Z31" i="1" s="1"/>
  <c r="Z136" i="1" l="1"/>
  <c r="I38" i="1"/>
  <c r="T25" i="15"/>
  <c r="U39" i="15"/>
  <c r="AA135" i="1"/>
  <c r="Z30" i="1"/>
  <c r="Z124" i="1"/>
  <c r="Z126" i="1"/>
  <c r="Z27" i="1"/>
  <c r="T27" i="15"/>
  <c r="AA36" i="1" s="1"/>
  <c r="S26" i="15"/>
  <c r="Z35" i="1" s="1"/>
  <c r="AA136" i="1"/>
  <c r="Z137" i="1" l="1"/>
  <c r="Z138" i="1" s="1"/>
  <c r="I136" i="1"/>
  <c r="Z127" i="1"/>
  <c r="R3" i="19" s="1"/>
  <c r="AA126" i="1"/>
  <c r="AB126" i="1"/>
  <c r="I36" i="1"/>
  <c r="T38" i="15"/>
  <c r="S37" i="15"/>
  <c r="T6" i="15"/>
  <c r="AA125" i="1"/>
  <c r="Z34" i="1"/>
  <c r="Z26" i="1"/>
  <c r="Z157" i="1"/>
  <c r="H136" i="1"/>
  <c r="R6" i="19" l="1"/>
  <c r="J24" i="3"/>
  <c r="Z128" i="1"/>
  <c r="I126" i="1"/>
  <c r="H126" i="1"/>
  <c r="Z149" i="1"/>
  <c r="Z161" i="1" s="1" a="1"/>
  <c r="Z161" i="1" s="1"/>
  <c r="T8" i="15"/>
  <c r="T9" i="15"/>
  <c r="T21" i="15" s="1"/>
  <c r="T16" i="15"/>
  <c r="H160" i="1"/>
  <c r="E83" i="6" s="1"/>
  <c r="T18" i="15" l="1"/>
  <c r="AA28" i="1" s="1"/>
  <c r="T23" i="15"/>
  <c r="AA32" i="1" s="1"/>
  <c r="T28" i="15" l="1"/>
  <c r="AA37" i="1" s="1"/>
  <c r="AB135" i="1" s="1"/>
  <c r="I135" i="1" s="1"/>
  <c r="AA134" i="1"/>
  <c r="AA137" i="1" s="1"/>
  <c r="AB134" i="1"/>
  <c r="I32" i="1"/>
  <c r="AA158" i="1"/>
  <c r="I158" i="1" s="1"/>
  <c r="I28" i="1"/>
  <c r="T17" i="15"/>
  <c r="T22" i="15"/>
  <c r="AA31" i="1" s="1"/>
  <c r="I37" i="1" l="1"/>
  <c r="AA138" i="1"/>
  <c r="AA27" i="1"/>
  <c r="AA157" i="1" s="1"/>
  <c r="I157" i="1" s="1"/>
  <c r="T26" i="15"/>
  <c r="AA35" i="1" s="1"/>
  <c r="AA26" i="1"/>
  <c r="H158" i="1"/>
  <c r="H135" i="1"/>
  <c r="AA124" i="1"/>
  <c r="AA127" i="1" s="1"/>
  <c r="S3" i="19" s="1"/>
  <c r="AA30" i="1"/>
  <c r="AB124" i="1"/>
  <c r="I31" i="1"/>
  <c r="AB137" i="1"/>
  <c r="H137" i="1" s="1"/>
  <c r="S6" i="19" l="1"/>
  <c r="J25" i="3"/>
  <c r="AA128" i="1"/>
  <c r="I137" i="1"/>
  <c r="I27" i="1"/>
  <c r="AB125" i="1"/>
  <c r="I125" i="1" s="1"/>
  <c r="AA34" i="1"/>
  <c r="I34" i="1" s="1"/>
  <c r="I35" i="1"/>
  <c r="AB138" i="1"/>
  <c r="I138" i="1" s="1"/>
  <c r="AA149" i="1"/>
  <c r="AA161" i="1" s="1" a="1"/>
  <c r="AA161" i="1" s="1"/>
  <c r="I161" i="1" s="1"/>
  <c r="I26" i="1"/>
  <c r="E47" i="6" s="1"/>
  <c r="T37" i="15"/>
  <c r="A37" i="15" s="1"/>
  <c r="I30" i="1"/>
  <c r="H157" i="1"/>
  <c r="E82" i="6" s="1"/>
  <c r="E48" i="6" l="1"/>
  <c r="H125" i="1"/>
  <c r="AB127" i="1"/>
  <c r="E30" i="3"/>
  <c r="F23" i="6" s="1"/>
  <c r="A41" i="15"/>
  <c r="H138" i="1"/>
  <c r="I40" i="1"/>
  <c r="H161" i="1"/>
  <c r="E84" i="6" s="1"/>
  <c r="I127" i="1" l="1"/>
  <c r="E36" i="3" s="1"/>
  <c r="T3" i="19"/>
  <c r="AB128" i="1"/>
  <c r="I128" i="1" s="1"/>
  <c r="H127" i="1"/>
  <c r="E54" i="3"/>
  <c r="F38" i="6" s="1"/>
  <c r="E32" i="3"/>
  <c r="E55" i="3"/>
  <c r="F39" i="6" s="1"/>
  <c r="T6" i="19" l="1"/>
  <c r="B4" i="19"/>
  <c r="J26" i="3"/>
  <c r="E34" i="3"/>
  <c r="F25" i="6" s="1"/>
  <c r="F24" i="6"/>
  <c r="I141" i="1"/>
  <c r="E58" i="3" s="1"/>
  <c r="H128" i="1"/>
  <c r="E38" i="3" l="1"/>
  <c r="F28" i="6" s="1"/>
  <c r="K9" i="3"/>
  <c r="E39" i="3"/>
  <c r="F29" i="6" s="1"/>
  <c r="F26" i="6"/>
  <c r="E41" i="3" l="1"/>
  <c r="F36" i="6" s="1"/>
  <c r="D66" i="15"/>
  <c r="L9" i="3"/>
  <c r="L10" i="3" s="1"/>
  <c r="L11" i="3" s="1"/>
  <c r="L12" i="3" s="1"/>
  <c r="L13" i="3" s="1"/>
  <c r="L14" i="3" s="1"/>
  <c r="L15" i="3" s="1"/>
  <c r="L16" i="3" s="1"/>
  <c r="L17" i="3" s="1"/>
  <c r="L18" i="3" s="1"/>
  <c r="L19" i="3" s="1"/>
  <c r="L20" i="3" s="1"/>
  <c r="L21" i="3" s="1"/>
  <c r="L22" i="3" s="1"/>
  <c r="L23" i="3" s="1"/>
  <c r="L24" i="3" s="1"/>
  <c r="L25" i="3" s="1"/>
  <c r="L26" i="3" s="1"/>
  <c r="K10" i="3"/>
  <c r="K11" i="3" s="1"/>
  <c r="E42" i="3"/>
  <c r="F32" i="6" s="1"/>
  <c r="F31" i="6" l="1"/>
  <c r="D65" i="15"/>
  <c r="E51" i="3" s="1"/>
  <c r="A47" i="15" s="1"/>
  <c r="K12" i="3"/>
  <c r="A55" i="15" l="1"/>
  <c r="E59" i="3"/>
  <c r="E60" i="3" s="1"/>
  <c r="K13" i="3"/>
  <c r="E59" i="15"/>
  <c r="D59" i="15"/>
  <c r="D60" i="15" s="1"/>
  <c r="F59" i="15"/>
  <c r="P59" i="15"/>
  <c r="O59" i="15"/>
  <c r="M59" i="15"/>
  <c r="I59" i="15"/>
  <c r="G59" i="15"/>
  <c r="Q59" i="15"/>
  <c r="R59" i="15"/>
  <c r="N59" i="15"/>
  <c r="H59" i="15"/>
  <c r="L59" i="15"/>
  <c r="K59" i="15"/>
  <c r="J59" i="15"/>
  <c r="U59" i="15"/>
  <c r="U60" i="15" s="1"/>
  <c r="S59" i="15"/>
  <c r="T59" i="15"/>
  <c r="T60" i="15" l="1"/>
  <c r="K60" i="15"/>
  <c r="H60" i="15"/>
  <c r="R60" i="15"/>
  <c r="G60" i="15"/>
  <c r="M60" i="15"/>
  <c r="P60" i="15"/>
  <c r="S60" i="15"/>
  <c r="J60" i="15"/>
  <c r="L60" i="15"/>
  <c r="N60" i="15"/>
  <c r="Q60" i="15"/>
  <c r="I60" i="15"/>
  <c r="O60" i="15"/>
  <c r="F60" i="15"/>
  <c r="E60" i="15"/>
  <c r="A59" i="15"/>
  <c r="K14" i="3"/>
  <c r="K15" i="3" l="1"/>
  <c r="A60" i="15"/>
  <c r="K16" i="3" l="1"/>
  <c r="K17" i="3" l="1"/>
  <c r="K18" i="3" l="1"/>
  <c r="K19" i="3" l="1"/>
  <c r="K20" i="3" l="1"/>
  <c r="K21" i="3" l="1"/>
  <c r="K22" i="3" l="1"/>
  <c r="K23" i="3" l="1"/>
  <c r="K24" i="3" l="1"/>
  <c r="K25" i="3" l="1"/>
  <c r="K26" i="3" s="1"/>
  <c r="A49" i="15"/>
  <c r="A50" i="15"/>
  <c r="K106" i="1"/>
  <c r="L106" i="1"/>
  <c r="M106" i="1"/>
  <c r="N106" i="1"/>
  <c r="O106" i="1"/>
  <c r="P106" i="1"/>
  <c r="Q106" i="1"/>
  <c r="R106" i="1"/>
  <c r="S106" i="1"/>
  <c r="T106" i="1"/>
  <c r="U106" i="1"/>
  <c r="V106" i="1"/>
  <c r="W106" i="1"/>
  <c r="X106" i="1"/>
  <c r="Y106" i="1"/>
  <c r="Z106" i="1"/>
  <c r="AA106" i="1"/>
  <c r="AB106" i="1"/>
  <c r="K107" i="1"/>
  <c r="L107" i="1"/>
  <c r="M107" i="1"/>
  <c r="N107" i="1"/>
  <c r="O107" i="1"/>
  <c r="P107" i="1"/>
  <c r="Q107" i="1"/>
  <c r="R107" i="1"/>
  <c r="S107" i="1"/>
  <c r="T107" i="1"/>
  <c r="U107" i="1"/>
  <c r="V107" i="1"/>
  <c r="W107" i="1"/>
  <c r="X107" i="1"/>
  <c r="Y107" i="1"/>
  <c r="Z107" i="1"/>
  <c r="AA107" i="1"/>
  <c r="AB107" i="1"/>
  <c r="K117" i="1"/>
  <c r="L117" i="1"/>
  <c r="M117" i="1"/>
  <c r="N117" i="1"/>
  <c r="O117" i="1"/>
  <c r="P117" i="1"/>
  <c r="Q117" i="1"/>
  <c r="R117" i="1"/>
  <c r="S117" i="1"/>
  <c r="T117" i="1"/>
  <c r="U117" i="1"/>
  <c r="V117" i="1"/>
  <c r="W117" i="1"/>
  <c r="X117" i="1"/>
  <c r="Y117" i="1"/>
  <c r="Z117" i="1"/>
  <c r="AA117" i="1"/>
  <c r="AB117" i="1"/>
  <c r="K118" i="1"/>
  <c r="L118" i="1"/>
  <c r="M118" i="1"/>
  <c r="N118" i="1"/>
  <c r="O118" i="1"/>
  <c r="P118" i="1"/>
  <c r="Q118" i="1"/>
  <c r="R118" i="1"/>
  <c r="S118" i="1"/>
  <c r="T118" i="1"/>
  <c r="U118" i="1"/>
  <c r="V118" i="1"/>
  <c r="W118" i="1"/>
  <c r="X118" i="1"/>
  <c r="Y118" i="1"/>
  <c r="Z118" i="1"/>
  <c r="AA118" i="1"/>
  <c r="AB118" i="1"/>
  <c r="H129" i="1"/>
  <c r="I129" i="1"/>
  <c r="K129" i="1"/>
  <c r="L129" i="1"/>
  <c r="M129" i="1"/>
  <c r="N129" i="1"/>
  <c r="O129" i="1"/>
  <c r="P129" i="1"/>
  <c r="Q129" i="1"/>
  <c r="R129" i="1"/>
  <c r="S129" i="1"/>
  <c r="T129" i="1"/>
  <c r="U129" i="1"/>
  <c r="V129" i="1"/>
  <c r="W129" i="1"/>
  <c r="X129" i="1"/>
  <c r="Y129" i="1"/>
  <c r="Z129" i="1"/>
  <c r="AA129" i="1"/>
  <c r="AB129" i="1"/>
  <c r="H130" i="1"/>
  <c r="I130" i="1"/>
  <c r="K130" i="1"/>
  <c r="L130" i="1"/>
  <c r="M130" i="1"/>
  <c r="N130" i="1"/>
  <c r="O130" i="1"/>
  <c r="P130" i="1"/>
  <c r="Q130" i="1"/>
  <c r="R130" i="1"/>
  <c r="S130" i="1"/>
  <c r="T130" i="1"/>
  <c r="U130" i="1"/>
  <c r="V130" i="1"/>
  <c r="W130" i="1"/>
  <c r="X130" i="1"/>
  <c r="Y130" i="1"/>
  <c r="Z130" i="1"/>
  <c r="AA130" i="1"/>
  <c r="AB130" i="1"/>
  <c r="H139" i="1"/>
  <c r="I139" i="1"/>
  <c r="K139" i="1"/>
  <c r="L139" i="1"/>
  <c r="M139" i="1"/>
  <c r="N139" i="1"/>
  <c r="O139" i="1"/>
  <c r="P139" i="1"/>
  <c r="Q139" i="1"/>
  <c r="R139" i="1"/>
  <c r="S139" i="1"/>
  <c r="T139" i="1"/>
  <c r="U139" i="1"/>
  <c r="V139" i="1"/>
  <c r="W139" i="1"/>
  <c r="X139" i="1"/>
  <c r="Y139" i="1"/>
  <c r="Z139" i="1"/>
  <c r="AA139" i="1"/>
  <c r="AB139" i="1"/>
  <c r="H140" i="1"/>
  <c r="I140" i="1"/>
  <c r="K140" i="1"/>
  <c r="L140" i="1"/>
  <c r="M140" i="1"/>
  <c r="N140" i="1"/>
  <c r="O140" i="1"/>
  <c r="P140" i="1"/>
  <c r="Q140" i="1"/>
  <c r="R140" i="1"/>
  <c r="S140" i="1"/>
  <c r="T140" i="1"/>
  <c r="U140" i="1"/>
  <c r="V140" i="1"/>
  <c r="W140" i="1"/>
  <c r="X140" i="1"/>
  <c r="Y140" i="1"/>
  <c r="Z140" i="1"/>
  <c r="AA140" i="1"/>
  <c r="AB140" i="1"/>
  <c r="I142" i="1"/>
  <c r="I143" i="1"/>
  <c r="I144" i="1"/>
  <c r="B166" i="1"/>
  <c r="I166" i="1"/>
  <c r="K166" i="1"/>
  <c r="L166" i="1"/>
  <c r="M166" i="1"/>
  <c r="N166" i="1"/>
  <c r="O166" i="1"/>
  <c r="P166" i="1"/>
  <c r="Q166" i="1"/>
  <c r="R166" i="1"/>
  <c r="S166" i="1"/>
  <c r="T166" i="1"/>
  <c r="U166" i="1"/>
  <c r="V166" i="1"/>
  <c r="W166" i="1"/>
  <c r="X166" i="1"/>
  <c r="Y166" i="1"/>
  <c r="Z166" i="1"/>
  <c r="AA166" i="1"/>
  <c r="B167" i="1"/>
  <c r="I167" i="1"/>
  <c r="B168" i="1"/>
  <c r="I168" i="1"/>
  <c r="B169" i="1"/>
  <c r="B170" i="1"/>
  <c r="B171" i="1"/>
  <c r="I171" i="1"/>
  <c r="B172" i="1"/>
  <c r="I172" i="1"/>
  <c r="B173" i="1"/>
  <c r="I173" i="1"/>
  <c r="E56" i="3"/>
  <c r="E61" i="3"/>
  <c r="E62" i="3"/>
  <c r="E63" i="3"/>
  <c r="F4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RVO</author>
  </authors>
  <commentList>
    <comment ref="E26" authorId="0" shapeId="0" xr:uid="{F7A0DC09-2C91-44DD-A1B0-70411D36CA75}">
      <text>
        <r>
          <rPr>
            <b/>
            <sz val="9"/>
            <color indexed="81"/>
            <rFont val="Tahoma"/>
            <family val="2"/>
          </rPr>
          <t>Toelichting:</t>
        </r>
        <r>
          <rPr>
            <sz val="9"/>
            <color indexed="81"/>
            <rFont val="Tahoma"/>
            <family val="2"/>
          </rPr>
          <t xml:space="preserve">
Deze verdeling wordt alleen gebruikt t.b.v. de verwachte verhouding netlevering en niet-netlevering voor toekomstige jaren. Voor de jaren dat er meetwaarden worden ingevuld, wordt uitgegaan van de werkelijke producties netlevering en niet-netlevering.
</t>
        </r>
      </text>
    </comment>
    <comment ref="C35" authorId="0" shapeId="0" xr:uid="{6C974AF4-5ED9-434C-966A-0F7AE76BC38E}">
      <text>
        <r>
          <rPr>
            <b/>
            <sz val="9"/>
            <color indexed="81"/>
            <rFont val="Tahoma"/>
            <family val="2"/>
          </rPr>
          <t>Toelichting:</t>
        </r>
        <r>
          <rPr>
            <sz val="9"/>
            <color indexed="81"/>
            <rFont val="Tahoma"/>
            <family val="2"/>
          </rPr>
          <t xml:space="preserve">
Verdeling benutte forwardbanking naar netlevering en niet-netlevering vindt plaats volgens de verhouding van  de productie netlevering en niet-netlevering in het jaar zelf.
</t>
        </r>
      </text>
    </comment>
    <comment ref="C36" authorId="0" shapeId="0" xr:uid="{A2195281-435C-4A5E-92ED-FAE344CC4061}">
      <text>
        <r>
          <rPr>
            <b/>
            <sz val="9"/>
            <color indexed="81"/>
            <rFont val="Tahoma"/>
            <family val="2"/>
          </rPr>
          <t>Toelichting:</t>
        </r>
        <r>
          <rPr>
            <sz val="9"/>
            <color indexed="81"/>
            <rFont val="Tahoma"/>
            <family val="2"/>
          </rPr>
          <t xml:space="preserve">
Verdeling benutte backwardbanking naar netlevering en niet-netlevering vindt plaats volgens de verhouding van  de productie netlevering en niet-netlevering in het voorgaande jaar.
</t>
        </r>
      </text>
    </comment>
    <comment ref="C37" authorId="0" shapeId="0" xr:uid="{874D9AAD-18F6-462E-99B0-A3A2895BE8A6}">
      <text>
        <r>
          <rPr>
            <b/>
            <sz val="9"/>
            <color indexed="81"/>
            <rFont val="Tahoma"/>
            <family val="2"/>
          </rPr>
          <t>Toelichting:</t>
        </r>
        <r>
          <rPr>
            <sz val="9"/>
            <color indexed="81"/>
            <rFont val="Tahoma"/>
            <family val="2"/>
          </rPr>
          <t xml:space="preserve">
Verdeling benutte forwardbanking naar netlevering en niet-netlevering vindt plaats volgens de verhouding van  de productie netlevering en niet-netlevering in het jaar zelf.
</t>
        </r>
      </text>
    </comment>
    <comment ref="C38" authorId="0" shapeId="0" xr:uid="{DF2AF016-157C-4929-851D-9D315953A94C}">
      <text>
        <r>
          <rPr>
            <b/>
            <sz val="9"/>
            <color indexed="81"/>
            <rFont val="Tahoma"/>
            <family val="2"/>
          </rPr>
          <t>Toelichting:</t>
        </r>
        <r>
          <rPr>
            <sz val="9"/>
            <color indexed="81"/>
            <rFont val="Tahoma"/>
            <family val="2"/>
          </rPr>
          <t xml:space="preserve">
Verdeling benutte backwardbanking naar netlevering en niet-netlevering vindt plaats volgens de verhouding van  de productie netlevering en niet-netlevering in het voorgaande jaar.
</t>
        </r>
      </text>
    </comment>
    <comment ref="B45" authorId="0" shapeId="0" xr:uid="{27EDE1CC-1A9B-4711-9466-9C43ECF24E22}">
      <text>
        <r>
          <rPr>
            <b/>
            <sz val="9"/>
            <color indexed="81"/>
            <rFont val="Times New Roman"/>
            <family val="1"/>
          </rPr>
          <t xml:space="preserve">Toelichting: </t>
        </r>
        <r>
          <rPr>
            <sz val="9"/>
            <color indexed="81"/>
            <rFont val="Times New Roman"/>
            <family val="1"/>
          </rPr>
          <t xml:space="preserve">
Dit is de datum midden in de bouwperiode voor de berekening van de NCW-waarde als bedoeld in artikel 12, lid 2 van Beleidsregel toets passende stimulering en cumulatietoets onder het Besluit duurzame energieproductie en klimaattransitie. 
De datum voor de NCW-bedragen wordt naar beneden afgerond tot de 1e dag van de maand (indien de datum van ingebruikname niet op de 1e dag van de maand is, of de bouwtijd een oneven aantal maanden bedraagt langer dan 12 maanden.    </t>
        </r>
      </text>
    </comment>
    <comment ref="B46" authorId="0" shapeId="0" xr:uid="{A23DEE4E-EC06-4647-B322-71829379C934}">
      <text>
        <r>
          <rPr>
            <b/>
            <sz val="9"/>
            <color indexed="81"/>
            <rFont val="Tahoma"/>
            <family val="2"/>
          </rPr>
          <t>Toelichting:</t>
        </r>
        <r>
          <rPr>
            <sz val="9"/>
            <color indexed="81"/>
            <rFont val="Tahoma"/>
            <family val="2"/>
          </rPr>
          <t xml:space="preserve">
Vul hier het eerstvolgende kalenderjaar in. De berekende MSK-correctie gaat  in beginsel in  met ingang van het eerst volgend kalenderjaar.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RVO</author>
  </authors>
  <commentList>
    <comment ref="B62" authorId="0" shapeId="0" xr:uid="{BB17E2CC-1E38-4462-B2F5-A77A31A1DE2A}">
      <text>
        <r>
          <rPr>
            <sz val="9"/>
            <color indexed="81"/>
            <rFont val="Tahoma"/>
            <family val="2"/>
          </rPr>
          <t xml:space="preserve">Er kan een kleine afwijking ontstaan ten gevolge van afrondingen).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RVO</author>
  </authors>
  <commentList>
    <comment ref="A26" authorId="0" shapeId="0" xr:uid="{A4E33F96-CD94-426C-B554-C7F441425010}">
      <text>
        <r>
          <rPr>
            <b/>
            <sz val="9"/>
            <color indexed="81"/>
            <rFont val="Tahoma"/>
            <family val="2"/>
          </rPr>
          <t>Toelichting:</t>
        </r>
        <r>
          <rPr>
            <sz val="9"/>
            <color indexed="81"/>
            <rFont val="Tahoma"/>
            <family val="2"/>
          </rPr>
          <t xml:space="preserve">
Verdeling benutte forwardbanking naar netlevering en niet-netlevering vindt plaats volgens de verhouding van  de productie netlevering en niet-netlevering in het jaar zelf.
</t>
        </r>
      </text>
    </comment>
    <comment ref="A27" authorId="0" shapeId="0" xr:uid="{E88E182F-488B-4CBF-A972-509C8E7D1C18}">
      <text>
        <r>
          <rPr>
            <b/>
            <sz val="9"/>
            <color indexed="81"/>
            <rFont val="Tahoma"/>
            <family val="2"/>
          </rPr>
          <t>Toelichting:</t>
        </r>
        <r>
          <rPr>
            <sz val="9"/>
            <color indexed="81"/>
            <rFont val="Tahoma"/>
            <family val="2"/>
          </rPr>
          <t xml:space="preserve">
Verdeling benutte backwardbanking naar netlevering en niet-netlevering vindt plaats volgens de verhouding van  de productie netlevering en niet-netlevering in het voorgaande jaar.
</t>
        </r>
      </text>
    </comment>
    <comment ref="A28" authorId="0" shapeId="0" xr:uid="{4602B552-0C1D-4FC8-B573-1EFBA76A96F3}">
      <text>
        <r>
          <rPr>
            <b/>
            <sz val="9"/>
            <color indexed="81"/>
            <rFont val="Tahoma"/>
            <family val="2"/>
          </rPr>
          <t xml:space="preserve">Toelichting:
</t>
        </r>
        <r>
          <rPr>
            <sz val="9"/>
            <color indexed="81"/>
            <rFont val="Tahoma"/>
            <family val="2"/>
          </rPr>
          <t xml:space="preserve">Verdeling benutte forwardbanking naar netlevering en niet-netlevering vindt plaats volgens de verhouding van  de productie netlevering en niet-netlevering in het jaar zelf.
</t>
        </r>
      </text>
    </comment>
    <comment ref="A29" authorId="0" shapeId="0" xr:uid="{7A2EA593-574B-4DD9-9BDF-E1291DE31BD1}">
      <text>
        <r>
          <rPr>
            <sz val="9"/>
            <color indexed="81"/>
            <rFont val="Tahoma"/>
            <family val="2"/>
          </rPr>
          <t xml:space="preserve">Toelichting:
Verdeling benutte backwardbanking naar netlevering en niet-netlevering vindt plaats volgens de verhouding van  de productie netlevering en niet-netlevering in het voorgaande jaar.
</t>
        </r>
      </text>
    </comment>
    <comment ref="A47" authorId="0" shapeId="0" xr:uid="{D7F98AB7-395E-4562-9EC5-84958FF45BB2}">
      <text>
        <r>
          <rPr>
            <sz val="9"/>
            <color indexed="81"/>
            <rFont val="Tahoma"/>
            <family val="2"/>
          </rPr>
          <t xml:space="preserve">Deze waarde is slechts indicatief. Als het SDE++ tarief in een bepaald jaar niet hoog genoeg is om deze correctie te kunnen verrekenen is deze te laag. Daarnaast houdt deze waarde geen rekening met reeds toegepaste MSK-correcties in het verleden.
</t>
        </r>
      </text>
    </comment>
    <comment ref="A49" authorId="0" shapeId="0" xr:uid="{C4C6AB84-1E20-47C5-AD2C-CD9549CE9D1D}">
      <text>
        <r>
          <rPr>
            <sz val="9"/>
            <color indexed="81"/>
            <rFont val="Tahoma"/>
            <family val="2"/>
          </rPr>
          <t>Deze cel reset de berekening indien invoerparameters die invloed hebben op de MSK-correctieberekening wijzigen. Daarnaast moet bij het aanpassen van formules de kringverwijzing onderbroken worden om vastlopen van het model te voorkomen. Dat kan middels het vervangen van de laatste 0 in de formule door een 1).</t>
        </r>
      </text>
    </comment>
    <comment ref="A50" authorId="0" shapeId="0" xr:uid="{3240B00C-E37F-4097-BFB4-1E4D2AD438CC}">
      <text>
        <r>
          <rPr>
            <sz val="9"/>
            <color indexed="81"/>
            <rFont val="Tahoma"/>
            <family val="2"/>
          </rPr>
          <t xml:space="preserve">Deze berekende MSK-correctie houdt rekening met een beperkte kortingsmogelijkheid in jaren met een lage SDE++ bijdrage en reeds toegepaste MSK-correctie in het verleden.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Nijenhuis, F. (Frank)</author>
  </authors>
  <commentList>
    <comment ref="I3" authorId="0" shapeId="0" xr:uid="{C54F1EFF-A584-4382-A740-555D4AE4F946}">
      <text>
        <r>
          <rPr>
            <b/>
            <sz val="9"/>
            <color indexed="81"/>
            <rFont val="Tahoma"/>
            <family val="2"/>
          </rPr>
          <t>Nijenhuis, F. (Frank):</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<sst xmlns="http://schemas.openxmlformats.org/spreadsheetml/2006/main" count="899" uniqueCount="539">
  <si>
    <t>B: Invoerblad MSK cumulatietoets exploitatiesteun</t>
  </si>
  <si>
    <t>FEM</t>
  </si>
  <si>
    <t>BPA</t>
  </si>
  <si>
    <t xml:space="preserve">Vul de geel gemarkeerde velden van deel A in en eventueel deel B afhankelijk van uw project. </t>
  </si>
  <si>
    <t>TI</t>
  </si>
  <si>
    <t>Lees ook de toelichting.</t>
  </si>
  <si>
    <t>DEEL A: Algemeen</t>
  </si>
  <si>
    <t>Hulpberekeningen</t>
  </si>
  <si>
    <t>NCW</t>
  </si>
  <si>
    <t xml:space="preserve">Projectgegevens SDE </t>
  </si>
  <si>
    <t>SDE projectnummer</t>
  </si>
  <si>
    <t>Info</t>
  </si>
  <si>
    <t>SDE aanvraag categorie</t>
  </si>
  <si>
    <t xml:space="preserve">Gerealiseerd opgesteld vermogen </t>
  </si>
  <si>
    <t>in MWe</t>
  </si>
  <si>
    <t>5a</t>
  </si>
  <si>
    <t xml:space="preserve">Beschikt opgesteld vermogen </t>
  </si>
  <si>
    <t>Maximale SDE subsidieperiode (jaren)</t>
  </si>
  <si>
    <t>7A</t>
  </si>
  <si>
    <t>Totaal Productie in MWh in "SDE periode"</t>
  </si>
  <si>
    <t>8.1</t>
  </si>
  <si>
    <t>Net Levering</t>
  </si>
  <si>
    <t>8.2</t>
  </si>
  <si>
    <t>Niet-Netlevering</t>
  </si>
  <si>
    <t>8A</t>
  </si>
  <si>
    <t>8A1</t>
  </si>
  <si>
    <t>8A2</t>
  </si>
  <si>
    <t>Datum indiening aanvraag SDE</t>
  </si>
  <si>
    <t xml:space="preserve">Datum ingebruikname </t>
  </si>
  <si>
    <t>Eerste datum SDE</t>
  </si>
  <si>
    <t xml:space="preserve">Overige exploitatiesubsidies </t>
  </si>
  <si>
    <t>Overige exploitatiesubsidies (euro's)</t>
  </si>
  <si>
    <t>Investerings gegevens</t>
  </si>
  <si>
    <t xml:space="preserve">Investering  (euro's)            </t>
  </si>
  <si>
    <t>Bouwtijd (in maanden)</t>
  </si>
  <si>
    <t>Beoogde subsidie instrumenten</t>
  </si>
  <si>
    <t>…. subsidie (euro's)</t>
  </si>
  <si>
    <t>…. subsidies (euro's)</t>
  </si>
  <si>
    <t>Overige investeringssubsidies (euro's)</t>
  </si>
  <si>
    <t>Provinciale/ Gemeentelijke subsidies</t>
  </si>
  <si>
    <t>Totaal subsidies</t>
  </si>
  <si>
    <t xml:space="preserve"> </t>
  </si>
  <si>
    <t>Beoogde fiscale instrumenten</t>
  </si>
  <si>
    <t xml:space="preserve">NCW </t>
  </si>
  <si>
    <t>Belastingpercentage IB of VPB</t>
  </si>
  <si>
    <t>Aftrekpercentage voor EIA</t>
  </si>
  <si>
    <t>EIA meldingsbedrag (euro's)</t>
  </si>
  <si>
    <t>EIA aftrek (het meldingsbedrag na aftrek subsidies)</t>
  </si>
  <si>
    <t>Voordeel EIA</t>
  </si>
  <si>
    <t>MIA meldingsbedrag (euro's)</t>
  </si>
  <si>
    <t>Aftrekpercentage MIA</t>
  </si>
  <si>
    <t>MIA aftrek bedrag</t>
  </si>
  <si>
    <t>Voordeel MIA</t>
  </si>
  <si>
    <t>Totaal voordelen fiscale faciliteiten</t>
  </si>
  <si>
    <t>Financieel economisch</t>
  </si>
  <si>
    <t>Afschrijvingsbasis</t>
  </si>
  <si>
    <t>Te financieren</t>
  </si>
  <si>
    <t>Eigen vermogen</t>
  </si>
  <si>
    <t xml:space="preserve">Vreemd vermogen </t>
  </si>
  <si>
    <t>Vreemd vermogen</t>
  </si>
  <si>
    <t>Bedrag lening via Regeling groenprojecten (euro's)</t>
  </si>
  <si>
    <t>Rente vreemd vermogen (forfaitair)</t>
  </si>
  <si>
    <t>Afschrijving in jaren</t>
  </si>
  <si>
    <t>Verdisconteringsvoet</t>
  </si>
  <si>
    <t>Ter info: Tarieven SDE voor de door u gekozen productiecategorie</t>
  </si>
  <si>
    <t>SDE Basisbedrag</t>
  </si>
  <si>
    <t>SDE basis elektriciteitsprijs/gasprijs</t>
  </si>
  <si>
    <t>SDE Tarief te verwachten (bij correctiebedrag)</t>
  </si>
  <si>
    <t>Niet-NetLevering</t>
  </si>
  <si>
    <t>SDE correctiebedrag waartegen de MSK toets wordt doorgerekend (euro's)</t>
  </si>
  <si>
    <t>SDE tarief waartegen de MSK toets wordt doorgerekend</t>
  </si>
  <si>
    <t>Deel B</t>
  </si>
  <si>
    <t>Vul de jaren in waarin SDE voordelen worden verkregen (kan maximaal 16 kalenderjaren betreffen), jaar 1 is het eerste jaar dat SDE wordt verkregen</t>
  </si>
  <si>
    <t xml:space="preserve">Overige opbrengsten per kalenderjaar </t>
  </si>
  <si>
    <t>Totale productie van elektriciteit (ook niet subsidiabele productie)</t>
  </si>
  <si>
    <t>Tarieven vergoedingen</t>
  </si>
  <si>
    <t>55a</t>
  </si>
  <si>
    <t xml:space="preserve">Opbrengsten per kalenderjaar </t>
  </si>
  <si>
    <t>Overige kosten per kalenderjaar</t>
  </si>
  <si>
    <t>Vaste operationele kosten (euro / jaar)</t>
  </si>
  <si>
    <t>Variabele operationele kosten (euro / jaar)</t>
  </si>
  <si>
    <t>http://ec.europa.eu/comm/competition/state_aid/legislation/reference_rates.html</t>
  </si>
  <si>
    <t>A: MSK cumulatietoets exploitatiesteun</t>
  </si>
  <si>
    <t>Basis MSK-toets</t>
  </si>
  <si>
    <t>Grafische weergave Cumulatiegegevens (NCW)</t>
  </si>
  <si>
    <t>A</t>
  </si>
  <si>
    <t>Bruto investering</t>
  </si>
  <si>
    <t>F</t>
  </si>
  <si>
    <t>B</t>
  </si>
  <si>
    <t>Investeringssteun (verleend en beoogd)</t>
  </si>
  <si>
    <t>Voordeel regeling groenprojecten</t>
  </si>
  <si>
    <t>EIA voordeel</t>
  </si>
  <si>
    <t>B1</t>
  </si>
  <si>
    <t>subtotaal</t>
  </si>
  <si>
    <t>Overige investeringssubsidies</t>
  </si>
  <si>
    <t>MIA voordeel</t>
  </si>
  <si>
    <t>VAMIL voordeel</t>
  </si>
  <si>
    <t>B2</t>
  </si>
  <si>
    <t>Totaal  B1 + B2</t>
  </si>
  <si>
    <t>C= A - B</t>
  </si>
  <si>
    <t>Netto investering</t>
  </si>
  <si>
    <t>D</t>
  </si>
  <si>
    <t>Rendement geinvesteerd vermogen</t>
  </si>
  <si>
    <t>E</t>
  </si>
  <si>
    <t>NCW Opbrengsten marktwaarde elektriciteit (naast SDE)</t>
  </si>
  <si>
    <t>NCW van overige kosten</t>
  </si>
  <si>
    <t>G = C + D - E + F</t>
  </si>
  <si>
    <t>Toegestane exploitatiesubsidie (=exploitatiesteunruimte)</t>
  </si>
  <si>
    <t>H</t>
  </si>
  <si>
    <t>NCW van exploitatie subsidies (verleende en beoogde exploitatiesteun)</t>
  </si>
  <si>
    <t>S1 = G - H</t>
  </si>
  <si>
    <t>Saldo exploitatie toets</t>
  </si>
  <si>
    <t>S2 = C + D - H</t>
  </si>
  <si>
    <t>Saldo investeringstoets</t>
  </si>
  <si>
    <t>Z1</t>
  </si>
  <si>
    <t>Conclusie overcompensatie exploitatie toets</t>
  </si>
  <si>
    <t xml:space="preserve">Z2 </t>
  </si>
  <si>
    <t>Conclusie overcompensatie investerings toets</t>
  </si>
  <si>
    <t>Berekening op SDE in te houden bedrag wegens overcompensatie</t>
  </si>
  <si>
    <t>De grondslag voor correctie is Z1 of Z2 maar zal niet meer bedragen dan subtotaal B2</t>
  </si>
  <si>
    <t>M</t>
  </si>
  <si>
    <t>Correctiegrondslag (NCW) (maximaal B2 of nul als Z1 en Z2 &lt;=10.000 )</t>
  </si>
  <si>
    <t>Toelichting</t>
  </si>
  <si>
    <t>SDE-aanvragers inzicht te geven in de berekening van eventuele overcompensatie als gevolg cumulatie van steun.</t>
  </si>
  <si>
    <t>Bij complexe projecten is dit rekenmodel mogelijk niet toepasbaar.</t>
  </si>
  <si>
    <t>voeren die voor uw project relevant zijn. De gegevens die u dient in te voeren zijn aangegeven met behulp van de de geel gearceerde cellen in onderdeel A.</t>
  </si>
  <si>
    <t xml:space="preserve">Onderstaand worden voor het werkblad "Invoerblad" en het werkblad "Overzicht MSK toets" een aantal punten toegelicht. </t>
  </si>
  <si>
    <t>Werkblad "Invoerblad "</t>
  </si>
  <si>
    <t>Terug naar invoerblad</t>
  </si>
  <si>
    <t>DEEL A</t>
  </si>
  <si>
    <t>Vermeld hier het SDE projectnummer.</t>
  </si>
  <si>
    <t>5A</t>
  </si>
  <si>
    <t>Vermeld hier de datum indiening aanvraag SDE.</t>
  </si>
  <si>
    <t>Dit betreft de ingebruikname datum van uw installatie waarop uw SDE aanvraag betrekking heeft.</t>
  </si>
  <si>
    <t>Vul hier de startdatum SDE-subsidie in.</t>
  </si>
  <si>
    <t>Onder overige exploitatiesubsidies vallen alle vormen van exploitatiesteun van de Rijksoverheid, Provincie, Gemeente, EU of een ander Bestuursorgaan.</t>
  </si>
  <si>
    <t>Vul hier de werkelijke investeringskosten  voor uw productie-installatie voor duurzame energie in. Het betreft dus alleen het deel dat voor de opwekking van duurzame energie bestemd is. Het gaat om de investering die betrekking heeft op de SDE aanvraag. In artikel 36 van de Communautaire Kaderregeling inzake Staatssteun en ten behoeve van het Milieu staat geformuleerd welke kosten als investeringskosten worden aangemerkt. Indien de subsidie-ontvanger een subsidieverlening van meer dan € 125.000 heeft ontvangen, dient bovengenoemd overzicht tevens vergezeld te gaan van een goedkeurende accountantsverklaring. De accountantsverklaring wordt opgesteld conform de modelaccountantsverklaring en het bijbehorende controleprotocol. De modelaccountantsverklaring en het controleprotocol kunt u vinden op de website www.rvo.nl/sde.</t>
  </si>
  <si>
    <t xml:space="preserve">Er wordt van uitgegaan dat de subsidies in het jaar na de investeringsperiode worden ontvangen. </t>
  </si>
  <si>
    <t>Ontvangen subsidies voor de productie-installatie (bijv. TKI, DEI, MEI of andere subsidies van RVO)</t>
  </si>
  <si>
    <t xml:space="preserve">Ontvangen subsidies voor de productie-installatie </t>
  </si>
  <si>
    <t>Onder overige investeringsubsidies vallen alle vormen van investeringssteun van de Rijksoverheid, EU of een ander Bestuursorgaan.</t>
  </si>
  <si>
    <t>Onder provinciale en gemeentelijke subsidies vallen alle vormen van investeringssteun van de Provincie en/of Gemeente</t>
  </si>
  <si>
    <t>Totaal subsidies is een automatisch berekend veld. Dit is de som van alle ontvangen investeringssteun.</t>
  </si>
  <si>
    <t>Totaal fiscale voordelen is een automatisch berekend veld. Dit is de som van alle ontvangen fiscale voordelen.</t>
  </si>
  <si>
    <t xml:space="preserve">De afschrijvingstermijn is 15 jaar (dit is gelijk aan de looptijd van de SDE-subsidie). </t>
  </si>
  <si>
    <t>Dit is het disconteringspercentage dat geldt op de datum van SDE aanvraag. Dit is het percentage dat door de EU wordt vastgesteld.</t>
  </si>
  <si>
    <t>Zie hieronder ook deze tabel weergegeven voor Nederland:</t>
  </si>
  <si>
    <t>Van</t>
  </si>
  <si>
    <t>%</t>
  </si>
  <si>
    <t>http://ec.europa.eu/competition/state_aid/legislation/reference_rates.html</t>
  </si>
  <si>
    <t>Totale elektriciteitsproductie. Dit is dezelfde productie als bij punt 8 berekend.</t>
  </si>
  <si>
    <t>Werkblad "Overzicht MSK toets"</t>
  </si>
  <si>
    <t>Algemeen</t>
  </si>
  <si>
    <t>Op dit blad worden de uitkomsten van de MSK-toets gepresenteerd. Alle waarden uit dit blad zijn automatisch berekende velden gebaseerd op de waarden zoals ingevuld op de invoerbladen.</t>
  </si>
  <si>
    <t>In de berekeningen wordt gebruikgemaakt van de Netto Contante Waarde (NCW)</t>
  </si>
  <si>
    <t>Er is sprake van overcompensatie als de waarde bij Z1 of Z2 groter is dan nul</t>
  </si>
  <si>
    <t>Overige investeringssteun</t>
  </si>
  <si>
    <t>Totale investeringssteun. Dit is de som van B1 en B2</t>
  </si>
  <si>
    <t>C</t>
  </si>
  <si>
    <t>Netto-investering = Bruto investering (A) - totale investeringssteun (B)</t>
  </si>
  <si>
    <t>Hier wordt de NCW van de marktwaarde elektriciteitsopbrengsten naast SDE getoond.</t>
  </si>
  <si>
    <t>Hier wordt de NCW van de exploitatiekosten getoond.</t>
  </si>
  <si>
    <t>G</t>
  </si>
  <si>
    <t>Hier wordt de toegestane exploitatiesteunruimte getoond. De toegestane exploitatiesteunruimte is: Netto-investering ( C) + rendement geïnvesteerd vermogen (D) - NCW marktwaarde elektriciteit ( E) + NCW exploitatiekosten (F)</t>
  </si>
  <si>
    <t>Hier wordt de netto contante waarde van de SDE-subsidie getoond.</t>
  </si>
  <si>
    <t>S1</t>
  </si>
  <si>
    <t>Saldo toets A = Toegestane exploitatiesteunruimte (G) - Netto contante waarde exploitatiesubsidie (H)</t>
  </si>
  <si>
    <t>S2</t>
  </si>
  <si>
    <t>Bedrag aan overstimulering toets A. Er is sprake van overstimulering als het saldo bij S1 kleiner is dan nul.</t>
  </si>
  <si>
    <t>Z2</t>
  </si>
  <si>
    <t>Bedrag aan overstimulering toets B. Er is sprake van overstimulering als het saldo bij S2 kleiner is dan nul.</t>
  </si>
  <si>
    <t>De (NCW van de) overcompensatie (maximum van Z1 en Z2) zal maximaal de gegeven steun bedragen onder B2. De onder B1 genoemde regelingen zijn categoraal en in de EU-goedkeuring van de SDE opgenomen. Daar wordt niet op gecorrigeerd.</t>
  </si>
  <si>
    <t>Jaar</t>
  </si>
  <si>
    <t>Totaal</t>
  </si>
  <si>
    <t>Uitgangspunten</t>
  </si>
  <si>
    <t>Waarde</t>
  </si>
  <si>
    <t>Eenheid</t>
  </si>
  <si>
    <t>MWe</t>
  </si>
  <si>
    <t>Beschikt opgesteld vermogen</t>
  </si>
  <si>
    <t>MWh</t>
  </si>
  <si>
    <t>Euro</t>
  </si>
  <si>
    <t>Opbrengsten marktwaarde elektriciteit (naast SDE) (Gemiddeld looptijd)</t>
  </si>
  <si>
    <t>Vaste operationele kosten (euro / jaar) (Gemiddeld looptijd)</t>
  </si>
  <si>
    <t>Variabele operationele kosten (euro / jaar) (Gemiddeld looptijd)</t>
  </si>
  <si>
    <t>Jaren</t>
  </si>
  <si>
    <t>maximale sde periode (jaren)</t>
  </si>
  <si>
    <t>ingebruikname datum</t>
  </si>
  <si>
    <t>sde ingangsdatum</t>
  </si>
  <si>
    <t>Vanaf dat moment kan sde genoten worden. Als de indieningsdatum later is dan deze datum benut je de sde periode niet optimaal.</t>
  </si>
  <si>
    <t xml:space="preserve">sde periode start in kalenderjaar </t>
  </si>
  <si>
    <t>In dat jaar start de 15 of 12 jaar. Dat is het 1e kalenderjaar dat je laat zien</t>
  </si>
  <si>
    <t>1e datum kalenderjaar waarin sde periode start</t>
  </si>
  <si>
    <t>per maand</t>
  </si>
  <si>
    <t>Datum dat sde opbrengsten starten</t>
  </si>
  <si>
    <t>Kalenderjaar dat sde opbrengsten starten</t>
  </si>
  <si>
    <t>1e datum kalenderjaar waarin sde opbrengst start</t>
  </si>
  <si>
    <t>Deel 1e kalenderjaar dat sde genoten wordt</t>
  </si>
  <si>
    <t>Deel 1e kalenderjaar dat sde periode omvat</t>
  </si>
  <si>
    <t>Deel laatste kalenderjaar dat sde genoten wordt</t>
  </si>
  <si>
    <t>In het geval dat de sde over bijv . 16 kalenderjaren verdeeld is.</t>
  </si>
  <si>
    <t>Deel laatste kalenderjaar (sde periode +1) dat sde periode omvat</t>
  </si>
  <si>
    <t>Verlies sde periode</t>
  </si>
  <si>
    <t>Effectieve sde periode</t>
  </si>
  <si>
    <t>Effectieve aantal kalenderjaren</t>
  </si>
  <si>
    <t xml:space="preserve">SDE ontvangstjaar: </t>
  </si>
  <si>
    <t>Deel jaar sde ontvangst</t>
  </si>
  <si>
    <t>in maanden</t>
  </si>
  <si>
    <t>NCW rendement geïnvesteerd vermogen</t>
  </si>
  <si>
    <t>Netto investering (NCW)</t>
  </si>
  <si>
    <t>Eigen vermogen (EV)</t>
  </si>
  <si>
    <t>Vreemd vermogen (VV)</t>
  </si>
  <si>
    <t>Terugbetalingsperiode  EV en VV in jaren</t>
  </si>
  <si>
    <t>rente VV per jaar</t>
  </si>
  <si>
    <t>Year</t>
  </si>
  <si>
    <t>VV schuld</t>
  </si>
  <si>
    <t>EV in project</t>
  </si>
  <si>
    <t>Rente VV</t>
  </si>
  <si>
    <t>Kosten EV</t>
  </si>
  <si>
    <t>NCW over jaar 1 tm 10</t>
  </si>
  <si>
    <t>rente VV</t>
  </si>
  <si>
    <t xml:space="preserve">Voordeel Regeling Groenprojecten </t>
  </si>
  <si>
    <t>Benuttingsjaren</t>
  </si>
  <si>
    <t>rente voordeel (forfaitair) per jaar</t>
  </si>
  <si>
    <t>Schuld VV (gefinancierd met Regeling Groenprojecten)</t>
  </si>
  <si>
    <t>voordeel per jaar</t>
  </si>
  <si>
    <t>Het rentevoordeel uit de Regeling Groenprojecten is berekend obv 10 jaar aflossing (in tegenstelling tot afschrijvings / aflossingstermijn ter berekening van het rendement op vermogen, zie hierboven</t>
  </si>
  <si>
    <t>D: Berekening VAMIL voordeel</t>
  </si>
  <si>
    <t>Belastingpercentage</t>
  </si>
  <si>
    <t>Begrote afschrijving</t>
  </si>
  <si>
    <t>Vervroegde afschrijving</t>
  </si>
  <si>
    <t xml:space="preserve">Belastingvoordeel </t>
  </si>
  <si>
    <t>F: MSK toets, Rekenhulp investeringsbedrag bij lease</t>
  </si>
  <si>
    <t>Rekenhulp voor het berekenen van het investeringsbedrag bij financial lease of sale en lease back</t>
  </si>
  <si>
    <t>Vul punt 1 tot en met 6 in.</t>
  </si>
  <si>
    <t>Punt</t>
  </si>
  <si>
    <t>Omschrijving</t>
  </si>
  <si>
    <t xml:space="preserve">Invulvelden </t>
  </si>
  <si>
    <t>Verdisconteringspercentage op jaarbasis:</t>
  </si>
  <si>
    <t>Verdisconteringspercentage op maandbasis</t>
  </si>
  <si>
    <t xml:space="preserve">leasetermijn per maand: </t>
  </si>
  <si>
    <t>leaseperiode (in maanden):</t>
  </si>
  <si>
    <t>koopoptie bedrag:</t>
  </si>
  <si>
    <t>koopoptie betalingsmaand:</t>
  </si>
  <si>
    <t>betaling begin (vul in: 1) of einde maand (vul in: 0):</t>
  </si>
  <si>
    <t>Uitkomsten</t>
  </si>
  <si>
    <t>NCW leasetermijnen:</t>
  </si>
  <si>
    <t>NCW koopoptie:</t>
  </si>
  <si>
    <t>Totale NCW (investeringsbedrag):</t>
  </si>
  <si>
    <t>Toelichting:</t>
  </si>
  <si>
    <t>Het disconteringspercentage dat u hier moet invullen is afhankelijk van de datum van de SDE aanvraag.</t>
  </si>
  <si>
    <t xml:space="preserve">Het bij de aanvraagdatum behorende disconteringspercentage kunt u vinden in de tabel op de website </t>
  </si>
  <si>
    <t>Hier vult u de maandelijkse leasetermijn in.</t>
  </si>
  <si>
    <t>Als er een koopoptie in uw leasecontract staat opgenomen, neemt u dat bedrag over. Als er geen koopoptie is, vult u niets in.</t>
  </si>
  <si>
    <t>Hier vult u de maand in waarin u van de eventuele koopoptie gebruik kan maken . Als u bijvoorbeeld na 12 jaar tot de optie koop</t>
  </si>
  <si>
    <t>kunt overgaan, vult u maand 145 in.</t>
  </si>
  <si>
    <t>Als u de leasetermijnen na afloop van de maand betaalt, vult u 0 in, betaalt u de leasetermijn vooraf, vult u 1 in.</t>
  </si>
  <si>
    <t>Dit is het investeringsbedrag. Dit bedrag kunt u invullen in het invoerblad.</t>
  </si>
  <si>
    <t>Eenmalige kosten omvormer jaar 12</t>
  </si>
  <si>
    <t xml:space="preserve">Verdeling volgens aanvraag of realisatie </t>
  </si>
  <si>
    <t>X</t>
  </si>
  <si>
    <t>forw banking</t>
  </si>
  <si>
    <t>Eerste jaar toepassing MSK korting</t>
  </si>
  <si>
    <t>In te voeren korting</t>
  </si>
  <si>
    <t>Overzicht MSK-toets Saldo</t>
  </si>
  <si>
    <t>Begrote SDE inkomsten NCW (voor correctie)</t>
  </si>
  <si>
    <t xml:space="preserve">SDE opbrengstkorting (door tariefcorrectie) </t>
  </si>
  <si>
    <t xml:space="preserve">Netto contant in totaal </t>
  </si>
  <si>
    <t>Netto productie vanaf kortingjaar a14</t>
  </si>
  <si>
    <t xml:space="preserve">hulpberekeningen </t>
  </si>
  <si>
    <t>blad: Overzicht msk toets</t>
  </si>
  <si>
    <t>correctiegrondslag</t>
  </si>
  <si>
    <t>ter bepaling</t>
  </si>
  <si>
    <t>NCW tariefkorting</t>
  </si>
  <si>
    <t>Nominale tariefkorting</t>
  </si>
  <si>
    <t>Te berekenen korting overall /MWh</t>
  </si>
  <si>
    <t>Forfaitair eigen vermogen</t>
  </si>
  <si>
    <t>Forfaitair vreemd vermogen</t>
  </si>
  <si>
    <t>Renteafslag groenfinanciering</t>
  </si>
  <si>
    <t>SDE21</t>
  </si>
  <si>
    <t>SDE22</t>
  </si>
  <si>
    <t>Financiële parameters</t>
  </si>
  <si>
    <t>Vaste kosten per MWp/jaar</t>
  </si>
  <si>
    <t>Variabele kosten per MWh/jaar</t>
  </si>
  <si>
    <t>Vollasturen/jaar</t>
  </si>
  <si>
    <t>Categorieën zon-PV SDE20 najaar</t>
  </si>
  <si>
    <t>Categorieën zon-PV SDE21</t>
  </si>
  <si>
    <t>Categorieën zon-PV SDE22</t>
  </si>
  <si>
    <t>Zon-PV ≥ 1 MWp drijvend</t>
  </si>
  <si>
    <t>Zon PV ≥ 15 kWp en &lt; 1 MWp</t>
  </si>
  <si>
    <t>Zon PV ≥ 1 MWp gebouwgebonden</t>
  </si>
  <si>
    <t>Zon PV ≥ 1 MWp op land</t>
  </si>
  <si>
    <t xml:space="preserve">Zon-PV ≥ 1 MWp zonvolgend op land </t>
  </si>
  <si>
    <t xml:space="preserve">Zon-PV ≥ 1 MWp zonvolgend drijvend </t>
  </si>
  <si>
    <t>Zon PV ≥ 15 kWp en &lt; 1 MWp gebouwgebonden</t>
  </si>
  <si>
    <t>Zon PV ≥ 15 kWp en &lt; 1 MWp op land/drijvend</t>
  </si>
  <si>
    <t>Zon PV ≥ 15 kWp en &lt; 1 MWp op land</t>
  </si>
  <si>
    <t>Zon PV ≥ 15 kWp en &lt; 1 MWp drijvend</t>
  </si>
  <si>
    <t>Zon PV ≥ 1 MWp en &lt; 15 MWp op land</t>
  </si>
  <si>
    <t>Zon PV ≥ 15 MWp op land</t>
  </si>
  <si>
    <t xml:space="preserve">Zon-PV ≥ 1 MWp en &lt; 15 MWp zonvolgend op land </t>
  </si>
  <si>
    <t xml:space="preserve">Zon-PV ≥ 15 MWp zonvolgend op land </t>
  </si>
  <si>
    <t>Rendement (rente) eigen vermogen</t>
  </si>
  <si>
    <t>Rendement (rente) vreemd vermogen</t>
  </si>
  <si>
    <t>Eenmalige kosten per MWp in jaar 12 (omvormers)</t>
  </si>
  <si>
    <t>SDE20</t>
  </si>
  <si>
    <t>MSK rekenmodel voor zon-pv vanaf SDE++ 2020</t>
  </si>
  <si>
    <t>Rentevoordeel regeling groenprojecten (forfaitair)</t>
  </si>
  <si>
    <t xml:space="preserve">Voordeel regeling groenprojecten </t>
  </si>
  <si>
    <t>Eigen vermogen (forfaitair)</t>
  </si>
  <si>
    <t>Rendement eigen vermogen (forfaitair)</t>
  </si>
  <si>
    <t>Rendement EV per jaar</t>
  </si>
  <si>
    <t>54a</t>
  </si>
  <si>
    <t>54b</t>
  </si>
  <si>
    <t>55b</t>
  </si>
  <si>
    <t>57a</t>
  </si>
  <si>
    <t>Correctiegrondslag (NCW)</t>
  </si>
  <si>
    <t>T</t>
  </si>
  <si>
    <t>V</t>
  </si>
  <si>
    <t>Berekening Korting SDE tarief</t>
  </si>
  <si>
    <t>Totaal NCW begrote productie vanaf kortingjaar</t>
  </si>
  <si>
    <t>Totale begrote productie in MWh vanaf kortingjaar</t>
  </si>
  <si>
    <t>Q1</t>
  </si>
  <si>
    <t>Q2</t>
  </si>
  <si>
    <t>Q3</t>
  </si>
  <si>
    <t>SDE opbrengsten (ná MSK-correctie)</t>
  </si>
  <si>
    <t>55c</t>
  </si>
  <si>
    <t>55d</t>
  </si>
  <si>
    <t>Begrote toegestane SDE inkomsten NCW (na correctie)</t>
  </si>
  <si>
    <t>55e</t>
  </si>
  <si>
    <t>Totale SDE opbrengsten NCW (na correctie)</t>
  </si>
  <si>
    <t xml:space="preserve">Let op: 
Dit Excelmodel bevat een kringverwijzing voor het berekenen van de hoogte van het MSK-correctietarief. Indien u dit model opent nadat u andere Excel-bestanden hebt geopend, kan het voorkomen dat u een foutmelding krijgt dat het bestand een kringverwijzing bevat. U kunt dit verhelpen door de overige Excelbestanden af te sluiten en dit Excel model opnieuw te openen.  </t>
  </si>
  <si>
    <r>
      <t xml:space="preserve">Geel gearceerd: kosten uitgerekend uit aanvullend zon-PV advies (= </t>
    </r>
    <r>
      <rPr>
        <sz val="10"/>
        <rFont val="Calibri"/>
        <family val="2"/>
      </rPr>
      <t>€</t>
    </r>
    <r>
      <rPr>
        <sz val="10"/>
        <rFont val="Times New Roman"/>
        <family val="1"/>
        <charset val="1"/>
      </rPr>
      <t xml:space="preserve">13.000 per MW voor omvormer, maar vanwege 50% aansluiting i.p.v. 70% aansluiting </t>
    </r>
    <r>
      <rPr>
        <sz val="10"/>
        <rFont val="Calibri"/>
        <family val="2"/>
      </rPr>
      <t>€</t>
    </r>
    <r>
      <rPr>
        <sz val="10"/>
        <rFont val="Times New Roman"/>
        <family val="1"/>
        <charset val="1"/>
      </rPr>
      <t xml:space="preserve"> 13.000 * 50/70). Voor zon-PV &lt; 1 MWp of zonvolgend geldt geen kleinere aansluiting!</t>
    </r>
  </si>
  <si>
    <t>Geel gearceerd: verlaagd aantal vollasturen uit aanvullend advies i.v.m. kleinere netaansluiting. Voor zon-PV &lt; 1 MWp of zonvolgend geldt geen kleinere aansluiting!</t>
  </si>
  <si>
    <t>SDE Tarief  maximaal (uitgaande van basis elektriciteitsprijs)</t>
  </si>
  <si>
    <t>Nog toe te passen MSK-correctie</t>
  </si>
  <si>
    <t xml:space="preserve">SDE Tarief reeds toegepaste MSK-correctie </t>
  </si>
  <si>
    <t>SDE Tarief nog toe te passen MSK-correctie</t>
  </si>
  <si>
    <t>SDE Tarief te verwachten ná MSK-correctie</t>
  </si>
  <si>
    <t>Reeds toegepaste MSK-correctie</t>
  </si>
  <si>
    <t>Hulpcellen iteratieve berekening gecorrigeerde MSK-korting tarief</t>
  </si>
  <si>
    <t>Totale SDE opbrengsten NCW voor MSK correctie</t>
  </si>
  <si>
    <t>Totale MSK-correctie NCW</t>
  </si>
  <si>
    <t>Totale SDE opbrengsten NCW ná MSK correctie</t>
  </si>
  <si>
    <t>Totale SDE opbrengsten nominale waarde ná MSK correctie</t>
  </si>
  <si>
    <t>Maximum subsidiabele vollasturen bij beschikt vermogen</t>
  </si>
  <si>
    <t>Verwachte of gerealiseerde subsidiabele vollasturen bij beschikt vermogen</t>
  </si>
  <si>
    <t>Verwachte of gerealiseerde vollasturen bij gerealiseerd vermogen</t>
  </si>
  <si>
    <t>Vollasturen bij gerealiseerd vermogen omgerekend bij beschikt vermogen</t>
  </si>
  <si>
    <t>Benutte vollasturen backward banking (overproductie uit verleden)</t>
  </si>
  <si>
    <t>Benutte vollasturen forward banking (subsidierechten opgebouwd in verleden)</t>
  </si>
  <si>
    <t>Gebankte vollasturen forward banking</t>
  </si>
  <si>
    <t>Gebankte vollasturen backwardbanking (max. 25% van jaarmaximum)</t>
  </si>
  <si>
    <t>Subsidiabele productie in MWh in SDE periode (benutte banking)</t>
  </si>
  <si>
    <t>Subsidiabele productie in MWh in SDE periode (excl. banking)</t>
  </si>
  <si>
    <t>Net Levering (excl. banking)</t>
  </si>
  <si>
    <t>Niet-Netlevering (excl. banking)</t>
  </si>
  <si>
    <t xml:space="preserve">Totale verwachte gemiddelde jaarproductie bij gerealiseerd vermogen </t>
  </si>
  <si>
    <t>Totale SDE opbrengsten (vóór MSK-correctie)</t>
  </si>
  <si>
    <t>SDE opbrengsten excl. banking</t>
  </si>
  <si>
    <t>SDE opbrengsten forward banking</t>
  </si>
  <si>
    <t>SDE opbrengsten backward banking</t>
  </si>
  <si>
    <t>backw banking 80%</t>
  </si>
  <si>
    <t>backw banking 20%</t>
  </si>
  <si>
    <t>Benutte productie forwardbanking Net Levering</t>
  </si>
  <si>
    <t>Benutte productie backwardbanking Net Levering</t>
  </si>
  <si>
    <t>Benutte productie forwardbanking Niet Levering</t>
  </si>
  <si>
    <t>Benutte productie backwardbanking Niet Levering</t>
  </si>
  <si>
    <t>Totale productie</t>
  </si>
  <si>
    <t>Totale productie Net-Levering</t>
  </si>
  <si>
    <t>Totale productie Niet-Netlevering</t>
  </si>
  <si>
    <t xml:space="preserve">Totale subs. productie excl. banking </t>
  </si>
  <si>
    <t>Totale prod. Net Lev. excl. banking</t>
  </si>
  <si>
    <t>Totale prod. Niet-Netlev. excl.banking</t>
  </si>
  <si>
    <t xml:space="preserve">Totale subs. prod. benutte banking </t>
  </si>
  <si>
    <t>Totale prod. Net Lev. forwardbanking</t>
  </si>
  <si>
    <t>Totale prod. Net Lev. backwardbanking</t>
  </si>
  <si>
    <t>Totale prod. Niet-Netlev. forwardbanking</t>
  </si>
  <si>
    <t>Totale sub. prod. incl. banking</t>
  </si>
  <si>
    <t>Totale prod. Niet-Netlev. backwardbanking</t>
  </si>
  <si>
    <t xml:space="preserve">Uitbetaling subsidiabele productie en backwardbanking in MWh in SDE periode (uitgangspunt 80% in het jaar en 20% het jaar daarna), forward banking het jaar erna. </t>
  </si>
  <si>
    <t>Berekening kortingsbedrag en banking</t>
  </si>
  <si>
    <t>Totaal gemeten productie in MWh in "SDE periode"</t>
  </si>
  <si>
    <t>Totaal gemeten of verwachte productie in MWh in "SDE periode"</t>
  </si>
  <si>
    <t>Niet-Netlevering, ontvangen meetwaarden</t>
  </si>
  <si>
    <t>Totaal meetwaarden Net-Levering</t>
  </si>
  <si>
    <t>Totaal meetwaarden Niet-Netlevering</t>
  </si>
  <si>
    <t xml:space="preserve">Totaal ontvangen meetwaarden productie </t>
  </si>
  <si>
    <t>Verdeling</t>
  </si>
  <si>
    <t>Verdeling volgens meetwaarden</t>
  </si>
  <si>
    <t>Berekening terugvorderingsbedrag bij teveel uitbetaalde subsidie</t>
  </si>
  <si>
    <t>Afwijking met toegestane SDE-inkomsten steunruimte NCW (teveel ontvangen SDE-subsidie)</t>
  </si>
  <si>
    <t>Gerealiseerd opgesteld vermogen in MWe</t>
  </si>
  <si>
    <t>Beschikt opgesteld vermogen in MWe</t>
  </si>
  <si>
    <t>Benutte productie forwardbanking Niet Net-Levering</t>
  </si>
  <si>
    <t>Benutte productie backwardbanking Niet Net-Levering</t>
  </si>
  <si>
    <t>Benutte productie forwardbanking Net-Levering</t>
  </si>
  <si>
    <t>Benutte productie backwardbanking Net-Levering</t>
  </si>
  <si>
    <t>Net-Levering, ontvangen meetwaarden</t>
  </si>
  <si>
    <t>Totaal subs. vollasturen beschikt</t>
  </si>
  <si>
    <t>Indexatie operationele kosten</t>
  </si>
  <si>
    <t>Jaarlijkse subsidiabele productie in MWh in SDE periode</t>
  </si>
  <si>
    <t>Jaarlijkse productie in MWh in "SDE periode"</t>
  </si>
  <si>
    <t>Tarief marktwaarde stroom gem.  (Euro/MWh) (naast SDE) Niet-netlevering</t>
  </si>
  <si>
    <t>Tarief marktwaarde stroom gem.  (Euro/MWh) (naast SDE) Netlevering</t>
  </si>
  <si>
    <t>SDE basis elektriciteitsprijs Netlevering</t>
  </si>
  <si>
    <t>SDE basis elektriciteitsprijs Niet-netlevering</t>
  </si>
  <si>
    <t>Tarief marktwaarde stroom  (Euro/MWh) (naast SDE) Netlevering</t>
  </si>
  <si>
    <t>Tarief marktwaarde stroom (Euro/MWh) (naast SDE) Niet-netlevering</t>
  </si>
  <si>
    <t>Opbrengsten marktwaarde elektriciteit (naast SDE) Netlevering</t>
  </si>
  <si>
    <t>Opbrengsten marktwaarde elektriciteit (naast SDE) Niet-netlevering</t>
  </si>
  <si>
    <t>VAMIL meldingsbedrag (euro's)</t>
  </si>
  <si>
    <t>Voordeel VAMIL</t>
  </si>
  <si>
    <t>Eenmalige kosten vervanging omvormer in jaar 12 (euro)</t>
  </si>
  <si>
    <t>Terug te vorderen subsidiebedrag geïndexeerd naar maand van terugvordering</t>
  </si>
  <si>
    <t xml:space="preserve">Algemeen </t>
  </si>
  <si>
    <t xml:space="preserve"> U berekent het gemiddelde percentage over de 1e volledige, aaneengesloten 12 maands productieperiode, voor netlevering. Dit  percentage vermenigvuldigt u met de subsidiabele productie en dan vult u deze MWh in onder 8.1 (cel E27) </t>
  </si>
  <si>
    <t xml:space="preserve"> U berekent het gemiddelde percentage over de 1e volledige, aaneengesloten 12 maands productieperiode, voor niet-netlevering (eigen verbruik). Dit  percentage vermenigvuldigt u met de subsidiabele productie en dan vult u deze MWh in onder 8.2 (cel E28) </t>
  </si>
  <si>
    <t>Dit veld is met de volgende formule berekend: beschikt opgesteld vermogen (punt 5A) * subsidiabele draaiuren  (punt 7A) en is de resultante van regel 31 (8.A.1) en 32 (8.A.2)</t>
  </si>
  <si>
    <t>8.A.1.</t>
  </si>
  <si>
    <t>8.A.2.</t>
  </si>
  <si>
    <t>Hier dient het maximale belastingpercentage inkomstenbelasting of vennootschapsbelasting ingevuld te worden dat van toepassing is in het jaar na het jaar van ingebruikname van de productie-installatie, waarbij in 2021 voor de inkomstenbelasting wordt uitgegaan van 49,5% en voor de vennootschapsbelasting van 25%</t>
  </si>
  <si>
    <t>Hier dient het aftrekpercentage ingevuld te worden dat van toepassing is op het moment van melding van de investering</t>
  </si>
  <si>
    <t>Hier vult u de toegekende EIA meldingsbedragen in. Als de bedragen nog niet zijn toegekend vult u de aangevraagde EIA meldingsbedragen in. Let wel er zijn bij sommige categorien (wind op land) en zonnepanelen EIA-maxima ingesteld.</t>
  </si>
  <si>
    <t>Het rentevoordeel uit de Regeling groenprojecten wordt forfaitair gesteld op het % dat is opgenomen in de Eindadviesbedragen van PBL in het jaar van de aanvraag van de SDE++-subsidie</t>
  </si>
  <si>
    <t>Rendement op eigen vermogen is forfaitair gesteld op basis van de Eindadviesbedragen PBL in het jaar van de aanvraag; dit is ook de grenswaarde</t>
  </si>
  <si>
    <t xml:space="preserve">Discontopercentage </t>
  </si>
  <si>
    <t xml:space="preserve">Zie  onderstaande link (link kopiëren en in uw browser plakken) </t>
  </si>
  <si>
    <t xml:space="preserve">Dit betreft de bedragen die zijn opgenomen of voortvloeien uit de SDE++- regeling. </t>
  </si>
  <si>
    <t>Vul hier het basisbedrag voor uw project in voor netlevering en niet-netlevering (eigen verbruik)</t>
  </si>
  <si>
    <t xml:space="preserve">Vul hier de basiselektriciteiteitsprijs voor uw project in voor netlevering </t>
  </si>
  <si>
    <t>57/57A</t>
  </si>
  <si>
    <t>Het tarief marktwaarde stroom waartegen de MSK-toets wordt doorgerekend. Zie 54A</t>
  </si>
  <si>
    <t>59/60</t>
  </si>
  <si>
    <t>De correctiegrondslag (NCW) kan niet meer zijn dan de subsidies onder punt B2.</t>
  </si>
  <si>
    <t>Investeringssteun uit EIA en Groen Lening(Regeling  Groienprojecten 2005, 2010, 2016 en 2022). Deze investeringssteun wordt meegenomen in de berekening, maar niet in de correctiegrondslag.</t>
  </si>
  <si>
    <r>
      <t>Saldo toets</t>
    </r>
    <r>
      <rPr>
        <sz val="10"/>
        <color rgb="FFFF0000"/>
        <rFont val="Arial"/>
        <family val="2"/>
      </rPr>
      <t xml:space="preserve"> </t>
    </r>
    <r>
      <rPr>
        <sz val="10"/>
        <rFont val="Arial"/>
        <family val="2"/>
      </rPr>
      <t>B</t>
    </r>
    <r>
      <rPr>
        <sz val="10"/>
        <rFont val="Arial"/>
        <family val="2"/>
        <charset val="1"/>
      </rPr>
      <t xml:space="preserve"> = Netto investering ( C) + Rendement geïnvesteerd vermogen (D) - NCW exploitatiesubsidie (H)</t>
    </r>
  </si>
  <si>
    <t>Dit is het 1e jaar waar de MSK korting wordt toegepast.</t>
  </si>
  <si>
    <t>Dit is de begrote productie vanaf het 1e kortingsjaar tot aan einde looptijd SDE++ in MWH</t>
  </si>
  <si>
    <t xml:space="preserve">Dit is de totale NCW van de productie vanaf het 1e kortingsjaar in MWH </t>
  </si>
  <si>
    <t>Q4</t>
  </si>
  <si>
    <t>Dit is de korting die in mindering gebracht wordt op het basisbedrag over de resterende looptijd van de SDE++-subsidie</t>
  </si>
  <si>
    <t>U</t>
  </si>
  <si>
    <t>Dit is de NCW van de begrote inkomsten na correctie van een eventuele korting door overstimulering</t>
  </si>
  <si>
    <t>Dit is de NCW van de begrote toegestane inkomsten na correctie overstimulering (=T - V)</t>
  </si>
  <si>
    <t>Dit is de NCW van de totale SDE-opbrengsten na correctie die uitbetaald zijn</t>
  </si>
  <si>
    <t>Y</t>
  </si>
  <si>
    <t>Dit is de NCW van de teveel uitbetaalde SDE die niet verrekend kan worden in de resterende looptijd</t>
  </si>
  <si>
    <t>Z</t>
  </si>
  <si>
    <t>Dit is het bedrag wat separaat teruggevorderd moet worden van de producent</t>
  </si>
  <si>
    <t>Datum midden van de bouwperiode voor de berekening van de NCW</t>
  </si>
  <si>
    <t xml:space="preserve">Datum midden bouwtijd bij standaard NHW berekening in Excel is 1 juli van jaar 0 (uitgangspunt is ingebruikname op 1 januari jaar 1, met forfaittaire bouwtijd van 12 maanden):  </t>
  </si>
  <si>
    <t xml:space="preserve">Berekende midden bouwtijd, rekening houdend met de opgegeven ingebruikname datum en een eventuele bouwtijd van langer dan 12 maanden: </t>
  </si>
  <si>
    <t>Verschil in jaardeel:</t>
  </si>
  <si>
    <t>Correctiefactor op NHW berekening:</t>
  </si>
  <si>
    <t>VAMIL meldingsbedrag (het meldingsbedrag na aftrek subsidies)</t>
  </si>
  <si>
    <t>Begrote EIA  aftrek in eerste jaar SDE of latere jaar van ingebruikname</t>
  </si>
  <si>
    <t xml:space="preserve">Begrote MIA  aftrek in eerste jaar SDE of latere jaar van ingebruikname </t>
  </si>
  <si>
    <t>Begrote VAMIL afschrijvingen per jaar (75% in eerste jaar SDE of latere jaar van ingebruikname, 25% verdeeld over de 14 navolgende jaren)</t>
  </si>
  <si>
    <t>NCW over jaar 1 tm 15</t>
  </si>
  <si>
    <t xml:space="preserve">Dit rekenmodel dient als hulpmiddel om inzicht te krijgen in eventuele overcompensatie als gevolg van cumulatie van steun.  </t>
  </si>
  <si>
    <t>Let op: er kunnen geen rechten worden ontleend aan dit rekenmodel en de toelichtingen! Het dient als hulpmiddel om</t>
  </si>
  <si>
    <t>Dit rekenmodel bestaat uit meerdere werkbladen. In het werkblad  "Overzicht MSK toets" is te zien of er sprake is van overstimulering</t>
  </si>
  <si>
    <t>door subsidies of fiscale voordelen. Om voor uw project te komen tot uitkomsten dient u eerst in het werkblad "Invoerblad" de benodigde gegevens in te</t>
  </si>
  <si>
    <t>Selecteer hier de categorie waarvoor u subsidie heeft aangevraagd d.m.v. de filter (het driehoekje) achter de cel.</t>
  </si>
  <si>
    <t>Vermeld hier het gerealiseerd opgesteld vermogen (MWp)</t>
  </si>
  <si>
    <t>Vermeld hier het beschikt opgesteld vermogen (MWp)</t>
  </si>
  <si>
    <t xml:space="preserve">Hier vult u het verwachte aantal vollasturen per jaar van uw installatie in </t>
  </si>
  <si>
    <t>Hier vult u het aantal vollasturen per jaar van uw installatie in dat subsidiabel is</t>
  </si>
  <si>
    <t>Dit veld is gelijk aan: gerealiseerd opgesteld vermogen (punt 5) * vollasturen (punt 7) en is de resultante van het totaal van regel 27 (8.1) en 28 (8.2).</t>
  </si>
  <si>
    <t xml:space="preserve">Dit is een automatisch berekend veld.  Dit is de gemiddelde productie voor netlevering en gebaseerd op het verhoudingsgetal uit 8.1.  </t>
  </si>
  <si>
    <t xml:space="preserve">Dit is een automatisch berekend veld. Dit is de gemiddelde productie voor niet-netlevering (eigen verbuik) en gebaseerd op het verhoudingsgetal uit 8.2. </t>
  </si>
  <si>
    <t xml:space="preserve">De bouwtijd is relevant voor de discontering van de opbrengsten en kosten na de investering voor zover ze onderwerp zijn van de cumulatietoets. De bouwtijd is de periode tussen de eerste betalingen t.a.v. investering in de productie-installatie en datum van ingebruikname. In de discontering van dit rekenmodel wordt rekening gehouden met forfaitair 1 jaar bouwtijd. Is de bouwtijd langer dan wordt daar in de discontering van de opbrengsten en kosten rekening mee gehouden. Als de bouwtijd langer is bij grootschaligere projecten, bijvoorbeeld 2 jaar wordt ervan uitgegaan dat de kosten van de investering lineair gemaakt worden over die periode. De discontering van de exploitatiegegevens zoals SDE inkomsten etc. wordt dan aangepast, omdat er meer tijd zit tussen de investering en exploitatie. Gemiddeld zit er bij een bouwtijd van 2 jaar dan 1,5 jaar tussen de investering en de gemiddelde exploitatiekosten en opbrengsten van jaar 1, omdat de investeringskosten gemiddeld in het midden van de bouwperiode worden betaald (in dit geval is het midden van de bouwperiode 1 jaar voor de ingebruikname en 1,5 jaar voor de gemiddelde exploitatiekosten en opbrengsten van jaar 1. </t>
  </si>
  <si>
    <t>Hier dient het aftrekpercentage ingevuld te worden dat van toepassing is op het moment van melding van de investering. Dit is afhankelijk van uw beschikking.</t>
  </si>
  <si>
    <t>De afschrijvingsbasis betreft de investering (punt 14)  -/- de subsidies (punt 20A).</t>
  </si>
  <si>
    <t>Als te financieren wordt beschouwd de investering (punt 14) -/- de subsidies (punt 20A) -/- de voordelen die uit de fiscale instrumenten worden verkregen (punt 32).</t>
  </si>
  <si>
    <t>Dit is het percentage aan eigen vermogen, respectievelijk vreemd vermogen, waarmee het onder punt 34 berekende bedrag gefinancierd wordt. De ontvangen steun is in dit verband dus geen EV. Indien niet anders aangetoond wordt, wordt forfaitair uitgegaan van het gewogen gemiddelde zoals door het PBL is opgenomen in de Eindadviesbedragen in het jaar van indiening van de aanvraag. Deze waarden kunnen overschreven worden. Afwijkende % EV/VV dienen te worden onderbouwd met een financieringscontract voor het project of indien uit het eigen vermogen van de onderneming wordt gefinancierd tegen de verhouding EV die binnen die onderneming bestaat blijkend uit de laatste jaarrekening van de onderneming waar het project ondergebracht is. (vennootschappelijk of geconsolideerd indien de onderneming in een geconsolideerd jaarverslag wordt gerapporteerd.)</t>
  </si>
  <si>
    <t xml:space="preserve">Hier vult u het bedrag in dat is gefinancierd is met een Groen Lening (Financiering) (Regeling groenprojecten 2005, 2010, 2016 of 2022) </t>
  </si>
  <si>
    <t>Het rentepercentage voor het vreemd vermogen is forfaitair gesteld op basis van de Eindadviesbedragen PBL in het jaar van indiening van de aanvraag. U kunt daarvan afwijken als u met een financieringscontract kunt aantonen dat u een hoger percentage moet betalen</t>
  </si>
  <si>
    <t>link</t>
  </si>
  <si>
    <t>https://competition-policy.ec.europa.eu/state-aid/legislation/reference-discount-rates-and-recovery-interest-rates/reference-and-discount-rates_en</t>
  </si>
  <si>
    <t>De SDE opbrengsten per kalenderjaar worden als volgt berekend: Productie in de SDE-periode (punt 8A) * SDE tarief waartegen de MSK-toets wordt doorgerekend (punt 54b). Dit veld wordt automatisch berekend.</t>
  </si>
  <si>
    <t>Hier worden de energie-opbrengsten naast de SDE berekend. Dit gebeurt door de totale productie MWh in de SDE-periode (punt 8) te vermenigvuldigen met het tarief marktwaarde stroom (punt 57/57A)</t>
  </si>
  <si>
    <t>61/63</t>
  </si>
  <si>
    <t>Hier worden de exploitatiekosten doorgerekend. Dit is vastgesteld op basis van de eindadviesbedragen PBL in het jaar van de aanvraag. Deze kosten worden automatisch berekend.</t>
  </si>
  <si>
    <r>
      <t>Dit is het bruto-investeringsbedrag. Deze wordt overgenomen uit punt 1</t>
    </r>
    <r>
      <rPr>
        <sz val="10"/>
        <rFont val="Arial"/>
        <family val="2"/>
      </rPr>
      <t>4</t>
    </r>
    <r>
      <rPr>
        <sz val="10"/>
        <rFont val="Arial"/>
        <family val="2"/>
        <charset val="1"/>
      </rPr>
      <t xml:space="preserve"> van het invoerblad</t>
    </r>
  </si>
  <si>
    <t>Zie voor de berekening hiervan het blad "Rendement geinv. vermogen". Er wordt een rendement berekend over het bedrag dat geïnvesteerd is over de jaren uitgaande van lineaire afschrijving over 15 jaar. Het geïnvesteerde vermogen is het bedrag na afschrijvingen. Het geïnvesteerde vermogen in het project neemt dus gelijkmatig af over 15 jaar waarbij de verhouding eigen en vreemd vermogen gelijk blijft. De vergoeding voor eigen vermogen en voor vreemd vermogen is conform de Eindadviesbedragen PBL in het jaar van indiening van de aanvraag.</t>
  </si>
  <si>
    <t>Dit is de NCW van de begrote inkomsten voor correctie van een eventuele korting door overstimulering</t>
  </si>
  <si>
    <r>
      <t>Totaal NCW productie (</t>
    </r>
    <r>
      <rPr>
        <sz val="11"/>
        <rFont val="Times New Roman"/>
        <family val="1"/>
      </rPr>
      <t>uitbetaling) vanaf kortingjaar a14</t>
    </r>
  </si>
  <si>
    <t>VAMIL voordeel (uitgaande van forfaitaire afschrijving over 15 jaar)</t>
  </si>
  <si>
    <t>Normale lineaire afschrijving (15 jaar, bij gebroken eerste jaar 16 kalenderjaren)</t>
  </si>
  <si>
    <t>correctiefactor discontering</t>
  </si>
  <si>
    <t>G+B2</t>
  </si>
  <si>
    <t>Bovengrens totale steun</t>
  </si>
  <si>
    <t>Toegestane SDE++</t>
  </si>
  <si>
    <t xml:space="preserve">Vul hier het eerstvolgende kalenderjaar in. De berekende MSK-correctie is in beginsel met ingang van het eerst volgend kalenderjaar. </t>
  </si>
  <si>
    <t>Vul  opmerkingen / afwijkingen in als er is afgeweken van de gegevens van de aanvrager of als er is afgeweken  van bepaalde richtlijnen of als er bijzonderheden zijn.</t>
  </si>
  <si>
    <t>Hier kan je ook motiveren waarom er gekozen is voor bepaalde invoergegevens</t>
  </si>
  <si>
    <t>Is accountantsverklaring aanwezig?</t>
  </si>
  <si>
    <t>NVT</t>
  </si>
  <si>
    <t>Investeringsgegevens</t>
  </si>
  <si>
    <t>Zijn de opgegeven investeringskosten reeël?</t>
  </si>
  <si>
    <t>ECN Norm</t>
  </si>
  <si>
    <t>Gerealiseerd vermogen</t>
  </si>
  <si>
    <t>Investering ECN Norm</t>
  </si>
  <si>
    <t>Opgegeven investering</t>
  </si>
  <si>
    <t>Conclusie:</t>
  </si>
  <si>
    <t>Subsidie instrumenten</t>
  </si>
  <si>
    <t>Fiscale instrumenten</t>
  </si>
  <si>
    <t>Beschikkingsnummer invullen en controleren of de gegevens overeen komen met BAS</t>
  </si>
  <si>
    <t>Is onderbouwing eigen vermogen bijgevoegd?</t>
  </si>
  <si>
    <t>verdisconteringsvoet opzoeken via de link en invullen</t>
  </si>
  <si>
    <t>Exploitatie</t>
  </si>
  <si>
    <t>16 t/m 21</t>
  </si>
  <si>
    <t>Uitgegaan wordt van benutting van de EIA in het eerste jaar na voltooiing van de investering, bij het relevante aftekpercentage (punt 23) het relevante belastingpercentage (punt 22) en de disconteringsvoet (punt 43). Het onder punt 25 berekende aftrekbedrag in jaar 1 kan door het invullen van getallen over de verschillende jaren worden overschreven. Echter afwijkende claim dient dan in het eerste jaar (forfaitair) na afloop met een accountantsverklaring te worden aangetoond. Aanbevolen wordt om dit alleen te doen als het echt noodzakelijk is. Afwijkende claim van de EIA dan in het eerste jaar is alleen in zeer bijzondere gevallen mogelijk.</t>
  </si>
  <si>
    <t xml:space="preserve">Hier vult u de toegekende VAMIL meldingsbedragen in. Als de bedragen nog niet zijn toegekend vult u de aangevraagde VAMIL meldingsbedragen in. VAMIL staat voor De Regeling Willekeurige Afschrijving Milieu-investeringen. </t>
  </si>
  <si>
    <t>Uitgegaan wordt van benutting van de VAMIL in het eerste jaar na ingebruikname (voltooiing) van de investering, bij het relevante belastingpercentage (punt 22) en de disconteringsvoet (punt 46). De berekende vervroegde afschrijving onder punt 28 (onder jaar 1) kan door invulling van een andere verdeling van de afschrijvingen over de verschillende jaren worden overschreven. Echter afwijkende vervroegde afschrijving dan in het eerste jaar (forfaitair) dient na afloop met een accountantsverklaring te worden aangetoond. Aanbevolen wordt om dit pas later in het traject te doen als (een deel van) de werkelijke fiscale afschrijvingen bekend zijn.</t>
  </si>
  <si>
    <t xml:space="preserve">Hier vult u de toegekende MIA meldingsbedragen in. Als de bedragen nog niet zijn toegekend vult u de aangevraagde MIA meldingsbedragen in. MIA staat voor De Regeling Milieu-investering Aftrek. </t>
  </si>
  <si>
    <t>Uitgegaan wordt van benutting van de MIA in het eerste jaar na ingebruikname (voltooiing) van de investering, bij het relevante aftrekpercentage (punt 30) het relevante belastingpercentage (punt 22) en de disconteringsvoet (punt 46). Het onder punt 32 berekende voordeel in jaar 1 kan door het invullen van getallen over de verschillende jaren worden overschreven. Echter afwijkende benutting dan in het eerste jaar (forfaitair) dient na afloop met een accountantsverklaring te worden aangetoond. Aanbevolen wordt om dit alleen te doen als het echt noodzakelijk is door het grote verschil.</t>
  </si>
  <si>
    <t>47 t/m 51</t>
  </si>
  <si>
    <t>Het correctiebedrag waartegen de MSK-toets wordt doorgerekend is gelijk aan 49.</t>
  </si>
  <si>
    <t>Het tarief waartegen de MSK-toets wordt doorgerekend is het verschil tussen het basistarief (punt 47) en het correctiebedrag waartegen de MSK-toets wordt doorgerekend (punt 54a). Dit veld wordt automatisch berekend.</t>
  </si>
  <si>
    <t>Hulpberekening voor grafiek tabblad "Overzicht MSK toets"</t>
  </si>
  <si>
    <t>Totale SDE opbrengsten (vóór MSK-correctie) nominaal</t>
  </si>
  <si>
    <t xml:space="preserve">Totale SDE opbrengsten (vóór MSK-correctie) netto contant </t>
  </si>
  <si>
    <t>SDE opbrengsten cumulatief (vóór MSK-correctie) netto contant</t>
  </si>
  <si>
    <t>SDE++ opbrengsten NCW vóór MSK-correctie</t>
  </si>
  <si>
    <t>SDE23</t>
  </si>
  <si>
    <t>Categorieën zon-PV SDE23</t>
  </si>
  <si>
    <t>Zon PV ≥ 1 MWp en &lt; 20 MWp op land</t>
  </si>
  <si>
    <t xml:space="preserve">Zon-PV ≥ 1 MWp en &lt; 20 MWp zonvolgend op land </t>
  </si>
  <si>
    <t xml:space="preserve">Zon-PV ≥ 20 MWp zonvolgend op land </t>
  </si>
  <si>
    <t>Zon PV ≥ 20 MWp op land</t>
  </si>
  <si>
    <t>SDE24</t>
  </si>
  <si>
    <t>SDE25</t>
  </si>
  <si>
    <t>SDE26</t>
  </si>
  <si>
    <t>SDE27</t>
  </si>
  <si>
    <t>SDE21000001</t>
  </si>
  <si>
    <t>Vul hier de correctiebedragen in voor netlevering en niet-levering voor de jaren waarover het correctiebedrag definitief is vastgesteld. De overige velden worden berekend a.d.h.v. het laatste definitief vastgestelde correctiebedrag met een inflatiepercentage van 2% per jaar.</t>
  </si>
  <si>
    <t>https://competition-policy.ec.europa.eu/state-aid/legislation/reference-discount-rates-and-recovery-interest-rates/reference-and-discount-rates_nl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</si>
</sst>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7" formatCode="&quot;€&quot;\ #,##0.00;&quot;€&quot;\ \-#,##0.00"/>
    <numFmt numFmtId="8" formatCode="&quot;€&quot;\ #,##0.00;[Red]&quot;€&quot;\ \-#,##0.00"/>
    <numFmt numFmtId="44" formatCode="_ &quot;€&quot;\ * #,##0.00_ ;_ &quot;€&quot;\ * \-#,##0.00_ ;_ &quot;€&quot;\ * &quot;-&quot;??_ ;_ @_ "/>
    <numFmt numFmtId="164" formatCode="_-&quot;€ &quot;* #,##0.00_-;_-&quot;€ &quot;* #,##0.00\-;_-&quot;€ &quot;* \-??_-;_-@_-"/>
    <numFmt numFmtId="165" formatCode="_-* #,##0.00_-;_-* #,##0.00\-;_-* \-??_-;_-@_-"/>
    <numFmt numFmtId="166" formatCode="_-* #,##0_-;_-* #,##0\-;_-* \-??_-;_-@_-"/>
    <numFmt numFmtId="167" formatCode="d/mm/yy;@"/>
    <numFmt numFmtId="168" formatCode="0.0%"/>
    <numFmt numFmtId="169" formatCode="_-* #,##0.000_-;_-* #,##0.000\-;_-* \-??_-;_-@_-"/>
    <numFmt numFmtId="170" formatCode="0.000"/>
    <numFmt numFmtId="171" formatCode="&quot;€ &quot;#,##0.00_-"/>
    <numFmt numFmtId="172" formatCode="&quot;€ &quot;#,##0_-"/>
    <numFmt numFmtId="173" formatCode="&quot;€ &quot;#,##0.00_-;[Red]&quot;€ &quot;#,##0.00\-"/>
    <numFmt numFmtId="174" formatCode="_-* #,##0.000000_-;_-* #,##0.000000\-;_-* \-??_-;_-@_-"/>
    <numFmt numFmtId="175" formatCode="#,##0_ ;\-#,##0\ "/>
    <numFmt numFmtId="176" formatCode="&quot;€ &quot;#,##0.00"/>
    <numFmt numFmtId="177" formatCode="_-* #,##0.0_-;_-* #,##0.0\-;_-* \-??_-;_-@_-"/>
    <numFmt numFmtId="178" formatCode="0.0000"/>
    <numFmt numFmtId="179" formatCode="_-* #,##0.00000000_-;_-* #,##0.00000000\-;_-* \-??_-;_-@_-"/>
    <numFmt numFmtId="180" formatCode="_-* #,##0.00000_-;_-* #,##0.00000\-;_-* \-??_-;_-@_-"/>
    <numFmt numFmtId="181" formatCode="&quot;€ &quot;#,##0.00000_-;[Red]&quot;€ &quot;#,##0.00000\-"/>
    <numFmt numFmtId="182" formatCode="&quot;€ &quot;#,##0.000000_-;[Red]&quot;€ &quot;#,##0.000000\-"/>
    <numFmt numFmtId="183" formatCode="_-* #,##0.000000000_-;_-* #,##0.000000000\-;_-* \-??_-;_-@_-"/>
    <numFmt numFmtId="184" formatCode="_-* #,##0.0000000_-;_-* #,##0.0000000\-;_-* \-??_-;_-@_-"/>
    <numFmt numFmtId="185" formatCode="_ * #,##0.000_ ;_ * \-#,##0.000_ ;_ * &quot;-&quot;???_ ;_ @_ "/>
    <numFmt numFmtId="186" formatCode="_-* #,##0.00_-;_-* #,##0.00\-;_-* &quot;-&quot;??_-;_-@_-"/>
    <numFmt numFmtId="187" formatCode="_-* #,##0_-;_-* #,##0\-;_-* &quot;-&quot;??_-;_-@_-"/>
    <numFmt numFmtId="188" formatCode="_-* #,##0.0000_-;_-* #,##0.0000\-;_-* &quot;-&quot;??_-;_-@_-"/>
    <numFmt numFmtId="189" formatCode="0_ ;\-0\ "/>
    <numFmt numFmtId="190" formatCode="#,##0.0_ ;\-#,##0.0\ "/>
    <numFmt numFmtId="191" formatCode="&quot;€&quot;\ #,##0.00"/>
    <numFmt numFmtId="192" formatCode="0.00000"/>
    <numFmt numFmtId="193" formatCode="&quot;€&quot;\ #,##0.00000"/>
    <numFmt numFmtId="194" formatCode="#,##0.00000_ ;\-#,##0.00000\ "/>
    <numFmt numFmtId="195" formatCode="&quot;€&quot;\ #,##0"/>
    <numFmt numFmtId="196" formatCode="0.0"/>
    <numFmt numFmtId="197" formatCode="#,##0.000"/>
    <numFmt numFmtId="198" formatCode="#,##0.000_ ;\-#,##0.000\ "/>
    <numFmt numFmtId="199" formatCode="[$-413]d\ mmmm\ yyyy;@"/>
    <numFmt numFmtId="200" formatCode="#,##0.0"/>
    <numFmt numFmtId="201" formatCode="#,##0.0000"/>
    <numFmt numFmtId="202" formatCode="#,##0.0000_ ;\-#,##0.0000\ "/>
    <numFmt numFmtId="203" formatCode="_ [$€-413]\ * #,##0.00_ ;_ [$€-413]\ * \-#,##0.00_ ;_ [$€-413]\ * &quot;-&quot;??_ ;_ @_ "/>
  </numFmts>
  <fonts count="87" x14ac:knownFonts="1">
    <font>
      <sz val="10"/>
      <name val="Times New Roman"/>
      <charset val="1"/>
    </font>
    <font>
      <sz val="10"/>
      <name val="Times New Roman"/>
      <family val="1"/>
      <charset val="1"/>
    </font>
    <font>
      <b/>
      <u/>
      <sz val="16"/>
      <name val="Times New Roman"/>
      <family val="1"/>
      <charset val="1"/>
    </font>
    <font>
      <b/>
      <sz val="20"/>
      <name val="Times New Roman"/>
      <family val="1"/>
      <charset val="1"/>
    </font>
    <font>
      <b/>
      <sz val="11"/>
      <name val="Times New Roman"/>
      <family val="1"/>
      <charset val="1"/>
    </font>
    <font>
      <b/>
      <sz val="11"/>
      <color rgb="FFFF0000"/>
      <name val="Times New Roman"/>
      <family val="1"/>
      <charset val="1"/>
    </font>
    <font>
      <sz val="10"/>
      <color rgb="FF3366FF"/>
      <name val="Times New Roman"/>
      <family val="1"/>
      <charset val="1"/>
    </font>
    <font>
      <b/>
      <sz val="10"/>
      <name val="Times New Roman"/>
      <family val="1"/>
      <charset val="1"/>
    </font>
    <font>
      <b/>
      <u/>
      <sz val="12"/>
      <color rgb="FFFF0000"/>
      <name val="Times New Roman"/>
      <family val="1"/>
      <charset val="1"/>
    </font>
    <font>
      <u/>
      <sz val="6"/>
      <color rgb="FF0000FF"/>
      <name val="Times New Roman"/>
      <family val="1"/>
      <charset val="1"/>
    </font>
    <font>
      <sz val="11"/>
      <color rgb="FFFF0000"/>
      <name val="Times New Roman"/>
      <family val="1"/>
      <charset val="1"/>
    </font>
    <font>
      <sz val="11"/>
      <name val="Times New Roman"/>
      <family val="1"/>
      <charset val="1"/>
    </font>
    <font>
      <u/>
      <sz val="11"/>
      <color rgb="FF0000FF"/>
      <name val="Times New Roman"/>
      <family val="1"/>
      <charset val="1"/>
    </font>
    <font>
      <sz val="10"/>
      <color rgb="FFFF0000"/>
      <name val="Times New Roman"/>
      <family val="1"/>
      <charset val="1"/>
    </font>
    <font>
      <b/>
      <sz val="10"/>
      <name val="Arial"/>
      <family val="2"/>
      <charset val="1"/>
    </font>
    <font>
      <b/>
      <sz val="12"/>
      <name val="Times New Roman"/>
      <family val="1"/>
      <charset val="1"/>
    </font>
    <font>
      <sz val="10"/>
      <color rgb="FFFF0000"/>
      <name val="Arial"/>
      <family val="2"/>
      <charset val="1"/>
    </font>
    <font>
      <b/>
      <sz val="10"/>
      <color rgb="FFFF0000"/>
      <name val="Times New Roman"/>
      <family val="1"/>
      <charset val="1"/>
    </font>
    <font>
      <b/>
      <sz val="10"/>
      <color rgb="FFFF0000"/>
      <name val="Arial"/>
      <family val="2"/>
      <charset val="1"/>
    </font>
    <font>
      <sz val="11"/>
      <color rgb="FF339966"/>
      <name val="Times New Roman"/>
      <family val="1"/>
      <charset val="1"/>
    </font>
    <font>
      <b/>
      <sz val="12"/>
      <name val="Arial"/>
      <family val="2"/>
      <charset val="1"/>
    </font>
    <font>
      <b/>
      <sz val="12"/>
      <color rgb="FFFF0000"/>
      <name val="Arial"/>
      <family val="2"/>
      <charset val="1"/>
    </font>
    <font>
      <sz val="14"/>
      <name val="Times New Roman"/>
      <family val="1"/>
      <charset val="1"/>
    </font>
    <font>
      <u/>
      <sz val="10"/>
      <color rgb="FF0000FF"/>
      <name val="Times New Roman"/>
      <family val="1"/>
      <charset val="1"/>
    </font>
    <font>
      <sz val="10"/>
      <color rgb="FF0000FF"/>
      <name val="Times New Roman"/>
      <family val="1"/>
      <charset val="1"/>
    </font>
    <font>
      <b/>
      <sz val="12"/>
      <color rgb="FFFF0000"/>
      <name val="Times New Roman"/>
      <family val="1"/>
      <charset val="1"/>
    </font>
    <font>
      <b/>
      <sz val="9"/>
      <name val="Times New Roman"/>
      <family val="1"/>
      <charset val="1"/>
    </font>
    <font>
      <sz val="12"/>
      <name val="Times New Roman"/>
      <family val="1"/>
      <charset val="1"/>
    </font>
    <font>
      <sz val="10"/>
      <color rgb="FFFFFFFF"/>
      <name val="Times New Roman"/>
      <family val="1"/>
      <charset val="1"/>
    </font>
    <font>
      <sz val="12"/>
      <color rgb="FFFF0000"/>
      <name val="Times New Roman"/>
      <family val="1"/>
      <charset val="1"/>
    </font>
    <font>
      <b/>
      <u/>
      <sz val="10"/>
      <color rgb="FFFF0000"/>
      <name val="Times New Roman"/>
      <family val="1"/>
      <charset val="1"/>
    </font>
    <font>
      <sz val="10"/>
      <name val="Arial"/>
      <family val="2"/>
      <charset val="1"/>
    </font>
    <font>
      <b/>
      <u/>
      <sz val="14"/>
      <name val="Times New Roman"/>
      <family val="1"/>
      <charset val="1"/>
    </font>
    <font>
      <u/>
      <sz val="10"/>
      <color rgb="FF0000FF"/>
      <name val="Arial"/>
      <family val="2"/>
      <charset val="1"/>
    </font>
    <font>
      <sz val="10"/>
      <color rgb="FF3366FF"/>
      <name val="Arial"/>
      <family val="2"/>
      <charset val="1"/>
    </font>
    <font>
      <u/>
      <sz val="6"/>
      <color rgb="FF0000FF"/>
      <name val="Arial"/>
      <family val="2"/>
      <charset val="1"/>
    </font>
    <font>
      <b/>
      <sz val="14"/>
      <name val="Times New Roman"/>
      <family val="1"/>
      <charset val="1"/>
    </font>
    <font>
      <b/>
      <u/>
      <sz val="9"/>
      <name val="Times New Roman"/>
      <family val="1"/>
      <charset val="1"/>
    </font>
    <font>
      <sz val="9"/>
      <name val="Times New Roman"/>
      <family val="1"/>
      <charset val="1"/>
    </font>
    <font>
      <sz val="9"/>
      <name val="Arial"/>
      <family val="2"/>
      <charset val="1"/>
    </font>
    <font>
      <b/>
      <sz val="9"/>
      <name val="Arial"/>
      <family val="2"/>
      <charset val="1"/>
    </font>
    <font>
      <u/>
      <sz val="10"/>
      <color rgb="FF3366FF"/>
      <name val="Times New Roman"/>
      <family val="1"/>
      <charset val="1"/>
    </font>
    <font>
      <sz val="10"/>
      <name val="Times New Roman"/>
      <family val="1"/>
    </font>
    <font>
      <b/>
      <sz val="11"/>
      <name val="Times New Roman"/>
      <family val="1"/>
    </font>
    <font>
      <b/>
      <sz val="10"/>
      <name val="Times New Roman"/>
      <family val="1"/>
    </font>
    <font>
      <sz val="10"/>
      <name val="Arial"/>
      <family val="2"/>
    </font>
    <font>
      <b/>
      <sz val="10"/>
      <color rgb="FFFF0000"/>
      <name val="Times New Roman"/>
      <family val="1"/>
    </font>
    <font>
      <sz val="11"/>
      <color theme="1"/>
      <name val="Times New Roman"/>
      <family val="1"/>
    </font>
    <font>
      <sz val="11"/>
      <color rgb="FFFF0000"/>
      <name val="Times New Roman"/>
      <family val="1"/>
    </font>
    <font>
      <sz val="11"/>
      <name val="Times New Roman"/>
      <family val="1"/>
    </font>
    <font>
      <b/>
      <sz val="11"/>
      <color theme="1"/>
      <name val="Times New Roman"/>
      <family val="1"/>
    </font>
    <font>
      <sz val="8"/>
      <name val="Times New Roman"/>
      <family val="1"/>
    </font>
    <font>
      <b/>
      <sz val="14"/>
      <name val="Times New Roman"/>
      <family val="1"/>
    </font>
    <font>
      <sz val="10"/>
      <color rgb="FFFF0000"/>
      <name val="Arial"/>
      <family val="2"/>
    </font>
    <font>
      <sz val="10"/>
      <name val="Calibri"/>
      <family val="2"/>
    </font>
    <font>
      <sz val="10"/>
      <color theme="9" tint="-0.249977111117893"/>
      <name val="Times New Roman"/>
      <family val="1"/>
    </font>
    <font>
      <sz val="8"/>
      <name val="Times New Roman"/>
      <family val="1"/>
    </font>
    <font>
      <b/>
      <sz val="10"/>
      <color theme="9" tint="-0.249977111117893"/>
      <name val="Times New Roman"/>
      <family val="1"/>
    </font>
    <font>
      <b/>
      <sz val="9"/>
      <name val="Times New Roman"/>
      <family val="1"/>
    </font>
    <font>
      <sz val="9"/>
      <name val="Times New Roman"/>
      <family val="1"/>
    </font>
    <font>
      <sz val="10"/>
      <color rgb="FFFF0000"/>
      <name val="Times New Roman"/>
      <family val="1"/>
    </font>
    <font>
      <sz val="18"/>
      <color rgb="FFFF0000"/>
      <name val="Times New Roman"/>
      <family val="1"/>
      <charset val="1"/>
    </font>
    <font>
      <sz val="9"/>
      <color indexed="81"/>
      <name val="Tahoma"/>
      <family val="2"/>
    </font>
    <font>
      <b/>
      <sz val="9"/>
      <color indexed="81"/>
      <name val="Tahoma"/>
      <family val="2"/>
    </font>
    <font>
      <i/>
      <sz val="10"/>
      <color rgb="FF7030A0"/>
      <name val="Arial"/>
      <family val="2"/>
    </font>
    <font>
      <i/>
      <sz val="10"/>
      <color rgb="FF9966FF"/>
      <name val="Arial"/>
      <family val="2"/>
    </font>
    <font>
      <sz val="10"/>
      <color rgb="FF9966FF"/>
      <name val="Arial"/>
      <family val="2"/>
    </font>
    <font>
      <sz val="9"/>
      <color indexed="81"/>
      <name val="Times New Roman"/>
      <family val="1"/>
    </font>
    <font>
      <b/>
      <sz val="9"/>
      <color indexed="81"/>
      <name val="Times New Roman"/>
      <family val="1"/>
    </font>
    <font>
      <b/>
      <sz val="12"/>
      <name val="Arial"/>
      <family val="2"/>
    </font>
    <font>
      <sz val="10"/>
      <color rgb="FF00B050"/>
      <name val="Arial"/>
      <family val="2"/>
      <charset val="1"/>
    </font>
    <font>
      <b/>
      <u/>
      <sz val="12"/>
      <color theme="4"/>
      <name val="Times New Roman"/>
      <family val="1"/>
      <charset val="1"/>
    </font>
    <font>
      <u/>
      <sz val="9"/>
      <color rgb="FF0000FF"/>
      <name val="Times New Roman"/>
      <family val="1"/>
      <charset val="1"/>
    </font>
    <font>
      <sz val="9"/>
      <name val="Arial"/>
      <family val="2"/>
    </font>
    <font>
      <b/>
      <u/>
      <sz val="14"/>
      <name val="Times New Roman"/>
      <family val="1"/>
    </font>
    <font>
      <sz val="10"/>
      <name val="Times New Roman"/>
      <family val="1"/>
    </font>
    <font>
      <b/>
      <sz val="12"/>
      <name val="Times New Roman"/>
      <family val="1"/>
    </font>
    <font>
      <sz val="10"/>
      <color theme="1"/>
      <name val="Times New Roman"/>
      <family val="1"/>
    </font>
    <font>
      <sz val="10"/>
      <color theme="1"/>
      <name val="Times New Roman"/>
      <family val="1"/>
      <charset val="1"/>
    </font>
    <font>
      <sz val="10"/>
      <color theme="1"/>
      <name val="Arial"/>
      <family val="2"/>
    </font>
    <font>
      <u/>
      <sz val="9"/>
      <color rgb="FF007BC7"/>
      <name val="Times New Roman"/>
      <family val="1"/>
    </font>
    <font>
      <b/>
      <u/>
      <sz val="12"/>
      <color rgb="FFC00000"/>
      <name val="Times New Roman"/>
      <family val="1"/>
    </font>
    <font>
      <b/>
      <sz val="11"/>
      <color rgb="FFC00000"/>
      <name val="Times New Roman"/>
      <family val="1"/>
    </font>
    <font>
      <b/>
      <sz val="11"/>
      <color rgb="FFC00000"/>
      <name val="Times New Roman"/>
      <family val="1"/>
      <charset val="1"/>
    </font>
    <font>
      <sz val="11"/>
      <color rgb="FFC00000"/>
      <name val="Times New Roman"/>
      <family val="1"/>
      <charset val="1"/>
    </font>
    <font>
      <sz val="10"/>
      <color rgb="FFC00000"/>
      <name val="Times New Roman"/>
      <family val="1"/>
    </font>
    <font>
      <b/>
      <sz val="10"/>
      <color rgb="FFC00000"/>
      <name val="Times New Roman"/>
      <family val="1"/>
      <charset val="1"/>
    </font>
  </fonts>
  <fills count="22">
    <fill>
      <patternFill patternType="none"/>
    </fill>
    <fill>
      <patternFill patternType="gray125"/>
    </fill>
    <fill>
      <patternFill patternType="solid">
        <fgColor rgb="FFFFFF00"/>
        <bgColor rgb="FFFFFF00"/>
      </patternFill>
    </fill>
    <fill>
      <patternFill patternType="solid">
        <fgColor rgb="FFFFFFFF"/>
        <bgColor rgb="FFFFFFCC"/>
      </patternFill>
    </fill>
    <fill>
      <patternFill patternType="solid">
        <fgColor rgb="FFC6D9F1"/>
        <bgColor rgb="FFC0C0C0"/>
      </patternFill>
    </fill>
    <fill>
      <patternFill patternType="solid">
        <fgColor rgb="FFE6B9B8"/>
        <bgColor rgb="FFFAC090"/>
      </patternFill>
    </fill>
    <fill>
      <patternFill patternType="solid">
        <fgColor rgb="FFC0C0C0"/>
        <bgColor rgb="FFBFBFBF"/>
      </patternFill>
    </fill>
    <fill>
      <patternFill patternType="solid">
        <fgColor rgb="FF969696"/>
        <bgColor rgb="FF878787"/>
      </patternFill>
    </fill>
    <fill>
      <patternFill patternType="solid">
        <fgColor rgb="FFFFFF99"/>
        <bgColor rgb="FFFFFFCC"/>
      </patternFill>
    </fill>
    <fill>
      <patternFill patternType="solid">
        <fgColor rgb="FFFFFF00"/>
        <bgColor indexed="64"/>
      </patternFill>
    </fill>
    <fill>
      <patternFill patternType="solid">
        <fgColor theme="7" tint="0.39997558519241921"/>
        <bgColor indexed="64"/>
      </patternFill>
    </fill>
    <fill>
      <patternFill patternType="solid">
        <fgColor rgb="FF9999FF"/>
        <bgColor indexed="64"/>
      </patternFill>
    </fill>
    <fill>
      <patternFill patternType="solid">
        <fgColor theme="8" tint="0.59999389629810485"/>
        <bgColor indexed="64"/>
      </patternFill>
    </fill>
    <fill>
      <patternFill patternType="solid">
        <fgColor rgb="FFFFFF00"/>
        <bgColor rgb="FFFFFFCC"/>
      </patternFill>
    </fill>
    <fill>
      <patternFill patternType="solid">
        <fgColor rgb="FF92D050"/>
        <bgColor indexed="64"/>
      </patternFill>
    </fill>
    <fill>
      <patternFill patternType="solid">
        <fgColor rgb="FFE6B9B8"/>
        <bgColor rgb="FFFFFF00"/>
      </patternFill>
    </fill>
    <fill>
      <patternFill patternType="solid">
        <fgColor rgb="FFC6D9F1"/>
        <bgColor indexed="64"/>
      </patternFill>
    </fill>
    <fill>
      <patternFill patternType="solid">
        <fgColor rgb="FFE6B9B8"/>
        <bgColor indexed="64"/>
      </patternFill>
    </fill>
    <fill>
      <patternFill patternType="solid">
        <fgColor rgb="FFC6D9F1"/>
        <bgColor rgb="FFFFFFCC"/>
      </patternFill>
    </fill>
    <fill>
      <patternFill patternType="solid">
        <fgColor rgb="FFE6B9B8"/>
        <bgColor rgb="FFFFFFCC"/>
      </patternFill>
    </fill>
    <fill>
      <patternFill patternType="solid">
        <fgColor theme="9"/>
        <bgColor indexed="64"/>
      </patternFill>
    </fill>
    <fill>
      <patternFill patternType="solid">
        <fgColor theme="0"/>
        <bgColor indexed="64"/>
      </patternFill>
    </fill>
  </fills>
  <borders count="6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thin">
        <color auto="1"/>
      </right>
      <top/>
      <bottom/>
      <diagonal/>
    </border>
    <border>
      <left style="medium">
        <color auto="1"/>
      </left>
      <right style="medium">
        <color auto="1"/>
      </right>
      <top/>
      <bottom/>
      <diagonal/>
    </border>
    <border>
      <left style="medium">
        <color auto="1"/>
      </left>
      <right/>
      <top style="medium">
        <color auto="1"/>
      </top>
      <bottom/>
      <diagonal/>
    </border>
    <border>
      <left style="medium">
        <color auto="1"/>
      </left>
      <right/>
      <top style="medium">
        <color auto="1"/>
      </top>
      <bottom style="medium">
        <color auto="1"/>
      </bottom>
      <diagonal/>
    </border>
    <border>
      <left style="medium">
        <color auto="1"/>
      </left>
      <right/>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rgb="FFFFFFFF"/>
      </left>
      <right style="thin">
        <color rgb="FFFFFFFF"/>
      </right>
      <top style="thin">
        <color rgb="FFFFFFFF"/>
      </top>
      <bottom style="thin">
        <color rgb="FFFFFFFF"/>
      </bottom>
      <diagonal/>
    </border>
    <border>
      <left style="thin">
        <color auto="1"/>
      </left>
      <right style="thin">
        <color auto="1"/>
      </right>
      <top/>
      <bottom style="thin">
        <color auto="1"/>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medium">
        <color auto="1"/>
      </left>
      <right style="thin">
        <color rgb="FFFFFFFF"/>
      </right>
      <top style="medium">
        <color auto="1"/>
      </top>
      <bottom style="thin">
        <color rgb="FFFFFFFF"/>
      </bottom>
      <diagonal/>
    </border>
    <border>
      <left style="thin">
        <color rgb="FFFFFFFF"/>
      </left>
      <right style="thin">
        <color rgb="FFFFFFFF"/>
      </right>
      <top style="medium">
        <color auto="1"/>
      </top>
      <bottom style="thin">
        <color rgb="FFFFFFFF"/>
      </bottom>
      <diagonal/>
    </border>
    <border>
      <left style="thin">
        <color rgb="FFFFFFFF"/>
      </left>
      <right style="medium">
        <color auto="1"/>
      </right>
      <top style="medium">
        <color auto="1"/>
      </top>
      <bottom style="thin">
        <color rgb="FFFFFFFF"/>
      </bottom>
      <diagonal/>
    </border>
    <border>
      <left/>
      <right style="thin">
        <color rgb="FFFFFFFF"/>
      </right>
      <top style="thin">
        <color rgb="FFFFFFFF"/>
      </top>
      <bottom style="thin">
        <color rgb="FFFFFFFF"/>
      </bottom>
      <diagonal/>
    </border>
    <border>
      <left style="medium">
        <color auto="1"/>
      </left>
      <right style="thin">
        <color rgb="FFFFFFFF"/>
      </right>
      <top style="thin">
        <color rgb="FFFFFFFF"/>
      </top>
      <bottom style="thin">
        <color rgb="FFFFFFFF"/>
      </bottom>
      <diagonal/>
    </border>
    <border>
      <left style="thin">
        <color rgb="FFFFFFFF"/>
      </left>
      <right style="medium">
        <color auto="1"/>
      </right>
      <top style="thin">
        <color rgb="FFFFFFFF"/>
      </top>
      <bottom style="thin">
        <color rgb="FFFFFFFF"/>
      </bottom>
      <diagonal/>
    </border>
    <border>
      <left style="medium">
        <color auto="1"/>
      </left>
      <right style="thin">
        <color rgb="FFFFFFFF"/>
      </right>
      <top style="thin">
        <color rgb="FFFFFFFF"/>
      </top>
      <bottom style="medium">
        <color auto="1"/>
      </bottom>
      <diagonal/>
    </border>
    <border>
      <left style="thin">
        <color rgb="FFFFFFFF"/>
      </left>
      <right style="thin">
        <color rgb="FFFFFFFF"/>
      </right>
      <top style="thin">
        <color rgb="FFFFFFFF"/>
      </top>
      <bottom style="medium">
        <color auto="1"/>
      </bottom>
      <diagonal/>
    </border>
    <border>
      <left style="thin">
        <color rgb="FFFFFFFF"/>
      </left>
      <right style="medium">
        <color auto="1"/>
      </right>
      <top style="thin">
        <color rgb="FFFFFFFF"/>
      </top>
      <bottom style="medium">
        <color auto="1"/>
      </bottom>
      <diagonal/>
    </border>
    <border>
      <left style="thin">
        <color rgb="FFFFFFFF"/>
      </left>
      <right style="thin">
        <color rgb="FFFFFFFF"/>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FFFFFF"/>
      </left>
      <right style="thin">
        <color rgb="FFFFFFFF"/>
      </right>
      <top/>
      <bottom style="thin">
        <color rgb="FFFFFFFF"/>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top style="medium">
        <color auto="1"/>
      </top>
      <bottom style="double">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indexed="64"/>
      </left>
      <right style="thin">
        <color indexed="64"/>
      </right>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s>
  <cellStyleXfs count="7">
    <xf numFmtId="0" fontId="0" fillId="0" borderId="0"/>
    <xf numFmtId="165" fontId="42" fillId="0" borderId="0" applyBorder="0" applyProtection="0"/>
    <xf numFmtId="9" fontId="42" fillId="0" borderId="0" applyBorder="0" applyProtection="0"/>
    <xf numFmtId="0" fontId="9" fillId="0" borderId="0" applyBorder="0" applyProtection="0"/>
    <xf numFmtId="0" fontId="1" fillId="0" borderId="0"/>
    <xf numFmtId="164" fontId="42" fillId="0" borderId="0" applyBorder="0" applyProtection="0"/>
    <xf numFmtId="44" fontId="75" fillId="0" borderId="0" applyFont="0" applyFill="0" applyBorder="0" applyAlignment="0" applyProtection="0"/>
  </cellStyleXfs>
  <cellXfs count="844">
    <xf numFmtId="0" fontId="0" fillId="0" borderId="0" xfId="0"/>
    <xf numFmtId="0" fontId="1" fillId="0" borderId="0" xfId="0" applyFont="1" applyAlignment="1"/>
    <xf numFmtId="0" fontId="0" fillId="0" borderId="0" xfId="0" applyProtection="1">
      <protection locked="0"/>
    </xf>
    <xf numFmtId="0" fontId="0" fillId="0" borderId="0" xfId="0"/>
    <xf numFmtId="0" fontId="2" fillId="0" borderId="0" xfId="0" applyFont="1"/>
    <xf numFmtId="0" fontId="1" fillId="0" borderId="1" xfId="0" applyFont="1" applyBorder="1"/>
    <xf numFmtId="14" fontId="0" fillId="0" borderId="0" xfId="0" applyNumberFormat="1"/>
    <xf numFmtId="165" fontId="0" fillId="0" borderId="0" xfId="1" applyFont="1" applyBorder="1" applyAlignment="1" applyProtection="1"/>
    <xf numFmtId="165" fontId="0" fillId="0" borderId="0" xfId="0" applyNumberFormat="1" applyBorder="1"/>
    <xf numFmtId="0" fontId="0" fillId="0" borderId="0" xfId="0" applyBorder="1"/>
    <xf numFmtId="0" fontId="4" fillId="0" borderId="2" xfId="0" applyFont="1" applyBorder="1"/>
    <xf numFmtId="0" fontId="4" fillId="0" borderId="3" xfId="0" applyFont="1" applyBorder="1"/>
    <xf numFmtId="0" fontId="5" fillId="0" borderId="4" xfId="0" applyFont="1" applyBorder="1"/>
    <xf numFmtId="0" fontId="5" fillId="0" borderId="1" xfId="0" applyFont="1" applyBorder="1"/>
    <xf numFmtId="0" fontId="4" fillId="0" borderId="0" xfId="0" applyFont="1" applyBorder="1" applyProtection="1">
      <protection locked="0"/>
    </xf>
    <xf numFmtId="0" fontId="4" fillId="0" borderId="1" xfId="0" applyFont="1" applyBorder="1"/>
    <xf numFmtId="0" fontId="4" fillId="0" borderId="0" xfId="0" applyFont="1" applyBorder="1"/>
    <xf numFmtId="0" fontId="6" fillId="0" borderId="0" xfId="0" applyFont="1" applyBorder="1"/>
    <xf numFmtId="165" fontId="7" fillId="0" borderId="0" xfId="1" applyFont="1" applyBorder="1" applyAlignment="1" applyProtection="1"/>
    <xf numFmtId="166" fontId="4" fillId="0" borderId="0" xfId="1" applyNumberFormat="1" applyFont="1" applyBorder="1" applyAlignment="1" applyProtection="1">
      <protection locked="0"/>
    </xf>
    <xf numFmtId="0" fontId="4" fillId="0" borderId="0" xfId="0" applyFont="1"/>
    <xf numFmtId="0" fontId="5" fillId="0" borderId="0" xfId="0" applyFont="1"/>
    <xf numFmtId="0" fontId="5" fillId="0" borderId="0" xfId="0" applyFont="1" applyProtection="1">
      <protection locked="0"/>
    </xf>
    <xf numFmtId="9" fontId="10" fillId="0" borderId="0" xfId="2" applyFont="1" applyBorder="1" applyAlignment="1" applyProtection="1"/>
    <xf numFmtId="0" fontId="4" fillId="0" borderId="0" xfId="0" applyFont="1"/>
    <xf numFmtId="0" fontId="7" fillId="0" borderId="0" xfId="0" applyFont="1" applyBorder="1"/>
    <xf numFmtId="0" fontId="0" fillId="0" borderId="0" xfId="0" applyBorder="1"/>
    <xf numFmtId="0" fontId="7" fillId="0" borderId="0" xfId="0" applyFont="1" applyAlignment="1"/>
    <xf numFmtId="9" fontId="4" fillId="0" borderId="0" xfId="2" applyFont="1" applyBorder="1" applyAlignment="1" applyProtection="1"/>
    <xf numFmtId="0" fontId="7" fillId="0" borderId="0" xfId="0" applyFont="1"/>
    <xf numFmtId="0" fontId="7" fillId="0" borderId="0" xfId="0" applyFont="1"/>
    <xf numFmtId="0" fontId="11" fillId="0" borderId="2" xfId="0" applyFont="1" applyBorder="1"/>
    <xf numFmtId="0" fontId="11" fillId="0" borderId="4" xfId="0" applyFont="1" applyBorder="1"/>
    <xf numFmtId="0" fontId="4" fillId="2" borderId="5" xfId="0" applyFont="1" applyFill="1" applyBorder="1" applyProtection="1">
      <protection locked="0"/>
    </xf>
    <xf numFmtId="0" fontId="12" fillId="0" borderId="0" xfId="3" applyFont="1" applyBorder="1" applyAlignment="1" applyProtection="1">
      <alignment horizontal="left"/>
      <protection locked="0"/>
    </xf>
    <xf numFmtId="166" fontId="11" fillId="0" borderId="0" xfId="1" applyNumberFormat="1" applyFont="1" applyBorder="1" applyAlignment="1" applyProtection="1"/>
    <xf numFmtId="0" fontId="4" fillId="0" borderId="0" xfId="0" applyFont="1" applyBorder="1" applyProtection="1">
      <protection locked="0"/>
    </xf>
    <xf numFmtId="167" fontId="11" fillId="0" borderId="0" xfId="1" applyNumberFormat="1" applyFont="1" applyBorder="1" applyAlignment="1" applyProtection="1"/>
    <xf numFmtId="0" fontId="11" fillId="0" borderId="6" xfId="0" applyFont="1" applyBorder="1"/>
    <xf numFmtId="0" fontId="4" fillId="0" borderId="7" xfId="0" applyFont="1" applyBorder="1" applyAlignment="1">
      <alignment horizontal="right"/>
    </xf>
    <xf numFmtId="0" fontId="1" fillId="0" borderId="8" xfId="0" applyFont="1" applyBorder="1" applyProtection="1">
      <protection locked="0"/>
    </xf>
    <xf numFmtId="165" fontId="10" fillId="0" borderId="0" xfId="1" applyFont="1" applyBorder="1" applyAlignment="1" applyProtection="1"/>
    <xf numFmtId="0" fontId="1" fillId="0" borderId="0" xfId="0" applyFont="1" applyAlignment="1">
      <alignment horizontal="right"/>
    </xf>
    <xf numFmtId="166" fontId="7" fillId="0" borderId="5" xfId="1" applyNumberFormat="1" applyFont="1" applyBorder="1" applyAlignment="1" applyProtection="1"/>
    <xf numFmtId="0" fontId="4" fillId="0" borderId="5" xfId="0" applyFont="1" applyBorder="1" applyProtection="1">
      <protection locked="0" hidden="1"/>
    </xf>
    <xf numFmtId="165" fontId="10" fillId="0" borderId="0" xfId="1" applyFont="1" applyBorder="1" applyAlignment="1" applyProtection="1">
      <protection locked="0"/>
    </xf>
    <xf numFmtId="0" fontId="7" fillId="0" borderId="0" xfId="0" applyFont="1" applyBorder="1"/>
    <xf numFmtId="0" fontId="1" fillId="0" borderId="9" xfId="0" applyFont="1" applyBorder="1" applyProtection="1">
      <protection locked="0"/>
    </xf>
    <xf numFmtId="166" fontId="0" fillId="0" borderId="0" xfId="1" applyNumberFormat="1" applyFont="1" applyBorder="1" applyAlignment="1" applyProtection="1"/>
    <xf numFmtId="0" fontId="1" fillId="0" borderId="5" xfId="0" applyFont="1" applyBorder="1" applyProtection="1">
      <protection locked="0"/>
    </xf>
    <xf numFmtId="9" fontId="11" fillId="0" borderId="0" xfId="2" applyFont="1" applyBorder="1" applyAlignment="1" applyProtection="1"/>
    <xf numFmtId="9" fontId="10" fillId="0" borderId="0" xfId="2" applyFont="1" applyBorder="1" applyAlignment="1" applyProtection="1">
      <protection locked="0"/>
    </xf>
    <xf numFmtId="169" fontId="0" fillId="0" borderId="0" xfId="1" applyNumberFormat="1" applyFont="1" applyBorder="1" applyAlignment="1" applyProtection="1"/>
    <xf numFmtId="0" fontId="11" fillId="0" borderId="4" xfId="0" applyFont="1" applyBorder="1"/>
    <xf numFmtId="0" fontId="4" fillId="0" borderId="0" xfId="0" applyFont="1" applyBorder="1"/>
    <xf numFmtId="166" fontId="0" fillId="0" borderId="0" xfId="1" applyNumberFormat="1" applyFont="1" applyBorder="1" applyAlignment="1" applyProtection="1">
      <protection locked="0"/>
    </xf>
    <xf numFmtId="0" fontId="13" fillId="0" borderId="0" xfId="0" applyFont="1" applyAlignment="1">
      <alignment horizontal="right"/>
    </xf>
    <xf numFmtId="0" fontId="11" fillId="4" borderId="2" xfId="0" applyFont="1" applyFill="1" applyBorder="1"/>
    <xf numFmtId="0" fontId="11" fillId="4" borderId="4" xfId="0" applyFont="1" applyFill="1" applyBorder="1"/>
    <xf numFmtId="2" fontId="11" fillId="0" borderId="0" xfId="2" applyNumberFormat="1" applyFont="1" applyBorder="1" applyAlignment="1" applyProtection="1"/>
    <xf numFmtId="0" fontId="11" fillId="5" borderId="2" xfId="0" applyFont="1" applyFill="1" applyBorder="1"/>
    <xf numFmtId="0" fontId="11" fillId="5" borderId="4" xfId="0" applyFont="1" applyFill="1" applyBorder="1"/>
    <xf numFmtId="0" fontId="1" fillId="0" borderId="0" xfId="0" applyFont="1" applyBorder="1" applyProtection="1">
      <protection locked="0"/>
    </xf>
    <xf numFmtId="0" fontId="11" fillId="0" borderId="0" xfId="0" applyFont="1" applyBorder="1"/>
    <xf numFmtId="165" fontId="11" fillId="0" borderId="0" xfId="1" applyFont="1" applyBorder="1" applyAlignment="1" applyProtection="1"/>
    <xf numFmtId="14" fontId="4" fillId="2" borderId="5" xfId="0" applyNumberFormat="1" applyFont="1" applyFill="1" applyBorder="1"/>
    <xf numFmtId="9" fontId="10" fillId="0" borderId="5" xfId="2" applyFont="1" applyBorder="1" applyAlignment="1" applyProtection="1"/>
    <xf numFmtId="0" fontId="1" fillId="0" borderId="10" xfId="0" applyFont="1" applyBorder="1" applyProtection="1">
      <protection locked="0"/>
    </xf>
    <xf numFmtId="0" fontId="11" fillId="0" borderId="0" xfId="0" applyFont="1" applyBorder="1" applyAlignment="1">
      <alignment horizontal="right"/>
    </xf>
    <xf numFmtId="0" fontId="11" fillId="0" borderId="0" xfId="0" applyFont="1" applyBorder="1"/>
    <xf numFmtId="0" fontId="11" fillId="0" borderId="0" xfId="0" applyFont="1" applyBorder="1" applyAlignment="1" applyProtection="1">
      <alignment horizontal="right"/>
      <protection locked="0"/>
    </xf>
    <xf numFmtId="0" fontId="13" fillId="0" borderId="0" xfId="0" applyFont="1"/>
    <xf numFmtId="0" fontId="1" fillId="0" borderId="0" xfId="0" applyFont="1" applyBorder="1" applyAlignment="1"/>
    <xf numFmtId="166" fontId="0" fillId="0" borderId="0" xfId="0" applyNumberFormat="1" applyBorder="1"/>
    <xf numFmtId="166" fontId="0" fillId="6" borderId="5" xfId="1" applyNumberFormat="1" applyFont="1" applyFill="1" applyBorder="1" applyAlignment="1" applyProtection="1"/>
    <xf numFmtId="171" fontId="0" fillId="2" borderId="5" xfId="1" applyNumberFormat="1" applyFont="1" applyFill="1" applyBorder="1" applyAlignment="1" applyProtection="1"/>
    <xf numFmtId="171" fontId="0" fillId="0" borderId="0" xfId="1" applyNumberFormat="1" applyFont="1" applyBorder="1" applyAlignment="1" applyProtection="1"/>
    <xf numFmtId="0" fontId="14" fillId="0" borderId="0" xfId="0" applyFont="1" applyAlignment="1"/>
    <xf numFmtId="0" fontId="15" fillId="0" borderId="0" xfId="0" applyFont="1"/>
    <xf numFmtId="0" fontId="13" fillId="0" borderId="0" xfId="0" applyFont="1" applyBorder="1"/>
    <xf numFmtId="0" fontId="11" fillId="0" borderId="0" xfId="0" applyFont="1"/>
    <xf numFmtId="0" fontId="11" fillId="0" borderId="0" xfId="0" applyFont="1" applyProtection="1">
      <protection locked="0"/>
    </xf>
    <xf numFmtId="0" fontId="16" fillId="0" borderId="0" xfId="0" applyFont="1" applyBorder="1"/>
    <xf numFmtId="0" fontId="11" fillId="0" borderId="0" xfId="0" applyFont="1" applyBorder="1" applyProtection="1">
      <protection locked="0"/>
    </xf>
    <xf numFmtId="0" fontId="17" fillId="0" borderId="0" xfId="0" applyFont="1" applyBorder="1"/>
    <xf numFmtId="0" fontId="18" fillId="0" borderId="0" xfId="0" applyFont="1" applyBorder="1"/>
    <xf numFmtId="165" fontId="1" fillId="0" borderId="0" xfId="1" applyFont="1" applyBorder="1" applyAlignment="1" applyProtection="1"/>
    <xf numFmtId="173" fontId="4" fillId="0" borderId="0" xfId="0" applyNumberFormat="1" applyFont="1"/>
    <xf numFmtId="166" fontId="17" fillId="0" borderId="0" xfId="1" applyNumberFormat="1" applyFont="1" applyBorder="1" applyAlignment="1" applyProtection="1">
      <protection locked="0"/>
    </xf>
    <xf numFmtId="166" fontId="4" fillId="2" borderId="5" xfId="1" applyNumberFormat="1" applyFont="1" applyFill="1" applyBorder="1" applyAlignment="1" applyProtection="1">
      <protection locked="0"/>
    </xf>
    <xf numFmtId="0" fontId="1" fillId="0" borderId="0" xfId="0" applyFont="1" applyBorder="1"/>
    <xf numFmtId="174" fontId="1" fillId="0" borderId="0" xfId="1" applyNumberFormat="1" applyFont="1" applyBorder="1" applyAlignment="1" applyProtection="1"/>
    <xf numFmtId="165" fontId="11" fillId="0" borderId="0" xfId="1" applyFont="1" applyBorder="1" applyAlignment="1" applyProtection="1">
      <protection locked="0"/>
    </xf>
    <xf numFmtId="0" fontId="4" fillId="0" borderId="0" xfId="0" applyFont="1" applyProtection="1">
      <protection locked="0"/>
    </xf>
    <xf numFmtId="172" fontId="4" fillId="2" borderId="5" xfId="0" applyNumberFormat="1" applyFont="1" applyFill="1" applyBorder="1" applyProtection="1">
      <protection locked="0"/>
    </xf>
    <xf numFmtId="168" fontId="11" fillId="0" borderId="0" xfId="2" applyNumberFormat="1" applyFont="1" applyBorder="1" applyAlignment="1" applyProtection="1">
      <alignment horizontal="left"/>
    </xf>
    <xf numFmtId="10" fontId="11" fillId="0" borderId="0" xfId="2" applyNumberFormat="1" applyFont="1" applyBorder="1" applyAlignment="1" applyProtection="1">
      <alignment horizontal="left"/>
    </xf>
    <xf numFmtId="10" fontId="10" fillId="0" borderId="0" xfId="2" applyNumberFormat="1" applyFont="1" applyBorder="1" applyAlignment="1" applyProtection="1">
      <alignment horizontal="left"/>
    </xf>
    <xf numFmtId="172" fontId="4" fillId="2" borderId="8" xfId="0" applyNumberFormat="1" applyFont="1" applyFill="1" applyBorder="1" applyProtection="1">
      <protection locked="0"/>
    </xf>
    <xf numFmtId="0" fontId="7" fillId="0" borderId="5" xfId="0" applyFont="1" applyBorder="1" applyAlignment="1" applyProtection="1">
      <alignment horizontal="center"/>
      <protection locked="0"/>
    </xf>
    <xf numFmtId="172" fontId="11" fillId="0" borderId="5" xfId="2" applyNumberFormat="1" applyFont="1" applyBorder="1" applyAlignment="1" applyProtection="1"/>
    <xf numFmtId="166" fontId="4" fillId="0" borderId="0" xfId="2" applyNumberFormat="1" applyFont="1" applyBorder="1" applyAlignment="1" applyProtection="1"/>
    <xf numFmtId="0" fontId="14" fillId="0" borderId="0" xfId="0" applyFont="1"/>
    <xf numFmtId="9" fontId="19" fillId="0" borderId="0" xfId="2" applyFont="1" applyBorder="1" applyAlignment="1" applyProtection="1"/>
    <xf numFmtId="9" fontId="19" fillId="0" borderId="0" xfId="2" applyFont="1" applyBorder="1" applyAlignment="1" applyProtection="1">
      <protection locked="0"/>
    </xf>
    <xf numFmtId="0" fontId="4" fillId="0" borderId="0" xfId="0" applyFont="1" applyBorder="1" applyAlignment="1">
      <alignment horizontal="right"/>
    </xf>
    <xf numFmtId="0" fontId="14" fillId="0" borderId="0" xfId="0" applyFont="1"/>
    <xf numFmtId="168" fontId="4" fillId="2" borderId="5" xfId="2" applyNumberFormat="1" applyFont="1" applyFill="1" applyBorder="1" applyAlignment="1" applyProtection="1">
      <protection locked="0"/>
    </xf>
    <xf numFmtId="0" fontId="11" fillId="0" borderId="0" xfId="0" applyFont="1" applyBorder="1" applyAlignment="1">
      <alignment horizontal="right"/>
    </xf>
    <xf numFmtId="0" fontId="17" fillId="0" borderId="0" xfId="0" applyFont="1"/>
    <xf numFmtId="0" fontId="7" fillId="0" borderId="10" xfId="0" applyFont="1" applyBorder="1" applyAlignment="1" applyProtection="1">
      <alignment horizontal="center"/>
      <protection locked="0"/>
    </xf>
    <xf numFmtId="172" fontId="11" fillId="0" borderId="5" xfId="0" applyNumberFormat="1" applyFont="1" applyBorder="1"/>
    <xf numFmtId="172" fontId="11" fillId="0" borderId="5" xfId="1" applyNumberFormat="1" applyFont="1" applyBorder="1" applyAlignment="1" applyProtection="1"/>
    <xf numFmtId="10" fontId="10" fillId="0" borderId="0" xfId="2" applyNumberFormat="1" applyFont="1" applyBorder="1" applyAlignment="1" applyProtection="1"/>
    <xf numFmtId="166" fontId="4" fillId="0" borderId="5" xfId="0" applyNumberFormat="1" applyFont="1" applyBorder="1"/>
    <xf numFmtId="0" fontId="1" fillId="0" borderId="0" xfId="0" applyFont="1"/>
    <xf numFmtId="9" fontId="19" fillId="0" borderId="5" xfId="2" applyFont="1" applyBorder="1" applyAlignment="1" applyProtection="1"/>
    <xf numFmtId="10" fontId="19" fillId="0" borderId="0" xfId="2" applyNumberFormat="1" applyFont="1" applyBorder="1" applyAlignment="1" applyProtection="1"/>
    <xf numFmtId="9" fontId="4" fillId="2" borderId="8" xfId="2" applyFont="1" applyFill="1" applyBorder="1" applyAlignment="1" applyProtection="1">
      <protection locked="0"/>
    </xf>
    <xf numFmtId="172" fontId="11" fillId="0" borderId="9" xfId="2" applyNumberFormat="1" applyFont="1" applyBorder="1" applyAlignment="1" applyProtection="1"/>
    <xf numFmtId="0" fontId="1" fillId="0" borderId="11" xfId="0" applyFont="1" applyBorder="1" applyAlignment="1"/>
    <xf numFmtId="172" fontId="11" fillId="0" borderId="5" xfId="0" applyNumberFormat="1" applyFont="1" applyBorder="1"/>
    <xf numFmtId="0" fontId="1" fillId="0" borderId="11" xfId="0" applyFont="1" applyBorder="1" applyAlignment="1"/>
    <xf numFmtId="172" fontId="11" fillId="0" borderId="12" xfId="0" applyNumberFormat="1" applyFont="1" applyBorder="1"/>
    <xf numFmtId="10" fontId="4" fillId="2" borderId="5" xfId="2" applyNumberFormat="1" applyFont="1" applyFill="1" applyBorder="1" applyAlignment="1" applyProtection="1">
      <protection locked="0"/>
    </xf>
    <xf numFmtId="10" fontId="11" fillId="3" borderId="5" xfId="2" applyNumberFormat="1" applyFont="1" applyFill="1" applyBorder="1" applyAlignment="1" applyProtection="1"/>
    <xf numFmtId="172" fontId="11" fillId="0" borderId="8" xfId="0" applyNumberFormat="1" applyFont="1" applyBorder="1"/>
    <xf numFmtId="166" fontId="10" fillId="0" borderId="0" xfId="1" applyNumberFormat="1" applyFont="1" applyBorder="1" applyAlignment="1" applyProtection="1"/>
    <xf numFmtId="166" fontId="10" fillId="0" borderId="0" xfId="1" applyNumberFormat="1" applyFont="1" applyBorder="1" applyAlignment="1" applyProtection="1">
      <protection locked="0"/>
    </xf>
    <xf numFmtId="166" fontId="11" fillId="0" borderId="5" xfId="1" applyNumberFormat="1" applyFont="1" applyBorder="1" applyAlignment="1" applyProtection="1"/>
    <xf numFmtId="10" fontId="1" fillId="0" borderId="0" xfId="2" applyNumberFormat="1" applyFont="1" applyBorder="1" applyAlignment="1" applyProtection="1"/>
    <xf numFmtId="0" fontId="1" fillId="0" borderId="0" xfId="0" applyFont="1" applyBorder="1" applyAlignment="1"/>
    <xf numFmtId="4" fontId="11" fillId="7" borderId="5" xfId="2" applyNumberFormat="1" applyFont="1" applyFill="1" applyBorder="1" applyAlignment="1" applyProtection="1"/>
    <xf numFmtId="166" fontId="4" fillId="0" borderId="0" xfId="0" applyNumberFormat="1" applyFont="1" applyBorder="1"/>
    <xf numFmtId="166" fontId="4" fillId="0" borderId="0" xfId="0" applyNumberFormat="1" applyFont="1" applyBorder="1"/>
    <xf numFmtId="0" fontId="1" fillId="0" borderId="5" xfId="0" applyFont="1" applyBorder="1" applyProtection="1">
      <protection locked="0"/>
    </xf>
    <xf numFmtId="0" fontId="1" fillId="0" borderId="0" xfId="0" applyFont="1" applyAlignment="1"/>
    <xf numFmtId="0" fontId="1" fillId="0" borderId="0" xfId="0" applyFont="1" applyBorder="1" applyAlignment="1">
      <alignment horizontal="right"/>
    </xf>
    <xf numFmtId="175" fontId="0" fillId="0" borderId="0" xfId="1" applyNumberFormat="1" applyFont="1" applyBorder="1" applyAlignment="1" applyProtection="1">
      <protection locked="0"/>
    </xf>
    <xf numFmtId="166" fontId="0" fillId="0" borderId="0" xfId="0" applyNumberFormat="1"/>
    <xf numFmtId="9" fontId="11" fillId="0" borderId="5" xfId="2" applyFont="1" applyBorder="1" applyAlignment="1" applyProtection="1"/>
    <xf numFmtId="166" fontId="0" fillId="3" borderId="0" xfId="1" applyNumberFormat="1" applyFont="1" applyFill="1" applyBorder="1" applyAlignment="1" applyProtection="1"/>
    <xf numFmtId="0" fontId="20" fillId="0" borderId="0" xfId="0" applyFont="1" applyBorder="1"/>
    <xf numFmtId="0" fontId="21" fillId="0" borderId="0" xfId="0" applyFont="1" applyBorder="1"/>
    <xf numFmtId="0" fontId="21" fillId="0" borderId="0" xfId="0" applyFont="1" applyBorder="1"/>
    <xf numFmtId="9" fontId="7" fillId="0" borderId="0" xfId="0" applyNumberFormat="1" applyFont="1"/>
    <xf numFmtId="0" fontId="14" fillId="0" borderId="0" xfId="0" applyFont="1" applyBorder="1"/>
    <xf numFmtId="10" fontId="11" fillId="0" borderId="0" xfId="1" applyNumberFormat="1" applyFont="1" applyBorder="1" applyAlignment="1" applyProtection="1"/>
    <xf numFmtId="0" fontId="13" fillId="0" borderId="0" xfId="0" applyFont="1" applyAlignment="1"/>
    <xf numFmtId="165" fontId="0" fillId="0" borderId="0" xfId="0" applyNumberFormat="1"/>
    <xf numFmtId="165" fontId="0" fillId="0" borderId="5" xfId="1" applyFont="1" applyBorder="1" applyAlignment="1" applyProtection="1"/>
    <xf numFmtId="0" fontId="1" fillId="0" borderId="0" xfId="0" applyFont="1" applyAlignment="1">
      <alignment horizontal="right"/>
    </xf>
    <xf numFmtId="0" fontId="11" fillId="0" borderId="2" xfId="0" applyFont="1" applyBorder="1"/>
    <xf numFmtId="0" fontId="11" fillId="0" borderId="0" xfId="0" applyFont="1" applyBorder="1" applyProtection="1">
      <protection locked="0"/>
    </xf>
    <xf numFmtId="172" fontId="0" fillId="0" borderId="5" xfId="1" applyNumberFormat="1" applyFont="1" applyBorder="1" applyAlignment="1" applyProtection="1"/>
    <xf numFmtId="166" fontId="5" fillId="0" borderId="0" xfId="0" applyNumberFormat="1" applyFont="1" applyBorder="1"/>
    <xf numFmtId="166" fontId="1" fillId="0" borderId="0" xfId="1" applyNumberFormat="1" applyFont="1" applyBorder="1" applyAlignment="1" applyProtection="1"/>
    <xf numFmtId="166" fontId="7" fillId="0" borderId="0" xfId="1" applyNumberFormat="1" applyFont="1" applyBorder="1" applyAlignment="1" applyProtection="1"/>
    <xf numFmtId="166" fontId="5" fillId="0" borderId="0" xfId="0" applyNumberFormat="1" applyFont="1" applyBorder="1"/>
    <xf numFmtId="172" fontId="7" fillId="3" borderId="5" xfId="1" applyNumberFormat="1" applyFont="1" applyFill="1" applyBorder="1" applyAlignment="1" applyProtection="1"/>
    <xf numFmtId="176" fontId="0" fillId="0" borderId="0" xfId="0" applyNumberFormat="1"/>
    <xf numFmtId="14" fontId="0" fillId="0" borderId="0" xfId="0" applyNumberFormat="1"/>
    <xf numFmtId="9" fontId="0" fillId="0" borderId="0" xfId="2" applyFont="1" applyBorder="1" applyAlignment="1" applyProtection="1"/>
    <xf numFmtId="0" fontId="0" fillId="0" borderId="0" xfId="0" applyBorder="1" applyAlignment="1">
      <alignment horizontal="right"/>
    </xf>
    <xf numFmtId="0" fontId="0" fillId="0" borderId="0" xfId="0" applyBorder="1" applyAlignment="1">
      <alignment horizontal="right"/>
    </xf>
    <xf numFmtId="0" fontId="12" fillId="0" borderId="0" xfId="3" applyFont="1" applyBorder="1" applyAlignment="1" applyProtection="1"/>
    <xf numFmtId="0" fontId="22" fillId="0" borderId="0" xfId="0" applyFont="1" applyBorder="1"/>
    <xf numFmtId="0" fontId="7" fillId="0" borderId="13" xfId="0" applyFont="1" applyBorder="1"/>
    <xf numFmtId="0" fontId="0" fillId="0" borderId="16" xfId="0" applyBorder="1"/>
    <xf numFmtId="166" fontId="0" fillId="0" borderId="17" xfId="1" applyNumberFormat="1" applyFont="1" applyBorder="1" applyAlignment="1" applyProtection="1"/>
    <xf numFmtId="0" fontId="23" fillId="0" borderId="0" xfId="3" applyFont="1" applyBorder="1" applyAlignment="1" applyProtection="1"/>
    <xf numFmtId="0" fontId="0" fillId="0" borderId="15" xfId="0" applyBorder="1"/>
    <xf numFmtId="166" fontId="0" fillId="0" borderId="18" xfId="1" applyNumberFormat="1" applyFont="1" applyBorder="1" applyAlignment="1" applyProtection="1"/>
    <xf numFmtId="166" fontId="0" fillId="0" borderId="19" xfId="1" applyNumberFormat="1" applyFont="1" applyBorder="1" applyAlignment="1" applyProtection="1"/>
    <xf numFmtId="9" fontId="1" fillId="0" borderId="0" xfId="0" applyNumberFormat="1" applyFont="1"/>
    <xf numFmtId="0" fontId="1" fillId="0" borderId="0" xfId="0" applyFont="1" applyBorder="1" applyAlignment="1">
      <alignment horizontal="right"/>
    </xf>
    <xf numFmtId="9" fontId="0" fillId="0" borderId="0" xfId="0" applyNumberFormat="1"/>
    <xf numFmtId="166" fontId="1" fillId="0" borderId="18" xfId="1" applyNumberFormat="1" applyFont="1" applyBorder="1" applyAlignment="1" applyProtection="1"/>
    <xf numFmtId="166" fontId="7" fillId="0" borderId="18" xfId="1" applyNumberFormat="1" applyFont="1" applyBorder="1" applyAlignment="1" applyProtection="1"/>
    <xf numFmtId="0" fontId="0" fillId="0" borderId="20" xfId="0" applyBorder="1"/>
    <xf numFmtId="0" fontId="0" fillId="0" borderId="19" xfId="0" applyBorder="1"/>
    <xf numFmtId="166" fontId="0" fillId="0" borderId="21" xfId="1" applyNumberFormat="1" applyFont="1" applyBorder="1" applyAlignment="1" applyProtection="1"/>
    <xf numFmtId="0" fontId="6" fillId="0" borderId="0" xfId="0" applyFont="1"/>
    <xf numFmtId="0" fontId="15" fillId="0" borderId="13" xfId="0" applyFont="1" applyBorder="1"/>
    <xf numFmtId="166" fontId="0" fillId="0" borderId="16" xfId="1" applyNumberFormat="1" applyFont="1" applyBorder="1" applyAlignment="1" applyProtection="1"/>
    <xf numFmtId="0" fontId="1" fillId="0" borderId="15" xfId="0" applyFont="1" applyBorder="1"/>
    <xf numFmtId="0" fontId="7" fillId="0" borderId="15" xfId="0" applyFont="1" applyBorder="1"/>
    <xf numFmtId="0" fontId="24" fillId="0" borderId="0" xfId="0" applyFont="1"/>
    <xf numFmtId="0" fontId="26" fillId="0" borderId="22" xfId="0" applyFont="1" applyBorder="1"/>
    <xf numFmtId="0" fontId="27" fillId="0" borderId="0" xfId="0" applyFont="1" applyBorder="1"/>
    <xf numFmtId="0" fontId="1" fillId="0" borderId="0" xfId="0" applyFont="1" applyBorder="1"/>
    <xf numFmtId="166" fontId="27" fillId="0" borderId="0" xfId="1" applyNumberFormat="1" applyFont="1" applyBorder="1" applyAlignment="1" applyProtection="1">
      <alignment horizontal="left"/>
    </xf>
    <xf numFmtId="166" fontId="28" fillId="0" borderId="0" xfId="0" applyNumberFormat="1" applyFont="1"/>
    <xf numFmtId="166" fontId="1" fillId="0" borderId="0" xfId="0" applyNumberFormat="1" applyFont="1"/>
    <xf numFmtId="177" fontId="0" fillId="0" borderId="0" xfId="0" applyNumberFormat="1"/>
    <xf numFmtId="177" fontId="13" fillId="0" borderId="0" xfId="0" applyNumberFormat="1" applyFont="1"/>
    <xf numFmtId="0" fontId="15" fillId="0" borderId="0" xfId="0" applyFont="1" applyBorder="1"/>
    <xf numFmtId="0" fontId="29" fillId="0" borderId="0" xfId="0" applyFont="1" applyBorder="1"/>
    <xf numFmtId="0" fontId="25" fillId="0" borderId="0" xfId="0" applyFont="1" applyBorder="1"/>
    <xf numFmtId="0" fontId="13" fillId="0" borderId="0" xfId="0" applyFont="1" applyBorder="1"/>
    <xf numFmtId="166" fontId="13" fillId="0" borderId="0" xfId="1" applyNumberFormat="1" applyFont="1" applyBorder="1" applyAlignment="1" applyProtection="1"/>
    <xf numFmtId="0" fontId="30" fillId="0" borderId="0" xfId="0" applyFont="1" applyBorder="1"/>
    <xf numFmtId="0" fontId="17" fillId="0" borderId="0" xfId="0" applyFont="1" applyBorder="1"/>
    <xf numFmtId="166" fontId="25" fillId="0" borderId="0" xfId="1" applyNumberFormat="1" applyFont="1" applyBorder="1" applyAlignment="1" applyProtection="1">
      <alignment horizontal="left"/>
    </xf>
    <xf numFmtId="177" fontId="13" fillId="0" borderId="0" xfId="1" applyNumberFormat="1" applyFont="1" applyBorder="1" applyAlignment="1" applyProtection="1"/>
    <xf numFmtId="0" fontId="29" fillId="0" borderId="0" xfId="0" applyFont="1" applyBorder="1"/>
    <xf numFmtId="0" fontId="32" fillId="0" borderId="0" xfId="0" applyFont="1"/>
    <xf numFmtId="0" fontId="31" fillId="0" borderId="0" xfId="0" applyFont="1" applyBorder="1"/>
    <xf numFmtId="0" fontId="31" fillId="0" borderId="13" xfId="0" applyFont="1" applyBorder="1"/>
    <xf numFmtId="0" fontId="31" fillId="0" borderId="16" xfId="0" applyFont="1" applyBorder="1"/>
    <xf numFmtId="0" fontId="31" fillId="0" borderId="17" xfId="0" applyFont="1" applyBorder="1"/>
    <xf numFmtId="0" fontId="14" fillId="0" borderId="0" xfId="0" applyFont="1" applyBorder="1"/>
    <xf numFmtId="0" fontId="31" fillId="0" borderId="15" xfId="0" applyFont="1" applyBorder="1"/>
    <xf numFmtId="0" fontId="31" fillId="0" borderId="0" xfId="0" applyFont="1" applyBorder="1"/>
    <xf numFmtId="0" fontId="31" fillId="0" borderId="19" xfId="0" applyFont="1" applyBorder="1"/>
    <xf numFmtId="0" fontId="4" fillId="0" borderId="1" xfId="0" applyFont="1" applyBorder="1"/>
    <xf numFmtId="0" fontId="0" fillId="0" borderId="22" xfId="0" applyBorder="1" applyAlignment="1">
      <alignment vertical="top" readingOrder="1"/>
    </xf>
    <xf numFmtId="0" fontId="37" fillId="0" borderId="22" xfId="0" applyFont="1" applyBorder="1"/>
    <xf numFmtId="0" fontId="38" fillId="0" borderId="22" xfId="0" applyFont="1" applyBorder="1"/>
    <xf numFmtId="0" fontId="38" fillId="0" borderId="24" xfId="0" applyFont="1" applyBorder="1"/>
    <xf numFmtId="0" fontId="0" fillId="0" borderId="25" xfId="0" applyBorder="1" applyAlignment="1">
      <alignment vertical="top" readingOrder="1"/>
    </xf>
    <xf numFmtId="0" fontId="26" fillId="0" borderId="26" xfId="0" applyFont="1" applyBorder="1"/>
    <xf numFmtId="0" fontId="38" fillId="0" borderId="27" xfId="0" applyFont="1" applyBorder="1"/>
    <xf numFmtId="166" fontId="38" fillId="0" borderId="28" xfId="1" applyNumberFormat="1" applyFont="1" applyBorder="1" applyAlignment="1" applyProtection="1"/>
    <xf numFmtId="0" fontId="0" fillId="0" borderId="29" xfId="0" applyBorder="1" applyAlignment="1">
      <alignment vertical="top" readingOrder="1"/>
    </xf>
    <xf numFmtId="0" fontId="38" fillId="0" borderId="30" xfId="0" applyFont="1" applyBorder="1"/>
    <xf numFmtId="166" fontId="38" fillId="0" borderId="22" xfId="1" applyNumberFormat="1" applyFont="1" applyBorder="1" applyAlignment="1" applyProtection="1"/>
    <xf numFmtId="166" fontId="38" fillId="0" borderId="31" xfId="1" applyNumberFormat="1" applyFont="1" applyBorder="1" applyAlignment="1" applyProtection="1"/>
    <xf numFmtId="0" fontId="38" fillId="0" borderId="22" xfId="0" applyFont="1" applyBorder="1"/>
    <xf numFmtId="0" fontId="38" fillId="0" borderId="35" xfId="0" applyFont="1" applyBorder="1"/>
    <xf numFmtId="166" fontId="38" fillId="0" borderId="35" xfId="1" applyNumberFormat="1" applyFont="1" applyBorder="1" applyAlignment="1" applyProtection="1"/>
    <xf numFmtId="166" fontId="38" fillId="0" borderId="27" xfId="1" applyNumberFormat="1" applyFont="1" applyBorder="1" applyAlignment="1" applyProtection="1"/>
    <xf numFmtId="0" fontId="26" fillId="0" borderId="30" xfId="0" applyFont="1" applyBorder="1"/>
    <xf numFmtId="0" fontId="0" fillId="0" borderId="35" xfId="0" applyBorder="1" applyAlignment="1">
      <alignment vertical="top" readingOrder="1"/>
    </xf>
    <xf numFmtId="0" fontId="38" fillId="0" borderId="30" xfId="0" applyFont="1" applyBorder="1" applyAlignment="1">
      <alignment horizontal="left"/>
    </xf>
    <xf numFmtId="165" fontId="38" fillId="0" borderId="22" xfId="1" applyFont="1" applyBorder="1" applyAlignment="1" applyProtection="1">
      <alignment horizontal="center"/>
    </xf>
    <xf numFmtId="0" fontId="38" fillId="0" borderId="22" xfId="0" applyFont="1" applyBorder="1" applyAlignment="1">
      <alignment horizontal="center"/>
    </xf>
    <xf numFmtId="0" fontId="26" fillId="0" borderId="37" xfId="0" applyFont="1" applyBorder="1" applyAlignment="1">
      <alignment horizontal="right" vertical="top" readingOrder="1"/>
    </xf>
    <xf numFmtId="0" fontId="26" fillId="0" borderId="38" xfId="0" applyFont="1" applyBorder="1" applyAlignment="1">
      <alignment horizontal="right" vertical="top" readingOrder="1"/>
    </xf>
    <xf numFmtId="178" fontId="38" fillId="0" borderId="1" xfId="0" applyNumberFormat="1" applyFont="1" applyBorder="1" applyAlignment="1">
      <alignment vertical="top" readingOrder="1"/>
    </xf>
    <xf numFmtId="2" fontId="38" fillId="0" borderId="40" xfId="0" applyNumberFormat="1" applyFont="1" applyBorder="1" applyAlignment="1">
      <alignment horizontal="right" vertical="top" readingOrder="1"/>
    </xf>
    <xf numFmtId="166" fontId="38" fillId="0" borderId="1" xfId="0" applyNumberFormat="1" applyFont="1" applyBorder="1" applyAlignment="1">
      <alignment vertical="top" readingOrder="1"/>
    </xf>
    <xf numFmtId="166" fontId="38" fillId="0" borderId="40" xfId="0" applyNumberFormat="1" applyFont="1" applyBorder="1" applyAlignment="1">
      <alignment horizontal="right" vertical="top" readingOrder="1"/>
    </xf>
    <xf numFmtId="14" fontId="38" fillId="0" borderId="1" xfId="0" applyNumberFormat="1" applyFont="1" applyBorder="1" applyAlignment="1">
      <alignment vertical="top" readingOrder="1"/>
    </xf>
    <xf numFmtId="14" fontId="38" fillId="0" borderId="40" xfId="0" applyNumberFormat="1" applyFont="1" applyBorder="1" applyAlignment="1">
      <alignment horizontal="right" vertical="top" readingOrder="1"/>
    </xf>
    <xf numFmtId="2" fontId="38" fillId="0" borderId="1" xfId="0" applyNumberFormat="1" applyFont="1" applyBorder="1" applyAlignment="1">
      <alignment horizontal="right" vertical="top" readingOrder="1"/>
    </xf>
    <xf numFmtId="10" fontId="38" fillId="0" borderId="40" xfId="0" applyNumberFormat="1" applyFont="1" applyBorder="1" applyAlignment="1">
      <alignment horizontal="right" vertical="top" readingOrder="1"/>
    </xf>
    <xf numFmtId="4" fontId="38" fillId="0" borderId="1" xfId="0" applyNumberFormat="1" applyFont="1" applyBorder="1" applyAlignment="1">
      <alignment horizontal="right" vertical="top" readingOrder="1"/>
    </xf>
    <xf numFmtId="171" fontId="38" fillId="0" borderId="40" xfId="0" applyNumberFormat="1" applyFont="1" applyBorder="1" applyAlignment="1">
      <alignment horizontal="right" vertical="top" readingOrder="1"/>
    </xf>
    <xf numFmtId="4" fontId="38" fillId="0" borderId="1" xfId="0" applyNumberFormat="1" applyFont="1" applyBorder="1" applyAlignment="1">
      <alignment vertical="top" readingOrder="1"/>
    </xf>
    <xf numFmtId="2" fontId="38" fillId="0" borderId="1" xfId="0" applyNumberFormat="1" applyFont="1" applyBorder="1" applyAlignment="1">
      <alignment vertical="top" readingOrder="1"/>
    </xf>
    <xf numFmtId="0" fontId="0" fillId="0" borderId="44" xfId="0" applyBorder="1" applyAlignment="1">
      <alignment vertical="top" readingOrder="1"/>
    </xf>
    <xf numFmtId="0" fontId="1" fillId="0" borderId="0" xfId="4"/>
    <xf numFmtId="0" fontId="1" fillId="0" borderId="0" xfId="4" applyAlignment="1">
      <alignment horizontal="right"/>
    </xf>
    <xf numFmtId="2" fontId="0" fillId="0" borderId="0" xfId="0" applyNumberFormat="1"/>
    <xf numFmtId="2" fontId="11" fillId="0" borderId="0" xfId="1" applyNumberFormat="1" applyFont="1" applyBorder="1" applyAlignment="1" applyProtection="1"/>
    <xf numFmtId="169" fontId="0" fillId="0" borderId="0" xfId="0" applyNumberFormat="1"/>
    <xf numFmtId="180" fontId="0" fillId="0" borderId="0" xfId="0" applyNumberFormat="1"/>
    <xf numFmtId="165" fontId="11" fillId="0" borderId="0" xfId="1" applyFont="1" applyBorder="1" applyAlignment="1" applyProtection="1"/>
    <xf numFmtId="0" fontId="0" fillId="0" borderId="6" xfId="0" applyBorder="1"/>
    <xf numFmtId="0" fontId="0" fillId="0" borderId="7" xfId="0" applyBorder="1"/>
    <xf numFmtId="169" fontId="0" fillId="0" borderId="0" xfId="0" applyNumberFormat="1"/>
    <xf numFmtId="181" fontId="0" fillId="0" borderId="0" xfId="0" applyNumberFormat="1"/>
    <xf numFmtId="180" fontId="0" fillId="0" borderId="0" xfId="0" applyNumberFormat="1"/>
    <xf numFmtId="182" fontId="0" fillId="0" borderId="0" xfId="0" applyNumberFormat="1"/>
    <xf numFmtId="0" fontId="39" fillId="0" borderId="13" xfId="0" applyFont="1" applyBorder="1"/>
    <xf numFmtId="9" fontId="39" fillId="0" borderId="16" xfId="0" applyNumberFormat="1" applyFont="1" applyBorder="1" applyAlignment="1">
      <alignment horizontal="center"/>
    </xf>
    <xf numFmtId="166" fontId="39" fillId="0" borderId="51" xfId="1" applyNumberFormat="1" applyFont="1" applyBorder="1" applyAlignment="1" applyProtection="1"/>
    <xf numFmtId="0" fontId="39" fillId="0" borderId="16" xfId="0" applyFont="1" applyBorder="1"/>
    <xf numFmtId="0" fontId="39" fillId="0" borderId="15" xfId="0" applyFont="1" applyBorder="1"/>
    <xf numFmtId="9" fontId="39" fillId="0" borderId="0" xfId="0" applyNumberFormat="1" applyFont="1" applyBorder="1" applyAlignment="1">
      <alignment horizontal="center"/>
    </xf>
    <xf numFmtId="166" fontId="39" fillId="0" borderId="0" xfId="1" applyNumberFormat="1" applyFont="1" applyBorder="1" applyAlignment="1" applyProtection="1"/>
    <xf numFmtId="0" fontId="39" fillId="0" borderId="0" xfId="0" applyFont="1" applyBorder="1"/>
    <xf numFmtId="0" fontId="39" fillId="0" borderId="15" xfId="0" applyFont="1" applyBorder="1" applyAlignment="1">
      <alignment wrapText="1"/>
    </xf>
    <xf numFmtId="0" fontId="39" fillId="0" borderId="0" xfId="0" applyFont="1" applyBorder="1" applyAlignment="1">
      <alignment horizontal="left"/>
    </xf>
    <xf numFmtId="0" fontId="0" fillId="0" borderId="15" xfId="0" applyBorder="1"/>
    <xf numFmtId="0" fontId="39" fillId="0" borderId="0" xfId="0" applyFont="1" applyBorder="1" applyAlignment="1">
      <alignment horizontal="center"/>
    </xf>
    <xf numFmtId="166" fontId="39" fillId="0" borderId="0" xfId="0" applyNumberFormat="1" applyFont="1" applyBorder="1"/>
    <xf numFmtId="9" fontId="39" fillId="0" borderId="0" xfId="0" applyNumberFormat="1" applyFont="1" applyBorder="1"/>
    <xf numFmtId="0" fontId="40" fillId="0" borderId="0" xfId="0" applyFont="1" applyBorder="1" applyAlignment="1">
      <alignment horizontal="center"/>
    </xf>
    <xf numFmtId="17" fontId="40" fillId="0" borderId="0" xfId="0" applyNumberFormat="1" applyFont="1" applyBorder="1" applyAlignment="1">
      <alignment horizontal="center"/>
    </xf>
    <xf numFmtId="0" fontId="39" fillId="0" borderId="20" xfId="0" applyFont="1" applyBorder="1"/>
    <xf numFmtId="166" fontId="39" fillId="0" borderId="19" xfId="0" applyNumberFormat="1" applyFont="1" applyBorder="1"/>
    <xf numFmtId="0" fontId="39" fillId="0" borderId="19" xfId="0" applyFont="1" applyBorder="1"/>
    <xf numFmtId="166" fontId="31" fillId="0" borderId="0" xfId="1" applyNumberFormat="1" applyFont="1" applyBorder="1" applyAlignment="1" applyProtection="1"/>
    <xf numFmtId="9" fontId="39" fillId="0" borderId="0" xfId="2" applyFont="1" applyBorder="1" applyAlignment="1" applyProtection="1"/>
    <xf numFmtId="1" fontId="39" fillId="0" borderId="0" xfId="0" applyNumberFormat="1" applyFont="1" applyBorder="1"/>
    <xf numFmtId="10" fontId="39" fillId="0" borderId="0" xfId="0" applyNumberFormat="1" applyFont="1" applyBorder="1"/>
    <xf numFmtId="10" fontId="0" fillId="0" borderId="0" xfId="0" applyNumberFormat="1"/>
    <xf numFmtId="10" fontId="0" fillId="0" borderId="1" xfId="2" applyNumberFormat="1" applyFont="1" applyBorder="1" applyAlignment="1" applyProtection="1"/>
    <xf numFmtId="0" fontId="36" fillId="0" borderId="0" xfId="0" applyFont="1"/>
    <xf numFmtId="10" fontId="0" fillId="0" borderId="0" xfId="2"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10" fontId="0" fillId="8" borderId="1" xfId="2" applyNumberFormat="1" applyFont="1" applyFill="1" applyBorder="1" applyAlignment="1" applyProtection="1"/>
    <xf numFmtId="180" fontId="0" fillId="0" borderId="0" xfId="1" applyNumberFormat="1" applyFont="1" applyBorder="1" applyAlignment="1" applyProtection="1"/>
    <xf numFmtId="166" fontId="0" fillId="8" borderId="1" xfId="1" applyNumberFormat="1" applyFont="1" applyFill="1" applyBorder="1" applyAlignment="1" applyProtection="1"/>
    <xf numFmtId="0" fontId="0" fillId="8" borderId="1" xfId="1" applyNumberFormat="1" applyFont="1" applyFill="1" applyBorder="1" applyAlignment="1" applyProtection="1"/>
    <xf numFmtId="165" fontId="7" fillId="0" borderId="5" xfId="1" applyFont="1" applyBorder="1" applyAlignment="1" applyProtection="1"/>
    <xf numFmtId="183" fontId="0" fillId="0" borderId="0" xfId="1" applyNumberFormat="1" applyFont="1" applyBorder="1" applyAlignment="1" applyProtection="1"/>
    <xf numFmtId="184" fontId="0" fillId="0" borderId="0" xfId="1" applyNumberFormat="1" applyFont="1" applyBorder="1" applyAlignment="1" applyProtection="1"/>
    <xf numFmtId="0" fontId="41" fillId="0" borderId="15" xfId="3" applyFont="1" applyBorder="1" applyAlignment="1" applyProtection="1"/>
    <xf numFmtId="0" fontId="44" fillId="0" borderId="5" xfId="0" applyFont="1" applyBorder="1" applyAlignment="1" applyProtection="1">
      <alignment horizontal="center"/>
      <protection locked="0"/>
    </xf>
    <xf numFmtId="0" fontId="44" fillId="0" borderId="10" xfId="0" applyFont="1" applyBorder="1" applyAlignment="1" applyProtection="1">
      <alignment horizontal="center"/>
      <protection locked="0"/>
    </xf>
    <xf numFmtId="172" fontId="0" fillId="0" borderId="8" xfId="1" applyNumberFormat="1" applyFont="1" applyBorder="1" applyAlignment="1" applyProtection="1"/>
    <xf numFmtId="171" fontId="1" fillId="9" borderId="5" xfId="1" applyNumberFormat="1" applyFont="1" applyFill="1" applyBorder="1" applyAlignment="1" applyProtection="1"/>
    <xf numFmtId="0" fontId="43" fillId="9" borderId="5" xfId="0" applyFont="1" applyFill="1" applyBorder="1" applyProtection="1">
      <protection locked="0"/>
    </xf>
    <xf numFmtId="0" fontId="44" fillId="0" borderId="1" xfId="0" applyFont="1" applyBorder="1"/>
    <xf numFmtId="0" fontId="46" fillId="0" borderId="0" xfId="0" applyFont="1" applyBorder="1"/>
    <xf numFmtId="168" fontId="11" fillId="0" borderId="0" xfId="2" applyNumberFormat="1" applyFont="1" applyFill="1" applyBorder="1" applyAlignment="1" applyProtection="1"/>
    <xf numFmtId="0" fontId="43" fillId="0" borderId="0" xfId="0" applyFont="1"/>
    <xf numFmtId="187" fontId="0" fillId="0" borderId="0" xfId="1" applyNumberFormat="1" applyFont="1" applyBorder="1" applyProtection="1">
      <protection locked="0"/>
    </xf>
    <xf numFmtId="9" fontId="43" fillId="0" borderId="0" xfId="0" applyNumberFormat="1" applyFont="1"/>
    <xf numFmtId="187" fontId="0" fillId="0" borderId="0" xfId="0" applyNumberFormat="1"/>
    <xf numFmtId="187" fontId="0" fillId="0" borderId="0" xfId="1" applyNumberFormat="1" applyFont="1" applyFill="1"/>
    <xf numFmtId="0" fontId="0" fillId="0" borderId="0" xfId="0" applyFill="1"/>
    <xf numFmtId="187" fontId="42" fillId="0" borderId="0" xfId="1" quotePrefix="1" applyNumberFormat="1" applyFont="1" applyFill="1"/>
    <xf numFmtId="166" fontId="7" fillId="0" borderId="18" xfId="1" quotePrefix="1" applyNumberFormat="1" applyFont="1" applyBorder="1" applyAlignment="1" applyProtection="1"/>
    <xf numFmtId="0" fontId="0" fillId="0" borderId="22" xfId="0" applyFill="1" applyBorder="1" applyAlignment="1">
      <alignment vertical="top" readingOrder="1"/>
    </xf>
    <xf numFmtId="165" fontId="0" fillId="0" borderId="0" xfId="0" quotePrefix="1" applyNumberFormat="1"/>
    <xf numFmtId="0" fontId="49" fillId="0" borderId="2" xfId="0" applyFont="1" applyBorder="1"/>
    <xf numFmtId="187" fontId="0" fillId="0" borderId="0" xfId="1" applyNumberFormat="1" applyFont="1" applyFill="1" applyBorder="1" applyProtection="1">
      <protection locked="0"/>
    </xf>
    <xf numFmtId="0" fontId="52" fillId="0" borderId="0" xfId="0" applyFont="1"/>
    <xf numFmtId="0" fontId="42" fillId="0" borderId="0" xfId="0" applyFont="1"/>
    <xf numFmtId="9" fontId="47" fillId="0" borderId="0" xfId="2" applyFont="1" applyFill="1" applyBorder="1"/>
    <xf numFmtId="187" fontId="0" fillId="0" borderId="0" xfId="1" quotePrefix="1" applyNumberFormat="1" applyFont="1" applyFill="1" applyBorder="1"/>
    <xf numFmtId="9" fontId="50" fillId="0" borderId="0" xfId="2" applyFont="1" applyFill="1" applyBorder="1"/>
    <xf numFmtId="0" fontId="50" fillId="0" borderId="0" xfId="0" applyFont="1" applyFill="1" applyBorder="1"/>
    <xf numFmtId="188" fontId="50" fillId="0" borderId="0" xfId="1" quotePrefix="1" applyNumberFormat="1" applyFont="1" applyFill="1" applyBorder="1"/>
    <xf numFmtId="188" fontId="50" fillId="0" borderId="0" xfId="1" applyNumberFormat="1" applyFont="1" applyFill="1" applyBorder="1"/>
    <xf numFmtId="166" fontId="42" fillId="0" borderId="0" xfId="1" applyNumberFormat="1" applyFill="1" applyBorder="1"/>
    <xf numFmtId="0" fontId="48" fillId="0" borderId="0" xfId="0" applyFont="1" applyFill="1"/>
    <xf numFmtId="0" fontId="0" fillId="0" borderId="0" xfId="0" applyFill="1" applyBorder="1"/>
    <xf numFmtId="9" fontId="49" fillId="0" borderId="0" xfId="2" applyFont="1" applyFill="1" applyBorder="1"/>
    <xf numFmtId="186" fontId="42" fillId="0" borderId="0" xfId="1" applyNumberFormat="1" applyFill="1" applyBorder="1"/>
    <xf numFmtId="0" fontId="48" fillId="0" borderId="0" xfId="0" applyFont="1" applyFill="1" applyBorder="1"/>
    <xf numFmtId="187" fontId="42" fillId="0" borderId="0" xfId="1" quotePrefix="1" applyNumberFormat="1" applyFill="1" applyBorder="1"/>
    <xf numFmtId="165" fontId="0" fillId="0" borderId="0" xfId="0" quotePrefix="1" applyNumberFormat="1" applyFill="1" applyBorder="1"/>
    <xf numFmtId="0" fontId="50" fillId="11" borderId="12" xfId="0" applyFont="1" applyFill="1" applyBorder="1"/>
    <xf numFmtId="9" fontId="50" fillId="0" borderId="53" xfId="2" applyFont="1" applyFill="1" applyBorder="1"/>
    <xf numFmtId="9" fontId="50" fillId="0" borderId="54" xfId="2" applyFont="1" applyFill="1" applyBorder="1"/>
    <xf numFmtId="0" fontId="50" fillId="0" borderId="54" xfId="0" applyFont="1" applyFill="1" applyBorder="1"/>
    <xf numFmtId="188" fontId="50" fillId="0" borderId="54" xfId="1" applyNumberFormat="1" applyFont="1" applyFill="1" applyBorder="1"/>
    <xf numFmtId="9" fontId="50" fillId="0" borderId="52" xfId="2" applyFont="1" applyFill="1" applyBorder="1"/>
    <xf numFmtId="187" fontId="0" fillId="11" borderId="5" xfId="1" quotePrefix="1" applyNumberFormat="1" applyFont="1" applyFill="1" applyBorder="1"/>
    <xf numFmtId="186" fontId="42" fillId="11" borderId="9" xfId="1" applyNumberFormat="1" applyFill="1" applyBorder="1"/>
    <xf numFmtId="187" fontId="42" fillId="11" borderId="0" xfId="1" quotePrefix="1" applyNumberFormat="1" applyFill="1"/>
    <xf numFmtId="165" fontId="42" fillId="11" borderId="0" xfId="1" quotePrefix="1" applyFill="1"/>
    <xf numFmtId="166" fontId="42" fillId="11" borderId="0" xfId="1" applyNumberFormat="1" applyFill="1"/>
    <xf numFmtId="166" fontId="0" fillId="11" borderId="0" xfId="1" quotePrefix="1" applyNumberFormat="1" applyFont="1" applyFill="1" applyBorder="1" applyAlignment="1" applyProtection="1"/>
    <xf numFmtId="166" fontId="7" fillId="11" borderId="0" xfId="1" quotePrefix="1" applyNumberFormat="1" applyFont="1" applyFill="1" applyBorder="1" applyAlignment="1" applyProtection="1"/>
    <xf numFmtId="0" fontId="13" fillId="0" borderId="0" xfId="4" applyFont="1"/>
    <xf numFmtId="0" fontId="45" fillId="0" borderId="0" xfId="4" applyFont="1"/>
    <xf numFmtId="0" fontId="1" fillId="0" borderId="5" xfId="4" applyFont="1" applyBorder="1" applyAlignment="1">
      <alignment horizontal="left"/>
    </xf>
    <xf numFmtId="0" fontId="42" fillId="0" borderId="0" xfId="4" applyFont="1" applyBorder="1"/>
    <xf numFmtId="0" fontId="1" fillId="0" borderId="10" xfId="4" applyFont="1" applyBorder="1" applyAlignment="1">
      <alignment horizontal="left"/>
    </xf>
    <xf numFmtId="0" fontId="1" fillId="0" borderId="0" xfId="4" applyFill="1"/>
    <xf numFmtId="0" fontId="1" fillId="0" borderId="0" xfId="4" applyFont="1" applyFill="1"/>
    <xf numFmtId="0" fontId="43" fillId="0" borderId="0" xfId="4" applyFont="1"/>
    <xf numFmtId="0" fontId="43" fillId="0" borderId="0" xfId="4" applyFont="1" applyFill="1"/>
    <xf numFmtId="0" fontId="45" fillId="0" borderId="0" xfId="4" applyFont="1" applyFill="1" applyBorder="1"/>
    <xf numFmtId="0" fontId="11" fillId="0" borderId="46" xfId="0" applyFont="1" applyBorder="1" applyAlignment="1">
      <alignment vertical="center"/>
    </xf>
    <xf numFmtId="0" fontId="0" fillId="0" borderId="48" xfId="0" applyBorder="1" applyAlignment="1">
      <alignment vertical="center"/>
    </xf>
    <xf numFmtId="0" fontId="1" fillId="0" borderId="0" xfId="0" applyFont="1" applyAlignment="1">
      <alignment vertical="center"/>
    </xf>
    <xf numFmtId="0" fontId="4" fillId="2" borderId="5" xfId="0" applyFont="1" applyFill="1" applyBorder="1" applyAlignment="1" applyProtection="1">
      <alignment vertical="center" wrapText="1"/>
      <protection locked="0"/>
    </xf>
    <xf numFmtId="0" fontId="11" fillId="0" borderId="2" xfId="0" applyFont="1" applyFill="1" applyBorder="1"/>
    <xf numFmtId="0" fontId="44" fillId="0" borderId="0" xfId="0" applyFont="1" applyBorder="1" applyAlignment="1" applyProtection="1">
      <alignment horizontal="center"/>
      <protection locked="0"/>
    </xf>
    <xf numFmtId="172" fontId="11" fillId="0" borderId="5" xfId="1" applyNumberFormat="1" applyFont="1" applyFill="1" applyBorder="1" applyAlignment="1" applyProtection="1"/>
    <xf numFmtId="0" fontId="7" fillId="0" borderId="1" xfId="0" applyFont="1" applyFill="1" applyBorder="1"/>
    <xf numFmtId="0" fontId="45" fillId="0" borderId="1" xfId="4" applyFont="1" applyFill="1" applyBorder="1"/>
    <xf numFmtId="168" fontId="39" fillId="0" borderId="0" xfId="0" applyNumberFormat="1" applyFont="1" applyFill="1" applyBorder="1" applyAlignment="1">
      <alignment horizontal="center"/>
    </xf>
    <xf numFmtId="10" fontId="39" fillId="0" borderId="0" xfId="0" applyNumberFormat="1" applyFont="1" applyFill="1" applyBorder="1" applyAlignment="1">
      <alignment horizontal="center"/>
    </xf>
    <xf numFmtId="10" fontId="31" fillId="0" borderId="0" xfId="2" applyNumberFormat="1" applyFont="1" applyFill="1" applyBorder="1" applyAlignment="1" applyProtection="1">
      <alignment horizontal="right"/>
    </xf>
    <xf numFmtId="0" fontId="13" fillId="0" borderId="0" xfId="4" applyFont="1" applyFill="1"/>
    <xf numFmtId="0" fontId="1" fillId="0" borderId="0" xfId="4" applyFill="1" applyAlignment="1">
      <alignment horizontal="center"/>
    </xf>
    <xf numFmtId="0" fontId="1" fillId="0" borderId="0" xfId="4" applyFill="1" applyBorder="1"/>
    <xf numFmtId="0" fontId="1" fillId="0" borderId="0" xfId="4" applyFill="1" applyAlignment="1">
      <alignment horizontal="right"/>
    </xf>
    <xf numFmtId="0" fontId="1" fillId="0" borderId="5" xfId="4" applyFont="1" applyFill="1" applyBorder="1" applyAlignment="1">
      <alignment horizontal="left"/>
    </xf>
    <xf numFmtId="0" fontId="18" fillId="0" borderId="0" xfId="4" applyFont="1" applyFill="1" applyBorder="1"/>
    <xf numFmtId="0" fontId="42" fillId="0" borderId="5" xfId="4" applyFont="1" applyFill="1" applyBorder="1" applyAlignment="1">
      <alignment horizontal="left"/>
    </xf>
    <xf numFmtId="164" fontId="42" fillId="0" borderId="23" xfId="5" applyFont="1" applyFill="1" applyBorder="1" applyAlignment="1" applyProtection="1">
      <alignment horizontal="right"/>
    </xf>
    <xf numFmtId="0" fontId="42" fillId="0" borderId="23" xfId="4" applyFont="1" applyFill="1" applyBorder="1"/>
    <xf numFmtId="164" fontId="42" fillId="0" borderId="1" xfId="5" applyFont="1" applyFill="1" applyBorder="1" applyAlignment="1" applyProtection="1">
      <alignment horizontal="right"/>
    </xf>
    <xf numFmtId="0" fontId="42" fillId="0" borderId="1" xfId="0" applyFont="1" applyFill="1" applyBorder="1"/>
    <xf numFmtId="0" fontId="42" fillId="0" borderId="0" xfId="4" applyFont="1" applyFill="1" applyAlignment="1">
      <alignment horizontal="right"/>
    </xf>
    <xf numFmtId="0" fontId="42" fillId="0" borderId="0" xfId="4" applyFont="1" applyFill="1"/>
    <xf numFmtId="0" fontId="42" fillId="0" borderId="1" xfId="4" applyFont="1" applyFill="1" applyBorder="1"/>
    <xf numFmtId="0" fontId="1" fillId="0" borderId="23" xfId="4" applyFont="1" applyFill="1" applyBorder="1"/>
    <xf numFmtId="0" fontId="1" fillId="0" borderId="1" xfId="4" applyFont="1" applyFill="1" applyBorder="1"/>
    <xf numFmtId="0" fontId="42" fillId="0" borderId="0" xfId="0" applyFont="1" applyFill="1"/>
    <xf numFmtId="0" fontId="1" fillId="0" borderId="0" xfId="4" applyFont="1" applyFill="1" applyAlignment="1">
      <alignment horizontal="right"/>
    </xf>
    <xf numFmtId="0" fontId="1" fillId="0" borderId="23" xfId="4" applyFont="1" applyFill="1" applyBorder="1" applyAlignment="1">
      <alignment horizontal="right"/>
    </xf>
    <xf numFmtId="0" fontId="1" fillId="0" borderId="1" xfId="4" applyFont="1" applyFill="1" applyBorder="1" applyAlignment="1">
      <alignment horizontal="right"/>
    </xf>
    <xf numFmtId="9" fontId="45" fillId="0" borderId="23" xfId="4" applyNumberFormat="1" applyFont="1" applyFill="1" applyBorder="1" applyAlignment="1">
      <alignment horizontal="right"/>
    </xf>
    <xf numFmtId="9" fontId="45" fillId="0" borderId="1" xfId="4" applyNumberFormat="1" applyFont="1" applyFill="1" applyBorder="1" applyAlignment="1">
      <alignment horizontal="right"/>
    </xf>
    <xf numFmtId="168" fontId="45" fillId="0" borderId="1" xfId="4" applyNumberFormat="1" applyFont="1" applyFill="1" applyBorder="1" applyAlignment="1">
      <alignment horizontal="right"/>
    </xf>
    <xf numFmtId="10" fontId="45" fillId="0" borderId="1" xfId="4" applyNumberFormat="1" applyFont="1" applyFill="1" applyBorder="1" applyAlignment="1">
      <alignment horizontal="right"/>
    </xf>
    <xf numFmtId="0" fontId="45" fillId="0" borderId="1" xfId="4" applyFont="1" applyFill="1" applyBorder="1" applyAlignment="1">
      <alignment horizontal="right"/>
    </xf>
    <xf numFmtId="164" fontId="42" fillId="9" borderId="1" xfId="5" applyFont="1" applyFill="1" applyBorder="1" applyAlignment="1" applyProtection="1">
      <alignment horizontal="right"/>
    </xf>
    <xf numFmtId="14" fontId="3" fillId="0" borderId="0" xfId="0" applyNumberFormat="1" applyFont="1" applyFill="1"/>
    <xf numFmtId="0" fontId="55" fillId="0" borderId="22" xfId="0" applyFont="1" applyBorder="1" applyAlignment="1">
      <alignment vertical="top" readingOrder="1"/>
    </xf>
    <xf numFmtId="166" fontId="55" fillId="0" borderId="22" xfId="0" applyNumberFormat="1" applyFont="1" applyFill="1" applyBorder="1" applyAlignment="1">
      <alignment vertical="top" readingOrder="1"/>
    </xf>
    <xf numFmtId="0" fontId="55" fillId="0" borderId="22" xfId="0" applyFont="1" applyFill="1" applyBorder="1" applyAlignment="1">
      <alignment vertical="top" readingOrder="1"/>
    </xf>
    <xf numFmtId="0" fontId="42" fillId="0" borderId="15" xfId="0" applyFont="1" applyFill="1" applyBorder="1"/>
    <xf numFmtId="0" fontId="42" fillId="0" borderId="20" xfId="0" applyFont="1" applyBorder="1"/>
    <xf numFmtId="0" fontId="42" fillId="0" borderId="19" xfId="0" applyFont="1" applyBorder="1"/>
    <xf numFmtId="166" fontId="42" fillId="0" borderId="21" xfId="1" applyNumberFormat="1" applyFont="1" applyBorder="1" applyAlignment="1" applyProtection="1"/>
    <xf numFmtId="0" fontId="55" fillId="0" borderId="15" xfId="0" applyFont="1" applyBorder="1"/>
    <xf numFmtId="0" fontId="0" fillId="0" borderId="0" xfId="0" applyAlignment="1">
      <alignment horizontal="right"/>
    </xf>
    <xf numFmtId="0" fontId="0" fillId="0" borderId="0" xfId="0" applyAlignment="1">
      <alignment horizontal="center"/>
    </xf>
    <xf numFmtId="0" fontId="57" fillId="0" borderId="22" xfId="0" applyFont="1" applyBorder="1" applyAlignment="1">
      <alignment vertical="top" readingOrder="1"/>
    </xf>
    <xf numFmtId="0" fontId="42" fillId="0" borderId="22" xfId="0" applyFont="1" applyFill="1" applyBorder="1" applyAlignment="1">
      <alignment vertical="top" readingOrder="1"/>
    </xf>
    <xf numFmtId="0" fontId="57" fillId="0" borderId="22" xfId="0" applyFont="1" applyFill="1" applyBorder="1" applyAlignment="1">
      <alignment vertical="top" readingOrder="1"/>
    </xf>
    <xf numFmtId="191" fontId="60" fillId="3" borderId="0" xfId="1" applyNumberFormat="1" applyFont="1" applyFill="1" applyBorder="1" applyAlignment="1" applyProtection="1"/>
    <xf numFmtId="0" fontId="13" fillId="0" borderId="0" xfId="0" applyFont="1" applyFill="1" applyBorder="1" applyAlignment="1">
      <alignment horizontal="right"/>
    </xf>
    <xf numFmtId="0" fontId="13" fillId="0" borderId="0" xfId="0" applyFont="1" applyBorder="1" applyAlignment="1">
      <alignment horizontal="right"/>
    </xf>
    <xf numFmtId="9" fontId="61" fillId="0" borderId="0" xfId="2" applyFont="1" applyBorder="1" applyAlignment="1" applyProtection="1"/>
    <xf numFmtId="0" fontId="1" fillId="9" borderId="1" xfId="4" applyFont="1" applyFill="1" applyBorder="1" applyAlignment="1">
      <alignment horizontal="right"/>
    </xf>
    <xf numFmtId="193" fontId="60" fillId="0" borderId="0" xfId="1" applyNumberFormat="1" applyFont="1" applyFill="1" applyBorder="1" applyAlignment="1" applyProtection="1"/>
    <xf numFmtId="0" fontId="10" fillId="0" borderId="0" xfId="0" applyFont="1" applyBorder="1"/>
    <xf numFmtId="0" fontId="4" fillId="0" borderId="0" xfId="0" applyFont="1" applyFill="1" applyBorder="1"/>
    <xf numFmtId="165" fontId="11" fillId="0" borderId="0" xfId="1" applyFont="1" applyFill="1" applyBorder="1" applyAlignment="1" applyProtection="1"/>
    <xf numFmtId="0" fontId="4" fillId="0" borderId="0" xfId="0" applyFont="1" applyFill="1"/>
    <xf numFmtId="170" fontId="0" fillId="0" borderId="0" xfId="0" applyNumberFormat="1" applyFill="1"/>
    <xf numFmtId="14" fontId="4" fillId="0" borderId="0" xfId="0" applyNumberFormat="1" applyFont="1" applyFill="1"/>
    <xf numFmtId="169" fontId="0" fillId="0" borderId="0" xfId="0" applyNumberFormat="1" applyFill="1"/>
    <xf numFmtId="4" fontId="11" fillId="0" borderId="0" xfId="2" applyNumberFormat="1" applyFont="1" applyFill="1" applyBorder="1" applyAlignment="1" applyProtection="1"/>
    <xf numFmtId="8" fontId="11" fillId="7" borderId="5" xfId="2" applyNumberFormat="1" applyFont="1" applyFill="1" applyBorder="1" applyAlignment="1" applyProtection="1"/>
    <xf numFmtId="8" fontId="11" fillId="7" borderId="8" xfId="2" applyNumberFormat="1" applyFont="1" applyFill="1" applyBorder="1" applyAlignment="1" applyProtection="1"/>
    <xf numFmtId="192" fontId="60" fillId="0" borderId="0" xfId="0" applyNumberFormat="1" applyFont="1" applyFill="1" applyBorder="1" applyAlignment="1">
      <alignment horizontal="right"/>
    </xf>
    <xf numFmtId="0" fontId="54" fillId="0" borderId="0" xfId="0" applyFont="1"/>
    <xf numFmtId="0" fontId="42" fillId="0" borderId="22" xfId="0" applyFont="1" applyBorder="1" applyAlignment="1">
      <alignment vertical="top" readingOrder="1"/>
    </xf>
    <xf numFmtId="0" fontId="42" fillId="0" borderId="0" xfId="0" applyFont="1" applyBorder="1"/>
    <xf numFmtId="0" fontId="42" fillId="0" borderId="31" xfId="0" applyFont="1" applyFill="1" applyBorder="1" applyAlignment="1">
      <alignment vertical="top" readingOrder="1"/>
    </xf>
    <xf numFmtId="166" fontId="42" fillId="0" borderId="31" xfId="0" applyNumberFormat="1" applyFont="1" applyFill="1" applyBorder="1" applyAlignment="1">
      <alignment vertical="top" readingOrder="1"/>
    </xf>
    <xf numFmtId="0" fontId="42" fillId="0" borderId="0" xfId="0" applyFont="1" applyBorder="1" applyAlignment="1">
      <alignment vertical="top" readingOrder="1"/>
    </xf>
    <xf numFmtId="0" fontId="42" fillId="0" borderId="0" xfId="0" applyFont="1" applyBorder="1" applyAlignment="1">
      <alignment horizontal="right"/>
    </xf>
    <xf numFmtId="3" fontId="44" fillId="0" borderId="18" xfId="1" applyNumberFormat="1" applyFont="1" applyBorder="1" applyAlignment="1" applyProtection="1"/>
    <xf numFmtId="3" fontId="42" fillId="0" borderId="18" xfId="1" applyNumberFormat="1" applyFont="1" applyBorder="1" applyAlignment="1" applyProtection="1">
      <alignment horizontal="right"/>
    </xf>
    <xf numFmtId="195" fontId="0" fillId="6" borderId="10" xfId="1" applyNumberFormat="1" applyFont="1" applyFill="1" applyBorder="1" applyAlignment="1" applyProtection="1"/>
    <xf numFmtId="0" fontId="55" fillId="0" borderId="0" xfId="0" applyFont="1" applyFill="1" applyBorder="1" applyAlignment="1">
      <alignment vertical="top" readingOrder="1"/>
    </xf>
    <xf numFmtId="0" fontId="60" fillId="0" borderId="23" xfId="0" applyFont="1" applyFill="1" applyBorder="1" applyAlignment="1">
      <alignment vertical="top" readingOrder="1"/>
    </xf>
    <xf numFmtId="194" fontId="42" fillId="11" borderId="12" xfId="1" applyNumberFormat="1" applyFill="1" applyBorder="1"/>
    <xf numFmtId="9" fontId="10" fillId="0" borderId="0" xfId="2" applyFont="1" applyFill="1" applyBorder="1" applyAlignment="1" applyProtection="1"/>
    <xf numFmtId="8" fontId="11" fillId="0" borderId="0" xfId="2" applyNumberFormat="1" applyFont="1" applyFill="1" applyBorder="1" applyAlignment="1" applyProtection="1"/>
    <xf numFmtId="191" fontId="42" fillId="2" borderId="8" xfId="1" applyNumberFormat="1" applyFont="1" applyFill="1" applyBorder="1" applyAlignment="1" applyProtection="1"/>
    <xf numFmtId="191" fontId="42" fillId="2" borderId="5" xfId="1" applyNumberFormat="1" applyFont="1" applyFill="1" applyBorder="1" applyAlignment="1" applyProtection="1"/>
    <xf numFmtId="0" fontId="42" fillId="0" borderId="0" xfId="0" applyFont="1" applyFill="1" applyBorder="1" applyAlignment="1">
      <alignment horizontal="right"/>
    </xf>
    <xf numFmtId="0" fontId="43" fillId="0" borderId="2" xfId="0" applyFont="1" applyBorder="1"/>
    <xf numFmtId="0" fontId="1" fillId="0" borderId="0" xfId="0" applyFont="1" applyFill="1" applyBorder="1" applyAlignment="1">
      <alignment horizontal="right"/>
    </xf>
    <xf numFmtId="8" fontId="49" fillId="7" borderId="8" xfId="2" applyNumberFormat="1" applyFont="1" applyFill="1" applyBorder="1" applyAlignment="1" applyProtection="1"/>
    <xf numFmtId="191" fontId="49" fillId="0" borderId="5" xfId="2" applyNumberFormat="1" applyFont="1" applyBorder="1" applyAlignment="1" applyProtection="1"/>
    <xf numFmtId="9" fontId="49" fillId="0" borderId="0" xfId="2" applyFont="1" applyBorder="1" applyAlignment="1" applyProtection="1"/>
    <xf numFmtId="195" fontId="42" fillId="0" borderId="0" xfId="1" applyNumberFormat="1" applyFont="1" applyBorder="1" applyAlignment="1" applyProtection="1"/>
    <xf numFmtId="8" fontId="49" fillId="7" borderId="5" xfId="2" applyNumberFormat="1" applyFont="1" applyFill="1" applyBorder="1" applyAlignment="1" applyProtection="1"/>
    <xf numFmtId="195" fontId="42" fillId="6" borderId="10" xfId="1" applyNumberFormat="1" applyFont="1" applyFill="1" applyBorder="1" applyAlignment="1" applyProtection="1"/>
    <xf numFmtId="191" fontId="49" fillId="0" borderId="0" xfId="2" applyNumberFormat="1" applyFont="1" applyBorder="1" applyAlignment="1" applyProtection="1"/>
    <xf numFmtId="195" fontId="42" fillId="0" borderId="23" xfId="1" applyNumberFormat="1" applyFont="1" applyBorder="1" applyAlignment="1" applyProtection="1"/>
    <xf numFmtId="195" fontId="42" fillId="0" borderId="1" xfId="1" applyNumberFormat="1" applyFont="1" applyBorder="1" applyAlignment="1" applyProtection="1"/>
    <xf numFmtId="191" fontId="42" fillId="13" borderId="13" xfId="1" applyNumberFormat="1" applyFont="1" applyFill="1" applyBorder="1" applyAlignment="1" applyProtection="1"/>
    <xf numFmtId="191" fontId="42" fillId="13" borderId="5" xfId="1" applyNumberFormat="1" applyFont="1" applyFill="1" applyBorder="1" applyAlignment="1" applyProtection="1"/>
    <xf numFmtId="0" fontId="7" fillId="0" borderId="0" xfId="0" applyFont="1" applyFill="1" applyBorder="1"/>
    <xf numFmtId="172" fontId="0" fillId="0" borderId="0" xfId="1" applyNumberFormat="1" applyFont="1" applyFill="1" applyBorder="1" applyAlignment="1" applyProtection="1"/>
    <xf numFmtId="171" fontId="1" fillId="0" borderId="0" xfId="1" applyNumberFormat="1" applyFont="1" applyFill="1" applyBorder="1" applyAlignment="1" applyProtection="1"/>
    <xf numFmtId="172" fontId="7" fillId="0" borderId="0" xfId="1" applyNumberFormat="1" applyFont="1" applyFill="1" applyBorder="1" applyAlignment="1" applyProtection="1"/>
    <xf numFmtId="0" fontId="1" fillId="0" borderId="0" xfId="0" applyFont="1" applyFill="1" applyBorder="1" applyProtection="1">
      <protection locked="0"/>
    </xf>
    <xf numFmtId="9" fontId="10" fillId="0" borderId="0" xfId="2" applyFont="1" applyFill="1" applyBorder="1" applyAlignment="1" applyProtection="1">
      <protection locked="0"/>
    </xf>
    <xf numFmtId="9" fontId="11" fillId="0" borderId="0" xfId="2" applyFont="1" applyFill="1" applyBorder="1" applyAlignment="1" applyProtection="1"/>
    <xf numFmtId="169" fontId="42" fillId="0" borderId="5" xfId="1" applyNumberFormat="1" applyFont="1" applyFill="1" applyBorder="1" applyAlignment="1" applyProtection="1">
      <protection locked="0"/>
    </xf>
    <xf numFmtId="169" fontId="42" fillId="4" borderId="5" xfId="1" applyNumberFormat="1" applyFont="1" applyFill="1" applyBorder="1" applyAlignment="1" applyProtection="1">
      <protection locked="0"/>
    </xf>
    <xf numFmtId="169" fontId="42" fillId="15" borderId="5" xfId="1" applyNumberFormat="1" applyFont="1" applyFill="1" applyBorder="1" applyAlignment="1" applyProtection="1">
      <protection locked="0"/>
    </xf>
    <xf numFmtId="169" fontId="42" fillId="0" borderId="5" xfId="1" applyNumberFormat="1" applyFont="1" applyBorder="1" applyAlignment="1" applyProtection="1">
      <protection locked="0"/>
    </xf>
    <xf numFmtId="185" fontId="42" fillId="15" borderId="5" xfId="1" applyNumberFormat="1" applyFont="1" applyFill="1" applyBorder="1" applyAlignment="1" applyProtection="1">
      <protection locked="0"/>
    </xf>
    <xf numFmtId="0" fontId="11" fillId="0" borderId="0" xfId="0" applyFont="1" applyFill="1" applyBorder="1"/>
    <xf numFmtId="185" fontId="42" fillId="0" borderId="0" xfId="1" applyNumberFormat="1" applyFont="1" applyFill="1" applyBorder="1" applyAlignment="1" applyProtection="1">
      <protection locked="0"/>
    </xf>
    <xf numFmtId="196" fontId="60" fillId="0" borderId="0" xfId="1" applyNumberFormat="1" applyFont="1" applyFill="1" applyBorder="1" applyAlignment="1" applyProtection="1">
      <protection locked="0"/>
    </xf>
    <xf numFmtId="0" fontId="49" fillId="0" borderId="0" xfId="0" applyFont="1" applyBorder="1"/>
    <xf numFmtId="0" fontId="43" fillId="0" borderId="0" xfId="0" applyFont="1" applyBorder="1"/>
    <xf numFmtId="8" fontId="49" fillId="0" borderId="0" xfId="2" applyNumberFormat="1" applyFont="1" applyFill="1" applyBorder="1" applyAlignment="1" applyProtection="1"/>
    <xf numFmtId="174" fontId="42" fillId="0" borderId="0" xfId="1" applyNumberFormat="1" applyFont="1" applyBorder="1" applyAlignment="1" applyProtection="1"/>
    <xf numFmtId="4" fontId="49" fillId="0" borderId="0" xfId="2" applyNumberFormat="1" applyFont="1" applyFill="1" applyBorder="1" applyAlignment="1" applyProtection="1"/>
    <xf numFmtId="9" fontId="49" fillId="0" borderId="0" xfId="2" applyFont="1" applyFill="1" applyBorder="1" applyAlignment="1" applyProtection="1"/>
    <xf numFmtId="187" fontId="0" fillId="11" borderId="1" xfId="1" quotePrefix="1" applyNumberFormat="1" applyFont="1" applyFill="1" applyBorder="1" applyProtection="1">
      <protection locked="0"/>
    </xf>
    <xf numFmtId="187" fontId="0" fillId="0" borderId="1" xfId="1" quotePrefix="1" applyNumberFormat="1" applyFont="1" applyFill="1" applyBorder="1" applyProtection="1">
      <protection locked="0"/>
    </xf>
    <xf numFmtId="187" fontId="42" fillId="0" borderId="4" xfId="1" quotePrefix="1" applyNumberFormat="1" applyFill="1" applyBorder="1" applyProtection="1">
      <protection locked="0"/>
    </xf>
    <xf numFmtId="0" fontId="43" fillId="0" borderId="5" xfId="0" applyFont="1" applyFill="1" applyBorder="1"/>
    <xf numFmtId="0" fontId="12" fillId="0" borderId="0" xfId="3" applyFont="1" applyFill="1" applyBorder="1" applyAlignment="1" applyProtection="1">
      <alignment horizontal="left"/>
      <protection locked="0"/>
    </xf>
    <xf numFmtId="2" fontId="10" fillId="0" borderId="0" xfId="2" applyNumberFormat="1" applyFont="1" applyFill="1" applyBorder="1" applyAlignment="1" applyProtection="1"/>
    <xf numFmtId="169" fontId="42" fillId="0" borderId="0" xfId="1" applyNumberFormat="1" applyFont="1" applyFill="1" applyBorder="1" applyAlignment="1" applyProtection="1">
      <protection locked="0"/>
    </xf>
    <xf numFmtId="170" fontId="0" fillId="17" borderId="5" xfId="0" applyNumberFormat="1" applyFill="1" applyBorder="1"/>
    <xf numFmtId="3" fontId="4" fillId="0" borderId="0" xfId="2" applyNumberFormat="1" applyFont="1" applyBorder="1" applyAlignment="1" applyProtection="1"/>
    <xf numFmtId="3" fontId="11" fillId="0" borderId="0" xfId="2" applyNumberFormat="1" applyFont="1" applyFill="1" applyBorder="1" applyAlignment="1" applyProtection="1"/>
    <xf numFmtId="3" fontId="11" fillId="0" borderId="0" xfId="2" applyNumberFormat="1" applyFont="1" applyBorder="1" applyAlignment="1" applyProtection="1"/>
    <xf numFmtId="3" fontId="43" fillId="0" borderId="0" xfId="0" applyNumberFormat="1" applyFont="1"/>
    <xf numFmtId="197" fontId="0" fillId="17" borderId="5" xfId="0" applyNumberFormat="1" applyFill="1" applyBorder="1"/>
    <xf numFmtId="197" fontId="0" fillId="16" borderId="5" xfId="0" applyNumberFormat="1" applyFill="1" applyBorder="1"/>
    <xf numFmtId="0" fontId="10" fillId="0" borderId="4" xfId="0" applyFont="1" applyBorder="1"/>
    <xf numFmtId="9" fontId="50" fillId="0" borderId="12" xfId="2" applyFont="1" applyFill="1" applyBorder="1"/>
    <xf numFmtId="0" fontId="43" fillId="0" borderId="5" xfId="0" applyFont="1" applyBorder="1"/>
    <xf numFmtId="197" fontId="0" fillId="0" borderId="5" xfId="0" applyNumberFormat="1" applyFill="1" applyBorder="1"/>
    <xf numFmtId="3" fontId="49" fillId="0" borderId="0" xfId="0" applyNumberFormat="1" applyFont="1"/>
    <xf numFmtId="0" fontId="60" fillId="0" borderId="0" xfId="0" applyFont="1" applyBorder="1"/>
    <xf numFmtId="0" fontId="11" fillId="4" borderId="1" xfId="0" applyFont="1" applyFill="1" applyBorder="1"/>
    <xf numFmtId="0" fontId="11" fillId="5" borderId="1" xfId="0" applyFont="1" applyFill="1" applyBorder="1"/>
    <xf numFmtId="0" fontId="11" fillId="0" borderId="1" xfId="0" applyFont="1" applyFill="1" applyBorder="1"/>
    <xf numFmtId="0" fontId="49" fillId="0" borderId="1" xfId="0" applyFont="1" applyBorder="1"/>
    <xf numFmtId="3" fontId="49" fillId="0" borderId="1" xfId="0" applyNumberFormat="1" applyFont="1" applyFill="1" applyBorder="1"/>
    <xf numFmtId="3" fontId="43" fillId="0" borderId="1" xfId="0" applyNumberFormat="1" applyFont="1" applyBorder="1"/>
    <xf numFmtId="197" fontId="42" fillId="0" borderId="5" xfId="0" applyNumberFormat="1" applyFont="1" applyBorder="1"/>
    <xf numFmtId="197" fontId="42" fillId="16" borderId="5" xfId="0" applyNumberFormat="1" applyFont="1" applyFill="1" applyBorder="1"/>
    <xf numFmtId="197" fontId="42" fillId="17" borderId="5" xfId="0" applyNumberFormat="1" applyFont="1" applyFill="1" applyBorder="1"/>
    <xf numFmtId="14" fontId="11" fillId="0" borderId="0" xfId="0" applyNumberFormat="1" applyFont="1" applyFill="1" applyBorder="1"/>
    <xf numFmtId="166" fontId="0" fillId="0" borderId="0" xfId="1" applyNumberFormat="1" applyFont="1" applyFill="1" applyBorder="1" applyAlignment="1" applyProtection="1">
      <protection locked="0"/>
    </xf>
    <xf numFmtId="196" fontId="42" fillId="0" borderId="0" xfId="0" applyNumberFormat="1" applyFont="1"/>
    <xf numFmtId="198" fontId="42" fillId="0" borderId="5" xfId="1" applyNumberFormat="1" applyFont="1" applyFill="1" applyBorder="1" applyAlignment="1" applyProtection="1">
      <protection locked="0"/>
    </xf>
    <xf numFmtId="190" fontId="60" fillId="0" borderId="0" xfId="1" applyNumberFormat="1" applyFont="1" applyFill="1" applyBorder="1" applyAlignment="1" applyProtection="1"/>
    <xf numFmtId="0" fontId="4" fillId="0" borderId="0" xfId="0" applyFont="1" applyFill="1" applyBorder="1" applyProtection="1">
      <protection locked="0"/>
    </xf>
    <xf numFmtId="0" fontId="10" fillId="4" borderId="4" xfId="0" applyFont="1" applyFill="1" applyBorder="1"/>
    <xf numFmtId="0" fontId="10" fillId="5" borderId="4" xfId="0" applyFont="1" applyFill="1" applyBorder="1"/>
    <xf numFmtId="198" fontId="42" fillId="16" borderId="5" xfId="1" applyNumberFormat="1" applyFont="1" applyFill="1" applyBorder="1" applyAlignment="1" applyProtection="1">
      <protection locked="0"/>
    </xf>
    <xf numFmtId="198" fontId="42" fillId="17" borderId="5" xfId="1" applyNumberFormat="1" applyFont="1" applyFill="1" applyBorder="1" applyAlignment="1" applyProtection="1">
      <protection locked="0"/>
    </xf>
    <xf numFmtId="197" fontId="42" fillId="0" borderId="0" xfId="0" applyNumberFormat="1" applyFont="1" applyFill="1" applyBorder="1"/>
    <xf numFmtId="197" fontId="0" fillId="0" borderId="0" xfId="0" applyNumberFormat="1" applyFill="1" applyBorder="1"/>
    <xf numFmtId="170" fontId="0" fillId="0" borderId="0" xfId="0" applyNumberFormat="1" applyFill="1" applyBorder="1"/>
    <xf numFmtId="0" fontId="0" fillId="0" borderId="0" xfId="0" applyAlignment="1">
      <alignment horizontal="left"/>
    </xf>
    <xf numFmtId="9" fontId="10" fillId="0" borderId="0" xfId="2" applyNumberFormat="1" applyFont="1" applyBorder="1" applyAlignment="1" applyProtection="1">
      <alignment horizontal="left"/>
    </xf>
    <xf numFmtId="0" fontId="0" fillId="0" borderId="4" xfId="0" applyBorder="1"/>
    <xf numFmtId="0" fontId="60" fillId="0" borderId="48" xfId="0" applyFont="1" applyBorder="1"/>
    <xf numFmtId="0" fontId="60" fillId="0" borderId="4" xfId="0" applyFont="1" applyBorder="1"/>
    <xf numFmtId="14" fontId="60" fillId="0" borderId="0" xfId="1" applyNumberFormat="1" applyFont="1" applyFill="1" applyBorder="1" applyAlignment="1" applyProtection="1"/>
    <xf numFmtId="196" fontId="42" fillId="0" borderId="5" xfId="0" applyNumberFormat="1" applyFont="1" applyBorder="1"/>
    <xf numFmtId="196" fontId="42" fillId="10" borderId="5" xfId="0" applyNumberFormat="1" applyFont="1" applyFill="1" applyBorder="1"/>
    <xf numFmtId="196" fontId="42" fillId="14" borderId="5" xfId="0" applyNumberFormat="1" applyFont="1" applyFill="1" applyBorder="1"/>
    <xf numFmtId="196" fontId="42" fillId="0" borderId="0" xfId="0" applyNumberFormat="1" applyFont="1" applyFill="1" applyBorder="1"/>
    <xf numFmtId="0" fontId="49" fillId="14" borderId="45" xfId="0" applyFont="1" applyFill="1" applyBorder="1" applyAlignment="1">
      <alignment vertical="top" readingOrder="1"/>
    </xf>
    <xf numFmtId="0" fontId="49" fillId="14" borderId="55" xfId="0" applyFont="1" applyFill="1" applyBorder="1" applyAlignment="1">
      <alignment vertical="top" readingOrder="1"/>
    </xf>
    <xf numFmtId="165" fontId="49" fillId="0" borderId="0" xfId="1" applyFont="1" applyBorder="1" applyAlignment="1" applyProtection="1">
      <alignment horizontal="left"/>
    </xf>
    <xf numFmtId="3" fontId="43" fillId="0" borderId="0" xfId="2" applyNumberFormat="1" applyFont="1" applyBorder="1" applyAlignment="1" applyProtection="1"/>
    <xf numFmtId="198" fontId="42" fillId="0" borderId="5" xfId="1" applyNumberFormat="1" applyFont="1" applyFill="1" applyBorder="1" applyAlignment="1" applyProtection="1"/>
    <xf numFmtId="3" fontId="49" fillId="0" borderId="0" xfId="2" applyNumberFormat="1" applyFont="1" applyBorder="1" applyAlignment="1" applyProtection="1"/>
    <xf numFmtId="198" fontId="42" fillId="9" borderId="5" xfId="1" applyNumberFormat="1" applyFont="1" applyFill="1" applyBorder="1" applyAlignment="1" applyProtection="1"/>
    <xf numFmtId="190" fontId="42" fillId="0" borderId="8" xfId="1" applyNumberFormat="1" applyFont="1" applyFill="1" applyBorder="1" applyAlignment="1" applyProtection="1"/>
    <xf numFmtId="190" fontId="42" fillId="0" borderId="5" xfId="1" applyNumberFormat="1" applyFont="1" applyFill="1" applyBorder="1" applyAlignment="1" applyProtection="1"/>
    <xf numFmtId="3" fontId="49" fillId="0" borderId="1" xfId="0" applyNumberFormat="1" applyFont="1" applyFill="1" applyBorder="1" applyProtection="1">
      <protection locked="0"/>
    </xf>
    <xf numFmtId="166" fontId="42" fillId="3" borderId="0" xfId="1" applyNumberFormat="1" applyFont="1" applyFill="1" applyBorder="1" applyAlignment="1" applyProtection="1"/>
    <xf numFmtId="165" fontId="43" fillId="0" borderId="0" xfId="1" applyFont="1" applyBorder="1" applyAlignment="1" applyProtection="1">
      <alignment horizontal="left"/>
    </xf>
    <xf numFmtId="175" fontId="10" fillId="0" borderId="0" xfId="1" applyNumberFormat="1" applyFont="1" applyBorder="1" applyAlignment="1" applyProtection="1"/>
    <xf numFmtId="3" fontId="43" fillId="0" borderId="0" xfId="2" applyNumberFormat="1" applyFont="1" applyFill="1" applyBorder="1" applyAlignment="1" applyProtection="1"/>
    <xf numFmtId="165" fontId="43" fillId="0" borderId="0" xfId="1" applyFont="1" applyBorder="1" applyAlignment="1" applyProtection="1"/>
    <xf numFmtId="175" fontId="4" fillId="0" borderId="0" xfId="0" applyNumberFormat="1" applyFont="1"/>
    <xf numFmtId="3" fontId="44" fillId="0" borderId="0" xfId="0" applyNumberFormat="1" applyFont="1"/>
    <xf numFmtId="166" fontId="42" fillId="11" borderId="5" xfId="1" applyNumberFormat="1" applyFill="1" applyBorder="1"/>
    <xf numFmtId="187" fontId="42" fillId="11" borderId="5" xfId="1" quotePrefix="1" applyNumberFormat="1" applyFill="1" applyBorder="1"/>
    <xf numFmtId="9" fontId="48" fillId="0" borderId="0" xfId="2" applyFont="1" applyBorder="1" applyAlignment="1" applyProtection="1"/>
    <xf numFmtId="0" fontId="49" fillId="0" borderId="0" xfId="0" applyFont="1"/>
    <xf numFmtId="3" fontId="48" fillId="0" borderId="0" xfId="0" applyNumberFormat="1" applyFont="1"/>
    <xf numFmtId="172" fontId="42" fillId="0" borderId="5" xfId="1" applyNumberFormat="1" applyFont="1" applyBorder="1" applyAlignment="1" applyProtection="1">
      <alignment horizontal="right"/>
    </xf>
    <xf numFmtId="165" fontId="0" fillId="0" borderId="0" xfId="1" applyFont="1" applyFill="1" applyBorder="1" applyAlignment="1" applyProtection="1"/>
    <xf numFmtId="191" fontId="42" fillId="18" borderId="13" xfId="1" applyNumberFormat="1" applyFont="1" applyFill="1" applyBorder="1" applyAlignment="1" applyProtection="1">
      <alignment horizontal="right"/>
    </xf>
    <xf numFmtId="191" fontId="42" fillId="18" borderId="8" xfId="1" applyNumberFormat="1" applyFont="1" applyFill="1" applyBorder="1" applyAlignment="1" applyProtection="1">
      <alignment horizontal="right"/>
    </xf>
    <xf numFmtId="191" fontId="42" fillId="18" borderId="5" xfId="1" applyNumberFormat="1" applyFont="1" applyFill="1" applyBorder="1" applyAlignment="1" applyProtection="1">
      <alignment horizontal="right"/>
    </xf>
    <xf numFmtId="191" fontId="42" fillId="16" borderId="5" xfId="1" applyNumberFormat="1" applyFont="1" applyFill="1" applyBorder="1" applyAlignment="1" applyProtection="1">
      <alignment horizontal="right"/>
    </xf>
    <xf numFmtId="191" fontId="42" fillId="16" borderId="8" xfId="1" applyNumberFormat="1" applyFont="1" applyFill="1" applyBorder="1" applyAlignment="1" applyProtection="1">
      <alignment horizontal="right"/>
    </xf>
    <xf numFmtId="7" fontId="42" fillId="16" borderId="5" xfId="1" applyNumberFormat="1" applyFont="1" applyFill="1" applyBorder="1" applyAlignment="1" applyProtection="1"/>
    <xf numFmtId="191" fontId="42" fillId="19" borderId="13" xfId="1" applyNumberFormat="1" applyFont="1" applyFill="1" applyBorder="1" applyAlignment="1" applyProtection="1"/>
    <xf numFmtId="191" fontId="42" fillId="19" borderId="8" xfId="1" applyNumberFormat="1" applyFont="1" applyFill="1" applyBorder="1" applyAlignment="1" applyProtection="1"/>
    <xf numFmtId="191" fontId="42" fillId="19" borderId="5" xfId="1" applyNumberFormat="1" applyFont="1" applyFill="1" applyBorder="1" applyAlignment="1" applyProtection="1"/>
    <xf numFmtId="191" fontId="42" fillId="17" borderId="5" xfId="1" applyNumberFormat="1" applyFont="1" applyFill="1" applyBorder="1" applyAlignment="1" applyProtection="1"/>
    <xf numFmtId="172" fontId="0" fillId="17" borderId="52" xfId="1" applyNumberFormat="1" applyFont="1" applyFill="1" applyBorder="1" applyAlignment="1" applyProtection="1"/>
    <xf numFmtId="172" fontId="0" fillId="16" borderId="5" xfId="1" applyNumberFormat="1" applyFont="1" applyFill="1" applyBorder="1" applyAlignment="1" applyProtection="1"/>
    <xf numFmtId="172" fontId="0" fillId="17" borderId="5" xfId="1" applyNumberFormat="1" applyFont="1" applyFill="1" applyBorder="1" applyAlignment="1" applyProtection="1"/>
    <xf numFmtId="172" fontId="0" fillId="16" borderId="8" xfId="1" applyNumberFormat="1" applyFont="1" applyFill="1" applyBorder="1" applyAlignment="1" applyProtection="1"/>
    <xf numFmtId="191" fontId="42" fillId="16" borderId="13" xfId="1" applyNumberFormat="1" applyFont="1" applyFill="1" applyBorder="1" applyAlignment="1" applyProtection="1"/>
    <xf numFmtId="191" fontId="42" fillId="16" borderId="8" xfId="1" applyNumberFormat="1" applyFont="1" applyFill="1" applyBorder="1" applyAlignment="1" applyProtection="1"/>
    <xf numFmtId="191" fontId="42" fillId="16" borderId="5" xfId="1" applyNumberFormat="1" applyFont="1" applyFill="1" applyBorder="1" applyAlignment="1" applyProtection="1"/>
    <xf numFmtId="191" fontId="0" fillId="18" borderId="13" xfId="1" applyNumberFormat="1" applyFont="1" applyFill="1" applyBorder="1" applyAlignment="1" applyProtection="1"/>
    <xf numFmtId="191" fontId="0" fillId="18" borderId="8" xfId="1" applyNumberFormat="1" applyFont="1" applyFill="1" applyBorder="1" applyAlignment="1" applyProtection="1"/>
    <xf numFmtId="191" fontId="0" fillId="18" borderId="5" xfId="1" applyNumberFormat="1" applyFont="1" applyFill="1" applyBorder="1" applyAlignment="1" applyProtection="1"/>
    <xf numFmtId="191" fontId="0" fillId="16" borderId="14" xfId="1" applyNumberFormat="1" applyFont="1" applyFill="1" applyBorder="1" applyAlignment="1" applyProtection="1"/>
    <xf numFmtId="191" fontId="0" fillId="16" borderId="5" xfId="1" applyNumberFormat="1" applyFont="1" applyFill="1" applyBorder="1" applyAlignment="1" applyProtection="1"/>
    <xf numFmtId="191" fontId="42" fillId="18" borderId="14" xfId="1" applyNumberFormat="1" applyFont="1" applyFill="1" applyBorder="1" applyAlignment="1" applyProtection="1"/>
    <xf numFmtId="191" fontId="42" fillId="18" borderId="5" xfId="1" applyNumberFormat="1" applyFont="1" applyFill="1" applyBorder="1" applyAlignment="1" applyProtection="1"/>
    <xf numFmtId="191" fontId="42" fillId="16" borderId="5" xfId="0" applyNumberFormat="1" applyFont="1" applyFill="1" applyBorder="1"/>
    <xf numFmtId="191" fontId="42" fillId="17" borderId="13" xfId="1" applyNumberFormat="1" applyFont="1" applyFill="1" applyBorder="1" applyAlignment="1" applyProtection="1"/>
    <xf numFmtId="191" fontId="42" fillId="17" borderId="8" xfId="1" applyNumberFormat="1" applyFont="1" applyFill="1" applyBorder="1" applyAlignment="1" applyProtection="1"/>
    <xf numFmtId="191" fontId="0" fillId="19" borderId="13" xfId="1" applyNumberFormat="1" applyFont="1" applyFill="1" applyBorder="1" applyAlignment="1" applyProtection="1"/>
    <xf numFmtId="191" fontId="0" fillId="19" borderId="8" xfId="1" applyNumberFormat="1" applyFont="1" applyFill="1" applyBorder="1" applyAlignment="1" applyProtection="1"/>
    <xf numFmtId="191" fontId="0" fillId="17" borderId="13" xfId="1" applyNumberFormat="1" applyFont="1" applyFill="1" applyBorder="1" applyAlignment="1" applyProtection="1"/>
    <xf numFmtId="191" fontId="0" fillId="17" borderId="5" xfId="1" applyNumberFormat="1" applyFont="1" applyFill="1" applyBorder="1" applyAlignment="1" applyProtection="1"/>
    <xf numFmtId="191" fontId="42" fillId="19" borderId="14" xfId="1" applyNumberFormat="1" applyFont="1" applyFill="1" applyBorder="1" applyAlignment="1" applyProtection="1"/>
    <xf numFmtId="191" fontId="42" fillId="17" borderId="5" xfId="0" applyNumberFormat="1" applyFont="1" applyFill="1" applyBorder="1"/>
    <xf numFmtId="0" fontId="49" fillId="17" borderId="2" xfId="0" applyFont="1" applyFill="1" applyBorder="1"/>
    <xf numFmtId="0" fontId="49" fillId="17" borderId="4" xfId="0" applyFont="1" applyFill="1" applyBorder="1"/>
    <xf numFmtId="0" fontId="42" fillId="17" borderId="4" xfId="0" applyFont="1" applyFill="1" applyBorder="1"/>
    <xf numFmtId="0" fontId="11" fillId="17" borderId="4" xfId="0" applyFont="1" applyFill="1" applyBorder="1"/>
    <xf numFmtId="0" fontId="10" fillId="17" borderId="4" xfId="0" applyFont="1" applyFill="1" applyBorder="1"/>
    <xf numFmtId="0" fontId="49" fillId="16" borderId="2" xfId="0" applyFont="1" applyFill="1" applyBorder="1"/>
    <xf numFmtId="0" fontId="11" fillId="16" borderId="4" xfId="0" applyFont="1" applyFill="1" applyBorder="1"/>
    <xf numFmtId="0" fontId="10" fillId="16" borderId="4" xfId="0" applyFont="1" applyFill="1" applyBorder="1"/>
    <xf numFmtId="0" fontId="49" fillId="16" borderId="4" xfId="0" applyFont="1" applyFill="1" applyBorder="1"/>
    <xf numFmtId="0" fontId="42" fillId="16" borderId="4" xfId="0" applyFont="1" applyFill="1" applyBorder="1"/>
    <xf numFmtId="0" fontId="11" fillId="16" borderId="2" xfId="0" applyFont="1" applyFill="1" applyBorder="1"/>
    <xf numFmtId="0" fontId="4" fillId="16" borderId="4" xfId="0" applyFont="1" applyFill="1" applyBorder="1"/>
    <xf numFmtId="0" fontId="11" fillId="17" borderId="2" xfId="0" applyFont="1" applyFill="1" applyBorder="1"/>
    <xf numFmtId="0" fontId="4" fillId="17" borderId="4" xfId="0" applyFont="1" applyFill="1" applyBorder="1"/>
    <xf numFmtId="191" fontId="42" fillId="20" borderId="5" xfId="1" applyNumberFormat="1" applyFont="1" applyFill="1" applyBorder="1" applyAlignment="1" applyProtection="1">
      <alignment horizontal="right"/>
    </xf>
    <xf numFmtId="191" fontId="42" fillId="20" borderId="5" xfId="1" applyNumberFormat="1" applyFont="1" applyFill="1" applyBorder="1" applyAlignment="1" applyProtection="1"/>
    <xf numFmtId="1" fontId="48" fillId="0" borderId="0" xfId="2" applyNumberFormat="1" applyFont="1" applyFill="1" applyBorder="1" applyAlignment="1" applyProtection="1"/>
    <xf numFmtId="0" fontId="0" fillId="14" borderId="0" xfId="0" applyFill="1"/>
    <xf numFmtId="169" fontId="0" fillId="14" borderId="0" xfId="1" applyNumberFormat="1" applyFont="1" applyFill="1" applyBorder="1" applyAlignment="1" applyProtection="1"/>
    <xf numFmtId="167" fontId="11" fillId="14" borderId="0" xfId="1" applyNumberFormat="1" applyFont="1" applyFill="1" applyBorder="1" applyAlignment="1" applyProtection="1"/>
    <xf numFmtId="179" fontId="0" fillId="0" borderId="0" xfId="0" applyNumberFormat="1" applyFill="1"/>
    <xf numFmtId="1" fontId="0" fillId="0" borderId="0" xfId="0" applyNumberFormat="1"/>
    <xf numFmtId="187" fontId="42" fillId="11" borderId="1" xfId="1" quotePrefix="1" applyNumberFormat="1" applyFont="1" applyFill="1" applyBorder="1" applyProtection="1">
      <protection locked="0"/>
    </xf>
    <xf numFmtId="191" fontId="42" fillId="9" borderId="13" xfId="1" applyNumberFormat="1" applyFont="1" applyFill="1" applyBorder="1" applyAlignment="1" applyProtection="1"/>
    <xf numFmtId="191" fontId="42" fillId="0" borderId="0" xfId="1" applyNumberFormat="1" applyFont="1" applyFill="1" applyBorder="1" applyAlignment="1" applyProtection="1"/>
    <xf numFmtId="4" fontId="0" fillId="0" borderId="0" xfId="0" applyNumberFormat="1"/>
    <xf numFmtId="0" fontId="46" fillId="0" borderId="0" xfId="0" applyFont="1"/>
    <xf numFmtId="14" fontId="46" fillId="0" borderId="0" xfId="0" applyNumberFormat="1" applyFont="1" applyFill="1"/>
    <xf numFmtId="9" fontId="46" fillId="0" borderId="0" xfId="2" applyFont="1" applyBorder="1" applyAlignment="1" applyProtection="1"/>
    <xf numFmtId="172" fontId="4" fillId="2" borderId="5" xfId="1" applyNumberFormat="1" applyFont="1" applyFill="1" applyBorder="1" applyProtection="1">
      <protection locked="0"/>
    </xf>
    <xf numFmtId="14" fontId="46" fillId="0" borderId="0" xfId="0" applyNumberFormat="1" applyFont="1"/>
    <xf numFmtId="3" fontId="42" fillId="9" borderId="1" xfId="0" applyNumberFormat="1" applyFont="1" applyFill="1" applyBorder="1"/>
    <xf numFmtId="10" fontId="11" fillId="0" borderId="5" xfId="1" applyNumberFormat="1" applyFont="1" applyFill="1" applyBorder="1" applyAlignment="1" applyProtection="1"/>
    <xf numFmtId="10" fontId="4" fillId="9" borderId="5" xfId="1" applyNumberFormat="1" applyFont="1" applyFill="1" applyBorder="1" applyAlignment="1" applyProtection="1">
      <protection locked="0"/>
    </xf>
    <xf numFmtId="10" fontId="45" fillId="0" borderId="1" xfId="4" applyNumberFormat="1" applyFont="1" applyFill="1" applyBorder="1"/>
    <xf numFmtId="0" fontId="46" fillId="0" borderId="22" xfId="0" applyFont="1" applyBorder="1" applyAlignment="1">
      <alignment vertical="top" readingOrder="1"/>
    </xf>
    <xf numFmtId="0" fontId="38" fillId="0" borderId="22" xfId="0" applyFont="1" applyFill="1" applyBorder="1"/>
    <xf numFmtId="166" fontId="38" fillId="0" borderId="22" xfId="1" applyNumberFormat="1" applyFont="1" applyFill="1" applyBorder="1" applyAlignment="1" applyProtection="1"/>
    <xf numFmtId="4" fontId="38" fillId="0" borderId="45" xfId="0" applyNumberFormat="1" applyFont="1" applyBorder="1" applyAlignment="1">
      <alignment vertical="top" readingOrder="1"/>
    </xf>
    <xf numFmtId="171" fontId="38" fillId="0" borderId="57" xfId="0" applyNumberFormat="1" applyFont="1" applyBorder="1" applyAlignment="1">
      <alignment horizontal="right" vertical="top" readingOrder="1"/>
    </xf>
    <xf numFmtId="0" fontId="26" fillId="0" borderId="22" xfId="0" applyFont="1" applyFill="1" applyBorder="1"/>
    <xf numFmtId="0" fontId="46" fillId="0" borderId="22" xfId="0" applyFont="1" applyFill="1" applyBorder="1" applyAlignment="1">
      <alignment vertical="top" readingOrder="1"/>
    </xf>
    <xf numFmtId="0" fontId="38" fillId="0" borderId="30" xfId="0" applyFont="1" applyFill="1" applyBorder="1"/>
    <xf numFmtId="166" fontId="38" fillId="0" borderId="31" xfId="1" applyNumberFormat="1" applyFont="1" applyFill="1" applyBorder="1" applyAlignment="1" applyProtection="1"/>
    <xf numFmtId="0" fontId="42" fillId="0" borderId="0" xfId="0" applyFont="1" applyAlignment="1">
      <alignment wrapText="1"/>
    </xf>
    <xf numFmtId="166" fontId="26" fillId="0" borderId="22" xfId="1" applyNumberFormat="1" applyFont="1" applyFill="1" applyBorder="1" applyAlignment="1" applyProtection="1"/>
    <xf numFmtId="166" fontId="38" fillId="0" borderId="1" xfId="0" applyNumberFormat="1" applyFont="1" applyFill="1" applyBorder="1" applyAlignment="1">
      <alignment vertical="top" readingOrder="1"/>
    </xf>
    <xf numFmtId="0" fontId="58" fillId="0" borderId="32" xfId="0" applyFont="1" applyFill="1" applyBorder="1" applyAlignment="1">
      <alignment horizontal="left"/>
    </xf>
    <xf numFmtId="165" fontId="38" fillId="0" borderId="33" xfId="1" applyFont="1" applyFill="1" applyBorder="1" applyAlignment="1" applyProtection="1">
      <alignment horizontal="center"/>
    </xf>
    <xf numFmtId="0" fontId="38" fillId="0" borderId="33" xfId="0" applyFont="1" applyFill="1" applyBorder="1" applyAlignment="1">
      <alignment horizontal="center"/>
    </xf>
    <xf numFmtId="166" fontId="38" fillId="0" borderId="33" xfId="1" applyNumberFormat="1" applyFont="1" applyFill="1" applyBorder="1" applyAlignment="1" applyProtection="1"/>
    <xf numFmtId="0" fontId="42" fillId="0" borderId="43" xfId="0" applyFont="1" applyFill="1" applyBorder="1" applyAlignment="1">
      <alignment horizontal="right" vertical="top" readingOrder="1"/>
    </xf>
    <xf numFmtId="0" fontId="26" fillId="0" borderId="26" xfId="0" applyFont="1" applyFill="1" applyBorder="1"/>
    <xf numFmtId="0" fontId="38" fillId="0" borderId="27" xfId="0" applyFont="1" applyFill="1" applyBorder="1"/>
    <xf numFmtId="166" fontId="38" fillId="0" borderId="28" xfId="1" applyNumberFormat="1" applyFont="1" applyFill="1" applyBorder="1" applyAlignment="1" applyProtection="1"/>
    <xf numFmtId="0" fontId="38" fillId="0" borderId="22" xfId="0" applyFont="1" applyFill="1" applyBorder="1" applyAlignment="1">
      <alignment horizontal="right"/>
    </xf>
    <xf numFmtId="2" fontId="38" fillId="0" borderId="32" xfId="0" applyNumberFormat="1" applyFont="1" applyFill="1" applyBorder="1"/>
    <xf numFmtId="2" fontId="26" fillId="0" borderId="33" xfId="0" applyNumberFormat="1" applyFont="1" applyFill="1" applyBorder="1"/>
    <xf numFmtId="2" fontId="38" fillId="0" borderId="33" xfId="0" applyNumberFormat="1" applyFont="1" applyFill="1" applyBorder="1"/>
    <xf numFmtId="2" fontId="38" fillId="0" borderId="33" xfId="1" applyNumberFormat="1" applyFont="1" applyFill="1" applyBorder="1" applyAlignment="1" applyProtection="1"/>
    <xf numFmtId="166" fontId="38" fillId="0" borderId="34" xfId="1" applyNumberFormat="1" applyFont="1" applyFill="1" applyBorder="1" applyAlignment="1" applyProtection="1"/>
    <xf numFmtId="166" fontId="59" fillId="0" borderId="31" xfId="1" applyNumberFormat="1" applyFont="1" applyFill="1" applyBorder="1" applyAlignment="1" applyProtection="1">
      <alignment horizontal="center"/>
    </xf>
    <xf numFmtId="0" fontId="38" fillId="0" borderId="31" xfId="1" applyNumberFormat="1" applyFont="1" applyFill="1" applyBorder="1" applyAlignment="1" applyProtection="1"/>
    <xf numFmtId="175" fontId="38" fillId="0" borderId="31" xfId="1" applyNumberFormat="1" applyFont="1" applyFill="1" applyBorder="1" applyAlignment="1" applyProtection="1"/>
    <xf numFmtId="0" fontId="60" fillId="0" borderId="22" xfId="0" applyFont="1" applyBorder="1" applyAlignment="1">
      <alignment vertical="top" readingOrder="1"/>
    </xf>
    <xf numFmtId="178" fontId="49" fillId="14" borderId="23" xfId="0" applyNumberFormat="1" applyFont="1" applyFill="1" applyBorder="1" applyAlignment="1">
      <alignment horizontal="right"/>
    </xf>
    <xf numFmtId="201" fontId="42" fillId="0" borderId="18" xfId="0" applyNumberFormat="1" applyFont="1" applyFill="1" applyBorder="1" applyAlignment="1">
      <alignment vertical="top" readingOrder="1"/>
    </xf>
    <xf numFmtId="202" fontId="38" fillId="0" borderId="34" xfId="1" applyNumberFormat="1" applyFont="1" applyFill="1" applyBorder="1" applyAlignment="1" applyProtection="1"/>
    <xf numFmtId="172" fontId="17" fillId="0" borderId="0" xfId="1" applyNumberFormat="1" applyFont="1" applyFill="1" applyBorder="1" applyAlignment="1" applyProtection="1">
      <protection locked="0"/>
    </xf>
    <xf numFmtId="171" fontId="0" fillId="0" borderId="0" xfId="1" applyNumberFormat="1" applyFont="1" applyFill="1" applyBorder="1" applyAlignment="1" applyProtection="1"/>
    <xf numFmtId="0" fontId="40" fillId="0" borderId="0" xfId="0" applyFont="1" applyFill="1" applyBorder="1" applyAlignment="1">
      <alignment horizontal="center"/>
    </xf>
    <xf numFmtId="166" fontId="14" fillId="0" borderId="13" xfId="1" applyNumberFormat="1" applyFont="1" applyBorder="1" applyAlignment="1" applyProtection="1"/>
    <xf numFmtId="0" fontId="40" fillId="0" borderId="18" xfId="0" applyFont="1" applyFill="1" applyBorder="1" applyAlignment="1">
      <alignment horizontal="center"/>
    </xf>
    <xf numFmtId="166" fontId="39" fillId="0" borderId="18" xfId="1" applyNumberFormat="1" applyFont="1" applyBorder="1" applyAlignment="1" applyProtection="1"/>
    <xf numFmtId="166" fontId="31" fillId="0" borderId="0" xfId="1" applyNumberFormat="1" applyFont="1" applyFill="1" applyBorder="1" applyAlignment="1" applyProtection="1"/>
    <xf numFmtId="166" fontId="31" fillId="0" borderId="1" xfId="1" applyNumberFormat="1" applyFont="1" applyBorder="1" applyAlignment="1" applyProtection="1"/>
    <xf numFmtId="172" fontId="7" fillId="0" borderId="0" xfId="1" applyNumberFormat="1" applyFont="1" applyFill="1" applyBorder="1" applyAlignment="1" applyProtection="1">
      <protection locked="0"/>
    </xf>
    <xf numFmtId="172" fontId="7" fillId="0" borderId="5" xfId="1" applyNumberFormat="1" applyFont="1" applyFill="1" applyBorder="1" applyAlignment="1" applyProtection="1">
      <protection locked="0"/>
    </xf>
    <xf numFmtId="172" fontId="43" fillId="0" borderId="5" xfId="1" applyNumberFormat="1" applyFont="1" applyFill="1" applyBorder="1" applyAlignment="1" applyProtection="1"/>
    <xf numFmtId="14" fontId="4" fillId="0" borderId="5" xfId="0" applyNumberFormat="1" applyFont="1" applyFill="1" applyBorder="1" applyAlignment="1">
      <alignment vertical="center"/>
    </xf>
    <xf numFmtId="166" fontId="40" fillId="0" borderId="19" xfId="0" applyNumberFormat="1" applyFont="1" applyBorder="1"/>
    <xf numFmtId="0" fontId="31" fillId="0" borderId="15" xfId="0" applyFont="1" applyBorder="1" applyAlignment="1">
      <alignment vertical="top" wrapText="1"/>
    </xf>
    <xf numFmtId="0" fontId="14" fillId="0" borderId="20" xfId="0" applyFont="1" applyBorder="1"/>
    <xf numFmtId="0" fontId="45" fillId="0" borderId="19" xfId="0" applyFont="1" applyBorder="1"/>
    <xf numFmtId="0" fontId="49" fillId="0" borderId="46" xfId="0" applyFont="1" applyBorder="1"/>
    <xf numFmtId="199" fontId="49" fillId="0" borderId="2" xfId="0" applyNumberFormat="1" applyFont="1" applyBorder="1"/>
    <xf numFmtId="14" fontId="42" fillId="0" borderId="5" xfId="1" applyNumberFormat="1" applyFont="1" applyBorder="1" applyAlignment="1" applyProtection="1">
      <alignment horizontal="right"/>
    </xf>
    <xf numFmtId="14" fontId="42" fillId="9" borderId="5" xfId="1" applyNumberFormat="1" applyFont="1" applyFill="1" applyBorder="1" applyAlignment="1" applyProtection="1"/>
    <xf numFmtId="200" fontId="42" fillId="0" borderId="5" xfId="1" applyNumberFormat="1" applyFont="1" applyBorder="1" applyAlignment="1" applyProtection="1">
      <alignment horizontal="right"/>
    </xf>
    <xf numFmtId="172" fontId="44" fillId="0" borderId="5" xfId="1" applyNumberFormat="1" applyFont="1" applyBorder="1" applyAlignment="1" applyProtection="1">
      <alignment horizontal="right"/>
    </xf>
    <xf numFmtId="172" fontId="44" fillId="0" borderId="5" xfId="1" applyNumberFormat="1" applyFont="1" applyFill="1" applyBorder="1" applyAlignment="1" applyProtection="1">
      <protection locked="0"/>
    </xf>
    <xf numFmtId="172" fontId="44" fillId="0" borderId="0" xfId="1" applyNumberFormat="1" applyFont="1" applyFill="1" applyBorder="1" applyAlignment="1" applyProtection="1">
      <protection locked="0"/>
    </xf>
    <xf numFmtId="166" fontId="42" fillId="0" borderId="0" xfId="1" applyNumberFormat="1" applyFont="1" applyBorder="1" applyAlignment="1" applyProtection="1"/>
    <xf numFmtId="166" fontId="0" fillId="0" borderId="0" xfId="0" applyNumberFormat="1" applyFill="1"/>
    <xf numFmtId="9" fontId="43" fillId="0" borderId="53" xfId="2" applyFont="1" applyFill="1" applyBorder="1"/>
    <xf numFmtId="0" fontId="44" fillId="0" borderId="0" xfId="0" applyFont="1"/>
    <xf numFmtId="14" fontId="44" fillId="0" borderId="0" xfId="0" applyNumberFormat="1" applyFont="1"/>
    <xf numFmtId="178" fontId="44" fillId="0" borderId="0" xfId="0" applyNumberFormat="1" applyFont="1"/>
    <xf numFmtId="14" fontId="0" fillId="0" borderId="0" xfId="0" applyNumberFormat="1" applyFill="1"/>
    <xf numFmtId="166" fontId="0" fillId="0" borderId="0" xfId="1" applyNumberFormat="1" applyFont="1" applyFill="1" applyBorder="1" applyAlignment="1" applyProtection="1"/>
    <xf numFmtId="167" fontId="11" fillId="0" borderId="0" xfId="1" applyNumberFormat="1" applyFont="1" applyFill="1" applyBorder="1" applyAlignment="1" applyProtection="1"/>
    <xf numFmtId="169" fontId="0" fillId="0" borderId="0" xfId="1" applyNumberFormat="1" applyFont="1" applyFill="1" applyBorder="1" applyAlignment="1" applyProtection="1"/>
    <xf numFmtId="0" fontId="42" fillId="0" borderId="15" xfId="0" applyFont="1" applyBorder="1"/>
    <xf numFmtId="0" fontId="73" fillId="0" borderId="0" xfId="0" applyFont="1" applyBorder="1" applyAlignment="1">
      <alignment horizontal="center"/>
    </xf>
    <xf numFmtId="0" fontId="40" fillId="0" borderId="15" xfId="0" applyFont="1" applyBorder="1"/>
    <xf numFmtId="166" fontId="39" fillId="0" borderId="0" xfId="0" applyNumberFormat="1" applyFont="1" applyFill="1" applyBorder="1"/>
    <xf numFmtId="166" fontId="39" fillId="0" borderId="19" xfId="1" applyNumberFormat="1" applyFont="1" applyBorder="1" applyAlignment="1" applyProtection="1"/>
    <xf numFmtId="0" fontId="14" fillId="0" borderId="19" xfId="0" applyFont="1" applyBorder="1"/>
    <xf numFmtId="0" fontId="74" fillId="0" borderId="0" xfId="0" applyFont="1"/>
    <xf numFmtId="10" fontId="42" fillId="0" borderId="0" xfId="0" applyNumberFormat="1" applyFont="1"/>
    <xf numFmtId="166" fontId="42" fillId="0" borderId="0" xfId="1" applyNumberFormat="1" applyFont="1" applyFill="1" applyBorder="1" applyAlignment="1" applyProtection="1"/>
    <xf numFmtId="14" fontId="42" fillId="0" borderId="0" xfId="0" applyNumberFormat="1" applyFont="1"/>
    <xf numFmtId="166" fontId="44" fillId="0" borderId="5" xfId="1" applyNumberFormat="1" applyFont="1" applyFill="1" applyBorder="1" applyAlignment="1" applyProtection="1"/>
    <xf numFmtId="0" fontId="42" fillId="0" borderId="16" xfId="0" applyFont="1" applyFill="1" applyBorder="1"/>
    <xf numFmtId="0" fontId="42" fillId="0" borderId="17" xfId="0" applyFont="1" applyFill="1" applyBorder="1"/>
    <xf numFmtId="0" fontId="42" fillId="0" borderId="0" xfId="0" applyFont="1" applyFill="1" applyBorder="1"/>
    <xf numFmtId="0" fontId="42" fillId="0" borderId="18" xfId="0" applyFont="1" applyFill="1" applyBorder="1"/>
    <xf numFmtId="0" fontId="73" fillId="0" borderId="18" xfId="0" applyFont="1" applyBorder="1" applyAlignment="1">
      <alignment horizontal="center"/>
    </xf>
    <xf numFmtId="166" fontId="39" fillId="0" borderId="18" xfId="0" applyNumberFormat="1" applyFont="1" applyBorder="1"/>
    <xf numFmtId="0" fontId="42" fillId="0" borderId="19" xfId="0" applyFont="1" applyFill="1" applyBorder="1"/>
    <xf numFmtId="0" fontId="42" fillId="0" borderId="21" xfId="0" applyFont="1" applyFill="1" applyBorder="1"/>
    <xf numFmtId="0" fontId="31" fillId="0" borderId="18" xfId="0" applyFont="1" applyBorder="1"/>
    <xf numFmtId="0" fontId="31" fillId="0" borderId="21" xfId="0" applyFont="1" applyBorder="1"/>
    <xf numFmtId="187" fontId="0" fillId="0" borderId="0" xfId="0" applyNumberFormat="1" applyFill="1"/>
    <xf numFmtId="0" fontId="59" fillId="0" borderId="41" xfId="0" applyFont="1" applyFill="1" applyBorder="1" applyAlignment="1">
      <alignment vertical="top" readingOrder="1"/>
    </xf>
    <xf numFmtId="0" fontId="0" fillId="0" borderId="42" xfId="0" applyFill="1" applyBorder="1" applyAlignment="1">
      <alignment vertical="top" readingOrder="1"/>
    </xf>
    <xf numFmtId="4" fontId="0" fillId="0" borderId="42" xfId="0" applyNumberFormat="1" applyFill="1" applyBorder="1" applyAlignment="1">
      <alignment vertical="top" readingOrder="1"/>
    </xf>
    <xf numFmtId="10" fontId="49" fillId="0" borderId="0" xfId="2" applyNumberFormat="1" applyFont="1" applyFill="1" applyBorder="1" applyAlignment="1" applyProtection="1">
      <alignment horizontal="right"/>
    </xf>
    <xf numFmtId="191" fontId="42" fillId="9" borderId="5" xfId="1" applyNumberFormat="1" applyFont="1" applyFill="1" applyBorder="1" applyAlignment="1" applyProtection="1"/>
    <xf numFmtId="203" fontId="42" fillId="0" borderId="0" xfId="6" applyNumberFormat="1" applyFont="1"/>
    <xf numFmtId="44" fontId="42" fillId="0" borderId="0" xfId="0" applyNumberFormat="1" applyFont="1"/>
    <xf numFmtId="203" fontId="0" fillId="0" borderId="0" xfId="0" applyNumberFormat="1"/>
    <xf numFmtId="44" fontId="44" fillId="0" borderId="0" xfId="6" applyFont="1"/>
    <xf numFmtId="0" fontId="9" fillId="0" borderId="15" xfId="3" applyBorder="1" applyProtection="1"/>
    <xf numFmtId="0" fontId="4" fillId="0" borderId="5" xfId="0" applyFont="1" applyFill="1" applyBorder="1" applyProtection="1">
      <protection locked="0"/>
    </xf>
    <xf numFmtId="189" fontId="42" fillId="9" borderId="5" xfId="1" applyNumberFormat="1" applyFill="1" applyBorder="1" applyProtection="1">
      <protection locked="0"/>
    </xf>
    <xf numFmtId="0" fontId="1" fillId="0" borderId="0" xfId="0" applyFont="1" applyFill="1" applyBorder="1" applyAlignment="1"/>
    <xf numFmtId="0" fontId="76" fillId="0" borderId="0" xfId="0" applyFont="1"/>
    <xf numFmtId="0" fontId="1" fillId="0" borderId="1" xfId="4" applyFill="1" applyBorder="1"/>
    <xf numFmtId="0" fontId="1" fillId="0" borderId="1" xfId="4" applyBorder="1"/>
    <xf numFmtId="0" fontId="13" fillId="0" borderId="1" xfId="4" applyFont="1" applyBorder="1"/>
    <xf numFmtId="0" fontId="53" fillId="0" borderId="1" xfId="4" applyFont="1" applyBorder="1"/>
    <xf numFmtId="164" fontId="60" fillId="0" borderId="23" xfId="5" applyFont="1" applyFill="1" applyBorder="1" applyAlignment="1" applyProtection="1">
      <alignment horizontal="right"/>
    </xf>
    <xf numFmtId="0" fontId="1" fillId="0" borderId="23" xfId="4" applyFill="1" applyBorder="1"/>
    <xf numFmtId="0" fontId="1" fillId="0" borderId="23" xfId="4" applyBorder="1"/>
    <xf numFmtId="0" fontId="0" fillId="0" borderId="1" xfId="0" applyBorder="1"/>
    <xf numFmtId="0" fontId="45" fillId="0" borderId="1" xfId="4" applyFont="1" applyBorder="1"/>
    <xf numFmtId="0" fontId="45" fillId="0" borderId="23" xfId="4" applyFont="1" applyBorder="1"/>
    <xf numFmtId="0" fontId="45" fillId="0" borderId="23" xfId="4" applyFont="1" applyFill="1" applyBorder="1"/>
    <xf numFmtId="164" fontId="77" fillId="0" borderId="23" xfId="5" applyFont="1" applyFill="1" applyBorder="1" applyAlignment="1" applyProtection="1">
      <alignment horizontal="right"/>
    </xf>
    <xf numFmtId="0" fontId="78" fillId="0" borderId="5" xfId="4" applyFont="1" applyBorder="1"/>
    <xf numFmtId="0" fontId="78" fillId="0" borderId="5" xfId="4" applyFont="1" applyFill="1" applyBorder="1"/>
    <xf numFmtId="0" fontId="77" fillId="0" borderId="5" xfId="4" applyFont="1" applyBorder="1"/>
    <xf numFmtId="0" fontId="78" fillId="0" borderId="1" xfId="4" applyFont="1" applyBorder="1"/>
    <xf numFmtId="10" fontId="79" fillId="0" borderId="1" xfId="4" applyNumberFormat="1" applyFont="1" applyBorder="1"/>
    <xf numFmtId="9" fontId="79" fillId="0" borderId="23" xfId="4" applyNumberFormat="1" applyFont="1" applyBorder="1"/>
    <xf numFmtId="9" fontId="79" fillId="0" borderId="1" xfId="4" applyNumberFormat="1" applyFont="1" applyBorder="1"/>
    <xf numFmtId="168" fontId="79" fillId="0" borderId="1" xfId="4" applyNumberFormat="1" applyFont="1" applyBorder="1"/>
    <xf numFmtId="0" fontId="79" fillId="0" borderId="1" xfId="4" applyFont="1" applyFill="1" applyBorder="1"/>
    <xf numFmtId="0" fontId="32" fillId="21" borderId="0" xfId="0" applyFont="1" applyFill="1"/>
    <xf numFmtId="0" fontId="31" fillId="21" borderId="0" xfId="0" applyFont="1" applyFill="1"/>
    <xf numFmtId="0" fontId="0" fillId="21" borderId="0" xfId="0" applyFill="1"/>
    <xf numFmtId="0" fontId="20" fillId="21" borderId="0" xfId="0" applyFont="1" applyFill="1"/>
    <xf numFmtId="0" fontId="69" fillId="21" borderId="0" xfId="0" applyFont="1" applyFill="1"/>
    <xf numFmtId="0" fontId="14" fillId="21" borderId="0" xfId="0" applyFont="1" applyFill="1"/>
    <xf numFmtId="0" fontId="0" fillId="21" borderId="0" xfId="0" applyFill="1" applyAlignment="1">
      <alignment horizontal="left"/>
    </xf>
    <xf numFmtId="0" fontId="0" fillId="21" borderId="0" xfId="0" applyFill="1" applyAlignment="1">
      <alignment horizontal="center"/>
    </xf>
    <xf numFmtId="0" fontId="64" fillId="21" borderId="0" xfId="0" applyFont="1" applyFill="1"/>
    <xf numFmtId="0" fontId="45" fillId="21" borderId="0" xfId="0" applyFont="1" applyFill="1"/>
    <xf numFmtId="0" fontId="70" fillId="21" borderId="0" xfId="0" applyFont="1" applyFill="1"/>
    <xf numFmtId="0" fontId="71" fillId="21" borderId="0" xfId="3" applyFont="1" applyFill="1" applyBorder="1" applyAlignment="1" applyProtection="1">
      <alignment vertical="top" wrapText="1"/>
    </xf>
    <xf numFmtId="0" fontId="31" fillId="21" borderId="0" xfId="0" applyFont="1" applyFill="1" applyAlignment="1">
      <alignment vertical="top" wrapText="1"/>
    </xf>
    <xf numFmtId="0" fontId="8" fillId="21" borderId="0" xfId="3" applyFont="1" applyFill="1" applyBorder="1" applyAlignment="1" applyProtection="1">
      <alignment vertical="top" wrapText="1"/>
    </xf>
    <xf numFmtId="0" fontId="45" fillId="21" borderId="0" xfId="0" applyFont="1" applyFill="1" applyAlignment="1">
      <alignment vertical="top" wrapText="1"/>
    </xf>
    <xf numFmtId="0" fontId="53" fillId="21" borderId="0" xfId="0" applyFont="1" applyFill="1" applyAlignment="1">
      <alignment vertical="top" wrapText="1"/>
    </xf>
    <xf numFmtId="0" fontId="65" fillId="21" borderId="0" xfId="0" applyFont="1" applyFill="1" applyAlignment="1">
      <alignment vertical="top" wrapText="1"/>
    </xf>
    <xf numFmtId="0" fontId="16" fillId="21" borderId="0" xfId="0" applyFont="1" applyFill="1" applyAlignment="1">
      <alignment vertical="top" wrapText="1"/>
    </xf>
    <xf numFmtId="0" fontId="1" fillId="21" borderId="0" xfId="0" applyFont="1" applyFill="1"/>
    <xf numFmtId="0" fontId="31" fillId="21" borderId="0" xfId="0" applyFont="1" applyFill="1" applyAlignment="1">
      <alignment horizontal="left"/>
    </xf>
    <xf numFmtId="0" fontId="23" fillId="21" borderId="0" xfId="3" applyFont="1" applyFill="1" applyBorder="1" applyProtection="1"/>
    <xf numFmtId="0" fontId="33" fillId="21" borderId="0" xfId="3" applyFont="1" applyFill="1" applyBorder="1" applyProtection="1"/>
    <xf numFmtId="0" fontId="66" fillId="21" borderId="0" xfId="0" applyFont="1" applyFill="1"/>
    <xf numFmtId="0" fontId="16" fillId="21" borderId="0" xfId="0" applyFont="1" applyFill="1"/>
    <xf numFmtId="0" fontId="31" fillId="21" borderId="16" xfId="0" applyFont="1" applyFill="1" applyBorder="1"/>
    <xf numFmtId="0" fontId="31" fillId="21" borderId="17" xfId="0" applyFont="1" applyFill="1" applyBorder="1"/>
    <xf numFmtId="0" fontId="14" fillId="21" borderId="18" xfId="0" applyFont="1" applyFill="1" applyBorder="1" applyAlignment="1">
      <alignment horizontal="right"/>
    </xf>
    <xf numFmtId="0" fontId="31" fillId="21" borderId="18" xfId="0" applyFont="1" applyFill="1" applyBorder="1" applyAlignment="1">
      <alignment horizontal="right"/>
    </xf>
    <xf numFmtId="0" fontId="34" fillId="21" borderId="0" xfId="0" applyFont="1" applyFill="1" applyAlignment="1">
      <alignment horizontal="left"/>
    </xf>
    <xf numFmtId="0" fontId="31" fillId="21" borderId="19" xfId="0" applyFont="1" applyFill="1" applyBorder="1"/>
    <xf numFmtId="0" fontId="31" fillId="21" borderId="21" xfId="0" applyFont="1" applyFill="1" applyBorder="1" applyAlignment="1">
      <alignment horizontal="right"/>
    </xf>
    <xf numFmtId="0" fontId="35" fillId="21" borderId="0" xfId="3" applyFont="1" applyFill="1" applyBorder="1" applyProtection="1"/>
    <xf numFmtId="0" fontId="13" fillId="21" borderId="0" xfId="0" applyFont="1" applyFill="1"/>
    <xf numFmtId="0" fontId="31" fillId="21" borderId="0" xfId="0" applyFont="1" applyFill="1" applyAlignment="1">
      <alignment vertical="center" wrapText="1"/>
    </xf>
    <xf numFmtId="0" fontId="14" fillId="21" borderId="58" xfId="0" applyFont="1" applyFill="1" applyBorder="1" applyAlignment="1">
      <alignment vertical="top" wrapText="1"/>
    </xf>
    <xf numFmtId="0" fontId="45" fillId="21" borderId="58" xfId="0" applyFont="1" applyFill="1" applyBorder="1" applyAlignment="1">
      <alignment vertical="top" wrapText="1"/>
    </xf>
    <xf numFmtId="0" fontId="31" fillId="21" borderId="58" xfId="0" applyFont="1" applyFill="1" applyBorder="1" applyAlignment="1">
      <alignment horizontal="left" vertical="top" wrapText="1"/>
    </xf>
    <xf numFmtId="0" fontId="31" fillId="21" borderId="58" xfId="0" applyFont="1" applyFill="1" applyBorder="1" applyAlignment="1">
      <alignment vertical="top" wrapText="1"/>
    </xf>
    <xf numFmtId="0" fontId="45" fillId="21" borderId="58" xfId="0" applyFont="1" applyFill="1" applyBorder="1" applyAlignment="1">
      <alignment horizontal="left" vertical="top" wrapText="1"/>
    </xf>
    <xf numFmtId="0" fontId="45" fillId="21" borderId="58" xfId="0" applyFont="1" applyFill="1" applyBorder="1" applyAlignment="1">
      <alignment horizontal="left"/>
    </xf>
    <xf numFmtId="0" fontId="31" fillId="21" borderId="58" xfId="0" applyFont="1" applyFill="1" applyBorder="1"/>
    <xf numFmtId="0" fontId="31" fillId="21" borderId="58" xfId="0" applyFont="1" applyFill="1" applyBorder="1" applyAlignment="1">
      <alignment horizontal="left"/>
    </xf>
    <xf numFmtId="0" fontId="45" fillId="21" borderId="58" xfId="0" applyFont="1" applyFill="1" applyBorder="1" applyAlignment="1">
      <alignment wrapText="1"/>
    </xf>
    <xf numFmtId="0" fontId="45" fillId="21" borderId="58" xfId="0" applyFont="1" applyFill="1" applyBorder="1"/>
    <xf numFmtId="0" fontId="14" fillId="21" borderId="58" xfId="0" applyFont="1" applyFill="1" applyBorder="1" applyAlignment="1">
      <alignment horizontal="left"/>
    </xf>
    <xf numFmtId="0" fontId="14" fillId="21" borderId="58" xfId="0" applyFont="1" applyFill="1" applyBorder="1" applyAlignment="1">
      <alignment horizontal="left" vertical="top" wrapText="1"/>
    </xf>
    <xf numFmtId="0" fontId="42" fillId="21" borderId="58" xfId="0" applyFont="1" applyFill="1" applyBorder="1"/>
    <xf numFmtId="0" fontId="72" fillId="21" borderId="0" xfId="3" applyFont="1" applyFill="1" applyBorder="1"/>
    <xf numFmtId="0" fontId="31" fillId="21" borderId="0" xfId="0" applyFont="1" applyFill="1" applyBorder="1"/>
    <xf numFmtId="0" fontId="31" fillId="21" borderId="0" xfId="0" applyFont="1" applyFill="1" applyBorder="1" applyAlignment="1">
      <alignment horizontal="right"/>
    </xf>
    <xf numFmtId="0" fontId="31" fillId="21" borderId="59" xfId="0" applyFont="1" applyFill="1" applyBorder="1"/>
    <xf numFmtId="0" fontId="14" fillId="21" borderId="60" xfId="0" applyFont="1" applyFill="1" applyBorder="1"/>
    <xf numFmtId="0" fontId="31" fillId="21" borderId="60" xfId="0" applyFont="1" applyFill="1" applyBorder="1"/>
    <xf numFmtId="0" fontId="80" fillId="21" borderId="61" xfId="3" applyFont="1" applyFill="1" applyBorder="1"/>
    <xf numFmtId="0" fontId="81" fillId="0" borderId="0" xfId="3" applyFont="1" applyBorder="1" applyAlignment="1" applyProtection="1"/>
    <xf numFmtId="0" fontId="82" fillId="0" borderId="0" xfId="0" applyFont="1" applyBorder="1"/>
    <xf numFmtId="0" fontId="83" fillId="0" borderId="0" xfId="0" applyFont="1" applyBorder="1"/>
    <xf numFmtId="9" fontId="84" fillId="0" borderId="0" xfId="0" applyNumberFormat="1" applyFont="1" applyBorder="1" applyAlignment="1" applyProtection="1">
      <alignment horizontal="left"/>
      <protection locked="0"/>
    </xf>
    <xf numFmtId="9" fontId="84" fillId="0" borderId="0" xfId="2" applyNumberFormat="1" applyFont="1" applyBorder="1" applyAlignment="1" applyProtection="1"/>
    <xf numFmtId="0" fontId="85" fillId="0" borderId="0" xfId="0" applyFont="1" applyBorder="1" applyAlignment="1">
      <alignment horizontal="right"/>
    </xf>
    <xf numFmtId="0" fontId="86" fillId="0" borderId="0" xfId="0" applyFont="1"/>
    <xf numFmtId="0" fontId="85" fillId="0" borderId="0" xfId="0" applyFont="1"/>
    <xf numFmtId="166" fontId="85" fillId="0" borderId="0" xfId="0" applyNumberFormat="1" applyFont="1"/>
    <xf numFmtId="0" fontId="85" fillId="0" borderId="0" xfId="0" applyFont="1" applyAlignment="1">
      <alignment wrapText="1"/>
    </xf>
    <xf numFmtId="0" fontId="49" fillId="12" borderId="46" xfId="0" applyFont="1" applyFill="1" applyBorder="1" applyAlignment="1">
      <alignment vertical="top" wrapText="1"/>
    </xf>
    <xf numFmtId="0" fontId="0" fillId="0" borderId="47" xfId="0" applyBorder="1" applyAlignment="1">
      <alignment vertical="top" wrapText="1"/>
    </xf>
    <xf numFmtId="0" fontId="0" fillId="0" borderId="47" xfId="0" applyBorder="1" applyAlignment="1">
      <alignment wrapText="1"/>
    </xf>
    <xf numFmtId="0" fontId="0" fillId="0" borderId="48" xfId="0" applyBorder="1" applyAlignment="1">
      <alignment wrapText="1"/>
    </xf>
    <xf numFmtId="0" fontId="0" fillId="0" borderId="49" xfId="0" applyBorder="1" applyAlignment="1">
      <alignment vertical="top" wrapText="1"/>
    </xf>
    <xf numFmtId="0" fontId="0" fillId="0" borderId="0" xfId="0" applyBorder="1" applyAlignment="1">
      <alignment vertical="top" wrapText="1"/>
    </xf>
    <xf numFmtId="0" fontId="0" fillId="0" borderId="0" xfId="0" applyBorder="1" applyAlignment="1">
      <alignment wrapText="1"/>
    </xf>
    <xf numFmtId="0" fontId="0" fillId="0" borderId="11" xfId="0" applyBorder="1" applyAlignment="1">
      <alignment wrapText="1"/>
    </xf>
    <xf numFmtId="0" fontId="0" fillId="0" borderId="6" xfId="0" applyBorder="1" applyAlignment="1">
      <alignment wrapText="1"/>
    </xf>
    <xf numFmtId="0" fontId="0" fillId="0" borderId="50" xfId="0" applyBorder="1" applyAlignment="1">
      <alignment wrapText="1"/>
    </xf>
    <xf numFmtId="0" fontId="0" fillId="0" borderId="7" xfId="0" applyBorder="1" applyAlignment="1">
      <alignment wrapText="1"/>
    </xf>
    <xf numFmtId="0" fontId="49" fillId="0" borderId="2" xfId="0" applyFont="1" applyBorder="1" applyAlignment="1">
      <alignment vertical="top" wrapText="1"/>
    </xf>
    <xf numFmtId="0" fontId="42" fillId="0" borderId="4" xfId="0" applyFont="1" applyBorder="1" applyAlignment="1">
      <alignment vertical="top" wrapText="1"/>
    </xf>
    <xf numFmtId="0" fontId="11" fillId="9" borderId="2" xfId="0" applyFont="1" applyFill="1" applyBorder="1" applyAlignment="1"/>
    <xf numFmtId="0" fontId="0" fillId="9" borderId="4" xfId="0" applyFill="1" applyBorder="1" applyAlignment="1"/>
    <xf numFmtId="0" fontId="42" fillId="0" borderId="0" xfId="0" applyFont="1" applyBorder="1" applyAlignment="1">
      <alignment vertical="top" wrapText="1" readingOrder="1"/>
    </xf>
    <xf numFmtId="0" fontId="42" fillId="0" borderId="0" xfId="0" applyFont="1" applyAlignment="1">
      <alignment wrapText="1"/>
    </xf>
    <xf numFmtId="0" fontId="38" fillId="0" borderId="39" xfId="0" applyFont="1" applyBorder="1" applyAlignment="1" applyProtection="1">
      <alignment horizontal="left" vertical="top" wrapText="1" readingOrder="1"/>
      <protection locked="0"/>
    </xf>
    <xf numFmtId="0" fontId="38" fillId="0" borderId="56" xfId="0" applyFont="1" applyBorder="1" applyAlignment="1" applyProtection="1">
      <alignment horizontal="left" vertical="top" wrapText="1" readingOrder="1"/>
      <protection locked="0"/>
    </xf>
    <xf numFmtId="0" fontId="38" fillId="0" borderId="39" xfId="0" applyFont="1" applyFill="1" applyBorder="1" applyAlignment="1" applyProtection="1">
      <alignment horizontal="left" vertical="top" wrapText="1" readingOrder="1"/>
      <protection locked="0"/>
    </xf>
    <xf numFmtId="0" fontId="26" fillId="0" borderId="36" xfId="0" applyFont="1" applyBorder="1" applyAlignment="1" applyProtection="1">
      <alignment horizontal="left" vertical="top" wrapText="1" readingOrder="1"/>
      <protection locked="0"/>
    </xf>
    <xf numFmtId="0" fontId="31" fillId="21" borderId="0" xfId="0" applyFont="1" applyFill="1" applyBorder="1" applyAlignment="1">
      <alignment horizontal="left"/>
    </xf>
    <xf numFmtId="0" fontId="16" fillId="21" borderId="0" xfId="0" applyFont="1" applyFill="1" applyBorder="1"/>
    <xf numFmtId="0" fontId="14" fillId="21" borderId="0" xfId="0" applyFont="1" applyFill="1" applyBorder="1" applyAlignment="1">
      <alignment horizontal="left"/>
    </xf>
    <xf numFmtId="0" fontId="14" fillId="21" borderId="0" xfId="0" applyFont="1" applyFill="1" applyBorder="1"/>
    <xf numFmtId="0" fontId="31" fillId="21" borderId="62" xfId="0" applyFont="1" applyFill="1" applyBorder="1" applyAlignment="1">
      <alignment horizontal="left"/>
    </xf>
    <xf numFmtId="0" fontId="31" fillId="21" borderId="62" xfId="0" applyFont="1" applyFill="1" applyBorder="1"/>
    <xf numFmtId="0" fontId="31" fillId="21" borderId="63" xfId="0" applyFont="1" applyFill="1" applyBorder="1" applyAlignment="1">
      <alignment horizontal="left" vertical="top" wrapText="1"/>
    </xf>
    <xf numFmtId="0" fontId="45" fillId="21" borderId="63" xfId="0" applyFont="1" applyFill="1" applyBorder="1"/>
    <xf numFmtId="0" fontId="80" fillId="21" borderId="60" xfId="3" applyFont="1" applyFill="1" applyBorder="1"/>
  </cellXfs>
  <cellStyles count="7">
    <cellStyle name="Hyperlink" xfId="3" builtinId="8"/>
    <cellStyle name="Komma" xfId="1" builtinId="3"/>
    <cellStyle name="Procent" xfId="2" builtinId="5"/>
    <cellStyle name="Standaard" xfId="0" builtinId="0"/>
    <cellStyle name="Standaard 2" xfId="4" xr:uid="{00000000-0005-0000-0000-000006000000}"/>
    <cellStyle name="Valuta" xfId="6" builtinId="4"/>
    <cellStyle name="Valuta 2" xfId="5" xr:uid="{00000000-0005-0000-0000-000007000000}"/>
  </cellStyles>
  <dxfs count="2">
    <dxf>
      <fill>
        <patternFill>
          <bgColor rgb="FFFF0000"/>
        </patternFill>
      </fill>
    </dxf>
    <dxf>
      <fill>
        <patternFill>
          <bgColor rgb="FFFF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B050"/>
      <rgbColor rgb="FFC0C0C0"/>
      <rgbColor rgb="FF808080"/>
      <rgbColor rgb="FF9999FF"/>
      <rgbColor rgb="FF993366"/>
      <rgbColor rgb="FFFFFFCC"/>
      <rgbColor rgb="FFCCFFFF"/>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E6B9B8"/>
      <rgbColor rgb="FFBFBFBF"/>
      <rgbColor rgb="FFFAC090"/>
      <rgbColor rgb="FF3366FF"/>
      <rgbColor rgb="FF33CCCC"/>
      <rgbColor rgb="FF99CC00"/>
      <rgbColor rgb="FFFFCC00"/>
      <rgbColor rgb="FFFF9900"/>
      <rgbColor rgb="FFFF6600"/>
      <rgbColor rgb="FF878787"/>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007BC7"/>
      <color rgb="FF00FF00"/>
      <color rgb="FFE6B9B8"/>
      <color rgb="FFC6D9F1"/>
      <color rgb="FF9999FF"/>
      <color rgb="FF9966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c:style val="2"/>
  <c:chart>
    <c:title>
      <c:tx>
        <c:rich>
          <a:bodyPr rot="0"/>
          <a:lstStyle/>
          <a:p>
            <a:pPr>
              <a:defRPr sz="1200" b="1" strike="noStrike" spc="-1">
                <a:solidFill>
                  <a:srgbClr val="000000"/>
                </a:solidFill>
                <a:latin typeface="Arial"/>
                <a:ea typeface="Arial"/>
              </a:defRPr>
            </a:pPr>
            <a:r>
              <a:rPr lang="nl-NL" sz="1200" b="1" strike="noStrike" spc="-1">
                <a:solidFill>
                  <a:srgbClr val="000000"/>
                </a:solidFill>
                <a:latin typeface="Arial"/>
                <a:ea typeface="Arial"/>
              </a:rPr>
              <a:t>MSK Steunruimte in NCW</a:t>
            </a:r>
          </a:p>
        </c:rich>
      </c:tx>
      <c:layout>
        <c:manualLayout>
          <c:xMode val="edge"/>
          <c:yMode val="edge"/>
          <c:x val="0.37697774769439002"/>
          <c:y val="2.90143356883188E-2"/>
        </c:manualLayout>
      </c:layout>
      <c:overlay val="0"/>
      <c:spPr>
        <a:noFill/>
        <a:ln w="25560">
          <a:noFill/>
        </a:ln>
      </c:spPr>
    </c:title>
    <c:autoTitleDeleted val="0"/>
    <c:plotArea>
      <c:layout>
        <c:manualLayout>
          <c:layoutTarget val="inner"/>
          <c:xMode val="edge"/>
          <c:yMode val="edge"/>
          <c:x val="0.13101785261020399"/>
          <c:y val="0.15604636806365299"/>
          <c:w val="0.83380492565450115"/>
          <c:h val="0.71136566293984504"/>
        </c:manualLayout>
      </c:layout>
      <c:barChart>
        <c:barDir val="col"/>
        <c:grouping val="clustered"/>
        <c:varyColors val="0"/>
        <c:ser>
          <c:idx val="1"/>
          <c:order val="1"/>
          <c:tx>
            <c:strRef>
              <c:f>'Overzicht MSK toets'!$J$8</c:f>
              <c:strCache>
                <c:ptCount val="1"/>
                <c:pt idx="0">
                  <c:v>SDE++ opbrengsten NCW vóór MSK-correctie</c:v>
                </c:pt>
              </c:strCache>
            </c:strRef>
          </c:tx>
          <c:spPr>
            <a:solidFill>
              <a:srgbClr val="9999FF"/>
            </a:solidFill>
            <a:ln w="12600">
              <a:solidFill>
                <a:srgbClr val="000000"/>
              </a:solidFill>
              <a:round/>
            </a:ln>
          </c:spPr>
          <c:invertIfNegative val="0"/>
          <c:dLbls>
            <c:spPr>
              <a:noFill/>
              <a:ln>
                <a:noFill/>
              </a:ln>
              <a:effectLst/>
            </c:spPr>
            <c:txPr>
              <a:bodyPr/>
              <a:lstStyle/>
              <a:p>
                <a:pPr>
                  <a:defRPr sz="1000" b="0" strike="noStrike" spc="-1">
                    <a:solidFill>
                      <a:srgbClr val="000000"/>
                    </a:solidFill>
                    <a:latin typeface="Arial"/>
                    <a:ea typeface="Arial"/>
                  </a:defRPr>
                </a:pPr>
                <a:endParaRPr lang="nl-NL"/>
              </a:p>
            </c:txPr>
            <c:dLblPos val="outEnd"/>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val>
            <c:numRef>
              <c:f>'Overzicht MSK toets'!$J$9:$J$26</c:f>
              <c:numCache>
                <c:formatCode>_-* #,##0_-;_-* #,##0\-;_-* \-??_-;_-@_-</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0844-4F40-8E3B-50DBC5972334}"/>
            </c:ext>
          </c:extLst>
        </c:ser>
        <c:dLbls>
          <c:showLegendKey val="0"/>
          <c:showVal val="0"/>
          <c:showCatName val="0"/>
          <c:showSerName val="0"/>
          <c:showPercent val="0"/>
          <c:showBubbleSize val="0"/>
        </c:dLbls>
        <c:gapWidth val="150"/>
        <c:axId val="41301694"/>
        <c:axId val="75362560"/>
        <c:extLst>
          <c:ext xmlns:c15="http://schemas.microsoft.com/office/drawing/2012/chart" uri="{02D57815-91ED-43cb-92C2-25804820EDAC}">
            <c15:filteredBarSeries>
              <c15:ser>
                <c:idx val="0"/>
                <c:order val="0"/>
                <c:tx>
                  <c:strRef>
                    <c:extLst>
                      <c:ext uri="{02D57815-91ED-43cb-92C2-25804820EDAC}">
                        <c15:formulaRef>
                          <c15:sqref>'Overzicht MSK toets'!$I$8</c15:sqref>
                        </c15:formulaRef>
                      </c:ext>
                    </c:extLst>
                    <c:strCache>
                      <c:ptCount val="1"/>
                      <c:pt idx="0">
                        <c:v>Jaar</c:v>
                      </c:pt>
                    </c:strCache>
                  </c:strRef>
                </c:tx>
                <c:spPr>
                  <a:solidFill>
                    <a:srgbClr val="993366"/>
                  </a:solidFill>
                  <a:ln w="12600">
                    <a:solidFill>
                      <a:srgbClr val="000000"/>
                    </a:solidFill>
                    <a:round/>
                  </a:ln>
                </c:spPr>
                <c:invertIfNegative val="0"/>
                <c:dLbls>
                  <c:spPr>
                    <a:noFill/>
                    <a:ln>
                      <a:noFill/>
                    </a:ln>
                    <a:effectLst/>
                  </c:spPr>
                  <c:txPr>
                    <a:bodyPr/>
                    <a:lstStyle/>
                    <a:p>
                      <a:pPr>
                        <a:defRPr sz="1000" b="0" strike="noStrike" spc="-1">
                          <a:solidFill>
                            <a:srgbClr val="000000"/>
                          </a:solidFill>
                          <a:latin typeface="Arial"/>
                          <a:ea typeface="Arial"/>
                        </a:defRPr>
                      </a:pPr>
                      <a:endParaRPr lang="nl-NL"/>
                    </a:p>
                  </c:txPr>
                  <c:dLblPos val="outEnd"/>
                  <c:showLegendKey val="0"/>
                  <c:showVal val="0"/>
                  <c:showCatName val="0"/>
                  <c:showSerName val="0"/>
                  <c:showPercent val="0"/>
                  <c:showBubbleSize val="1"/>
                  <c:showLeaderLines val="0"/>
                  <c:extLst>
                    <c:ext uri="{CE6537A1-D6FC-4f65-9D91-7224C49458BB}">
                      <c15:showLeaderLines val="0"/>
                    </c:ext>
                  </c:extLst>
                </c:dLbls>
                <c:val>
                  <c:numRef>
                    <c:extLst>
                      <c:ext uri="{02D57815-91ED-43cb-92C2-25804820EDAC}">
                        <c15:formulaRef>
                          <c15:sqref>'Overzicht MSK toets'!$I$9:$I$26</c15:sqref>
                        </c15:formulaRef>
                      </c:ext>
                    </c:extLst>
                    <c:numCache>
                      <c:formatCode>General</c:formatCode>
                      <c:ptCount val="1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numCache>
                  </c:numRef>
                </c:val>
                <c:extLst>
                  <c:ext xmlns:c16="http://schemas.microsoft.com/office/drawing/2014/chart" uri="{C3380CC4-5D6E-409C-BE32-E72D297353CC}">
                    <c16:uniqueId val="{00000000-0844-4F40-8E3B-50DBC5972334}"/>
                  </c:ext>
                </c:extLst>
              </c15:ser>
            </c15:filteredBarSeries>
          </c:ext>
        </c:extLst>
      </c:barChart>
      <c:lineChart>
        <c:grouping val="standard"/>
        <c:varyColors val="0"/>
        <c:ser>
          <c:idx val="2"/>
          <c:order val="2"/>
          <c:tx>
            <c:strRef>
              <c:f>'Overzicht MSK toets'!$K$8</c:f>
              <c:strCache>
                <c:ptCount val="1"/>
                <c:pt idx="0">
                  <c:v>Toegestane SDE++</c:v>
                </c:pt>
              </c:strCache>
            </c:strRef>
          </c:tx>
          <c:spPr>
            <a:ln w="12600">
              <a:solidFill>
                <a:srgbClr val="800080"/>
              </a:solidFill>
              <a:round/>
            </a:ln>
          </c:spPr>
          <c:marker>
            <c:symbol val="square"/>
            <c:size val="5"/>
            <c:spPr>
              <a:solidFill>
                <a:srgbClr val="800080"/>
              </a:solidFill>
            </c:spPr>
          </c:marker>
          <c:dLbls>
            <c:spPr>
              <a:noFill/>
              <a:ln>
                <a:noFill/>
              </a:ln>
              <a:effectLst/>
            </c:spPr>
            <c:txPr>
              <a:bodyPr/>
              <a:lstStyle/>
              <a:p>
                <a:pPr>
                  <a:defRPr sz="1000" b="0" strike="noStrike" spc="-1">
                    <a:solidFill>
                      <a:srgbClr val="000000"/>
                    </a:solidFill>
                    <a:latin typeface="Arial"/>
                    <a:ea typeface="Arial"/>
                  </a:defRPr>
                </a:pPr>
                <a:endParaRPr lang="nl-NL"/>
              </a:p>
            </c:txPr>
            <c:dLblPos val="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val>
            <c:numRef>
              <c:f>'Overzicht MSK toets'!$K$9:$K$26</c:f>
              <c:numCache>
                <c:formatCode>_-* #,##0_-;_-* #,##0\-;_-* \-??_-;_-@_-</c:formatCode>
                <c:ptCount val="18"/>
                <c:pt idx="0">
                  <c:v>312129.36441034277</c:v>
                </c:pt>
                <c:pt idx="1">
                  <c:v>312129.36441034277</c:v>
                </c:pt>
                <c:pt idx="2">
                  <c:v>312129.36441034277</c:v>
                </c:pt>
                <c:pt idx="3">
                  <c:v>312129.36441034277</c:v>
                </c:pt>
                <c:pt idx="4">
                  <c:v>312129.36441034277</c:v>
                </c:pt>
                <c:pt idx="5">
                  <c:v>312129.36441034277</c:v>
                </c:pt>
                <c:pt idx="6">
                  <c:v>312129.36441034277</c:v>
                </c:pt>
                <c:pt idx="7">
                  <c:v>312129.36441034277</c:v>
                </c:pt>
                <c:pt idx="8">
                  <c:v>312129.36441034277</c:v>
                </c:pt>
                <c:pt idx="9">
                  <c:v>312129.36441034277</c:v>
                </c:pt>
                <c:pt idx="10">
                  <c:v>312129.36441034277</c:v>
                </c:pt>
                <c:pt idx="11">
                  <c:v>312129.36441034277</c:v>
                </c:pt>
                <c:pt idx="12">
                  <c:v>312129.36441034277</c:v>
                </c:pt>
                <c:pt idx="13">
                  <c:v>312129.36441034277</c:v>
                </c:pt>
                <c:pt idx="14">
                  <c:v>312129.36441034277</c:v>
                </c:pt>
                <c:pt idx="15">
                  <c:v>312129.36441034277</c:v>
                </c:pt>
                <c:pt idx="16">
                  <c:v>312129.36441034277</c:v>
                </c:pt>
                <c:pt idx="17">
                  <c:v>312129.36441034277</c:v>
                </c:pt>
              </c:numCache>
            </c:numRef>
          </c:val>
          <c:smooth val="0"/>
          <c:extLst>
            <c:ext xmlns:c16="http://schemas.microsoft.com/office/drawing/2014/chart" uri="{C3380CC4-5D6E-409C-BE32-E72D297353CC}">
              <c16:uniqueId val="{00000002-0844-4F40-8E3B-50DBC5972334}"/>
            </c:ext>
          </c:extLst>
        </c:ser>
        <c:ser>
          <c:idx val="3"/>
          <c:order val="3"/>
          <c:tx>
            <c:strRef>
              <c:f>'Overzicht MSK toets'!$L$8</c:f>
              <c:strCache>
                <c:ptCount val="1"/>
                <c:pt idx="0">
                  <c:v>Bovengrens totale steun</c:v>
                </c:pt>
              </c:strCache>
            </c:strRef>
          </c:tx>
          <c:val>
            <c:numRef>
              <c:f>'Overzicht MSK toets'!$L$9:$L$26</c:f>
              <c:numCache>
                <c:formatCode>_-* #,##0_-;_-* #,##0\-;_-* \-??_-;_-@_-</c:formatCode>
                <c:ptCount val="18"/>
                <c:pt idx="0">
                  <c:v>312129.36441034277</c:v>
                </c:pt>
                <c:pt idx="1">
                  <c:v>312129.36441034277</c:v>
                </c:pt>
                <c:pt idx="2">
                  <c:v>312129.36441034277</c:v>
                </c:pt>
                <c:pt idx="3">
                  <c:v>312129.36441034277</c:v>
                </c:pt>
                <c:pt idx="4">
                  <c:v>312129.36441034277</c:v>
                </c:pt>
                <c:pt idx="5">
                  <c:v>312129.36441034277</c:v>
                </c:pt>
                <c:pt idx="6">
                  <c:v>312129.36441034277</c:v>
                </c:pt>
                <c:pt idx="7">
                  <c:v>312129.36441034277</c:v>
                </c:pt>
                <c:pt idx="8">
                  <c:v>312129.36441034277</c:v>
                </c:pt>
                <c:pt idx="9">
                  <c:v>312129.36441034277</c:v>
                </c:pt>
                <c:pt idx="10">
                  <c:v>312129.36441034277</c:v>
                </c:pt>
                <c:pt idx="11">
                  <c:v>312129.36441034277</c:v>
                </c:pt>
                <c:pt idx="12">
                  <c:v>312129.36441034277</c:v>
                </c:pt>
                <c:pt idx="13">
                  <c:v>312129.36441034277</c:v>
                </c:pt>
                <c:pt idx="14">
                  <c:v>312129.36441034277</c:v>
                </c:pt>
                <c:pt idx="15">
                  <c:v>312129.36441034277</c:v>
                </c:pt>
                <c:pt idx="16">
                  <c:v>312129.36441034277</c:v>
                </c:pt>
                <c:pt idx="17">
                  <c:v>312129.36441034277</c:v>
                </c:pt>
              </c:numCache>
            </c:numRef>
          </c:val>
          <c:smooth val="0"/>
          <c:extLst>
            <c:ext xmlns:c16="http://schemas.microsoft.com/office/drawing/2014/chart" uri="{C3380CC4-5D6E-409C-BE32-E72D297353CC}">
              <c16:uniqueId val="{00000020-4994-41DD-9315-CC8239AD99F2}"/>
            </c:ext>
          </c:extLst>
        </c:ser>
        <c:dLbls>
          <c:showLegendKey val="0"/>
          <c:showVal val="0"/>
          <c:showCatName val="0"/>
          <c:showSerName val="0"/>
          <c:showPercent val="0"/>
          <c:showBubbleSize val="0"/>
        </c:dLbls>
        <c:hiLowLines>
          <c:spPr>
            <a:ln>
              <a:noFill/>
            </a:ln>
          </c:spPr>
        </c:hiLowLines>
        <c:marker val="1"/>
        <c:smooth val="0"/>
        <c:axId val="51388426"/>
        <c:axId val="84600968"/>
      </c:lineChart>
      <c:catAx>
        <c:axId val="41301694"/>
        <c:scaling>
          <c:orientation val="minMax"/>
        </c:scaling>
        <c:delete val="0"/>
        <c:axPos val="b"/>
        <c:title>
          <c:tx>
            <c:rich>
              <a:bodyPr rot="0"/>
              <a:lstStyle/>
              <a:p>
                <a:pPr>
                  <a:defRPr sz="1000" b="1" strike="noStrike" spc="-1">
                    <a:solidFill>
                      <a:srgbClr val="000000"/>
                    </a:solidFill>
                    <a:latin typeface="Arial"/>
                    <a:ea typeface="Arial"/>
                  </a:defRPr>
                </a:pPr>
                <a:r>
                  <a:rPr lang="nl-NL" sz="1000" b="1" strike="noStrike" spc="-1">
                    <a:solidFill>
                      <a:srgbClr val="000000"/>
                    </a:solidFill>
                    <a:latin typeface="Arial"/>
                    <a:ea typeface="Arial"/>
                  </a:rPr>
                  <a:t>Jaren</a:t>
                </a:r>
              </a:p>
            </c:rich>
          </c:tx>
          <c:layout>
            <c:manualLayout>
              <c:xMode val="edge"/>
              <c:yMode val="edge"/>
              <c:x val="0.51425670530501699"/>
              <c:y val="0.92379449893682697"/>
            </c:manualLayout>
          </c:layout>
          <c:overlay val="0"/>
          <c:spPr>
            <a:noFill/>
            <a:ln w="25560">
              <a:noFill/>
            </a:ln>
          </c:spPr>
        </c:title>
        <c:numFmt formatCode="General" sourceLinked="1"/>
        <c:majorTickMark val="cross"/>
        <c:minorTickMark val="none"/>
        <c:tickLblPos val="nextTo"/>
        <c:spPr>
          <a:ln w="3240">
            <a:solidFill>
              <a:srgbClr val="000000"/>
            </a:solidFill>
            <a:round/>
          </a:ln>
        </c:spPr>
        <c:txPr>
          <a:bodyPr/>
          <a:lstStyle/>
          <a:p>
            <a:pPr>
              <a:defRPr sz="1000" b="0" strike="noStrike" spc="-1">
                <a:solidFill>
                  <a:srgbClr val="000000"/>
                </a:solidFill>
                <a:latin typeface="Arial"/>
                <a:ea typeface="Arial"/>
              </a:defRPr>
            </a:pPr>
            <a:endParaRPr lang="nl-NL"/>
          </a:p>
        </c:txPr>
        <c:crossAx val="75362560"/>
        <c:crosses val="autoZero"/>
        <c:auto val="1"/>
        <c:lblAlgn val="ctr"/>
        <c:lblOffset val="100"/>
        <c:noMultiLvlLbl val="1"/>
      </c:catAx>
      <c:valAx>
        <c:axId val="75362560"/>
        <c:scaling>
          <c:orientation val="minMax"/>
        </c:scaling>
        <c:delete val="0"/>
        <c:axPos val="l"/>
        <c:title>
          <c:tx>
            <c:rich>
              <a:bodyPr rot="-5400000"/>
              <a:lstStyle/>
              <a:p>
                <a:pPr>
                  <a:defRPr sz="1000" b="1" strike="noStrike" spc="-1">
                    <a:solidFill>
                      <a:srgbClr val="000000"/>
                    </a:solidFill>
                    <a:latin typeface="Arial"/>
                    <a:ea typeface="Arial"/>
                  </a:defRPr>
                </a:pPr>
                <a:r>
                  <a:rPr lang="nl-NL" sz="1000" b="1" strike="noStrike" spc="-1">
                    <a:solidFill>
                      <a:srgbClr val="000000"/>
                    </a:solidFill>
                    <a:latin typeface="Arial"/>
                    <a:ea typeface="Arial"/>
                  </a:rPr>
                  <a:t>euro</a:t>
                </a:r>
              </a:p>
            </c:rich>
          </c:tx>
          <c:layout>
            <c:manualLayout>
              <c:xMode val="edge"/>
              <c:yMode val="edge"/>
              <c:x val="9.2452883822735157E-3"/>
              <c:y val="0.41278338592567632"/>
            </c:manualLayout>
          </c:layout>
          <c:overlay val="0"/>
          <c:spPr>
            <a:noFill/>
            <a:ln w="25560">
              <a:noFill/>
            </a:ln>
          </c:spPr>
        </c:title>
        <c:numFmt formatCode="#,##0" sourceLinked="0"/>
        <c:majorTickMark val="cross"/>
        <c:minorTickMark val="none"/>
        <c:tickLblPos val="nextTo"/>
        <c:spPr>
          <a:ln w="3240">
            <a:solidFill>
              <a:srgbClr val="000000"/>
            </a:solidFill>
            <a:round/>
          </a:ln>
        </c:spPr>
        <c:txPr>
          <a:bodyPr/>
          <a:lstStyle/>
          <a:p>
            <a:pPr>
              <a:defRPr sz="1000" b="0" strike="noStrike" spc="-1">
                <a:solidFill>
                  <a:srgbClr val="000000"/>
                </a:solidFill>
                <a:latin typeface="Arial"/>
                <a:ea typeface="Arial"/>
              </a:defRPr>
            </a:pPr>
            <a:endParaRPr lang="nl-NL"/>
          </a:p>
        </c:txPr>
        <c:crossAx val="41301694"/>
        <c:crosses val="autoZero"/>
        <c:crossBetween val="between"/>
      </c:valAx>
      <c:catAx>
        <c:axId val="51388426"/>
        <c:scaling>
          <c:orientation val="minMax"/>
        </c:scaling>
        <c:delete val="1"/>
        <c:axPos val="b"/>
        <c:numFmt formatCode="General" sourceLinked="1"/>
        <c:majorTickMark val="out"/>
        <c:minorTickMark val="none"/>
        <c:tickLblPos val="none"/>
        <c:crossAx val="84600968"/>
        <c:crosses val="autoZero"/>
        <c:auto val="1"/>
        <c:lblAlgn val="ctr"/>
        <c:lblOffset val="100"/>
        <c:noMultiLvlLbl val="1"/>
      </c:catAx>
      <c:valAx>
        <c:axId val="84600968"/>
        <c:scaling>
          <c:orientation val="minMax"/>
        </c:scaling>
        <c:delete val="1"/>
        <c:axPos val="l"/>
        <c:numFmt formatCode="_-* #,##0_-;_-* #,##0\-;_-* \-??_-;_-@_-" sourceLinked="0"/>
        <c:majorTickMark val="out"/>
        <c:minorTickMark val="none"/>
        <c:tickLblPos val="none"/>
        <c:crossAx val="51388426"/>
        <c:crosses val="autoZero"/>
        <c:crossBetween val="between"/>
      </c:valAx>
      <c:spPr>
        <a:solidFill>
          <a:srgbClr val="C0C0C0"/>
        </a:solidFill>
        <a:ln w="12600">
          <a:solidFill>
            <a:srgbClr val="808080"/>
          </a:solidFill>
          <a:round/>
        </a:ln>
      </c:spPr>
    </c:plotArea>
    <c:legend>
      <c:legendPos val="r"/>
      <c:layout>
        <c:manualLayout>
          <c:xMode val="edge"/>
          <c:yMode val="edge"/>
          <c:x val="0.66349172303282877"/>
          <c:y val="1.1893017983517691E-2"/>
          <c:w val="0.32833869784752656"/>
          <c:h val="0.13191978646487545"/>
        </c:manualLayout>
      </c:layout>
      <c:overlay val="1"/>
    </c:legend>
    <c:plotVisOnly val="1"/>
    <c:dispBlanksAs val="gap"/>
    <c:showDLblsOverMax val="1"/>
  </c:chart>
  <c:spPr>
    <a:solidFill>
      <a:srgbClr val="FFFFFF"/>
    </a:solidFill>
    <a:ln w="3240">
      <a:solidFill>
        <a:srgbClr val="000000"/>
      </a:solidFill>
      <a:round/>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10</xdr:col>
      <xdr:colOff>19050</xdr:colOff>
      <xdr:row>0</xdr:row>
      <xdr:rowOff>0</xdr:rowOff>
    </xdr:from>
    <xdr:to>
      <xdr:col>10</xdr:col>
      <xdr:colOff>319088</xdr:colOff>
      <xdr:row>0</xdr:row>
      <xdr:rowOff>895350</xdr:rowOff>
    </xdr:to>
    <xdr:pic>
      <xdr:nvPicPr>
        <xdr:cNvPr id="2" name="Afbeelding 1">
          <a:extLst>
            <a:ext uri="{FF2B5EF4-FFF2-40B4-BE49-F238E27FC236}">
              <a16:creationId xmlns:a16="http://schemas.microsoft.com/office/drawing/2014/main" id="{B7851B10-16C0-4565-92B2-32A9530297E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21050" y="0"/>
          <a:ext cx="300038" cy="895350"/>
        </a:xfrm>
        <a:prstGeom prst="rect">
          <a:avLst/>
        </a:prstGeom>
        <a:noFill/>
        <a:ln w="9525">
          <a:noFill/>
          <a:miter lim="800000"/>
          <a:headEnd/>
          <a:tailEnd/>
        </a:ln>
      </xdr:spPr>
    </xdr:pic>
    <xdr:clientData/>
  </xdr:twoCellAnchor>
  <xdr:twoCellAnchor editAs="oneCell">
    <xdr:from>
      <xdr:col>10</xdr:col>
      <xdr:colOff>342900</xdr:colOff>
      <xdr:row>0</xdr:row>
      <xdr:rowOff>38100</xdr:rowOff>
    </xdr:from>
    <xdr:to>
      <xdr:col>11</xdr:col>
      <xdr:colOff>857250</xdr:colOff>
      <xdr:row>0</xdr:row>
      <xdr:rowOff>1057275</xdr:rowOff>
    </xdr:to>
    <xdr:pic>
      <xdr:nvPicPr>
        <xdr:cNvPr id="3" name="Afbeelding 2">
          <a:extLst>
            <a:ext uri="{FF2B5EF4-FFF2-40B4-BE49-F238E27FC236}">
              <a16:creationId xmlns:a16="http://schemas.microsoft.com/office/drawing/2014/main" id="{F09F03C9-B94B-4DB7-9D8C-9A27EADC55D5}"/>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344900" y="38100"/>
          <a:ext cx="1514475" cy="1019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571500</xdr:colOff>
      <xdr:row>31</xdr:row>
      <xdr:rowOff>37965</xdr:rowOff>
    </xdr:from>
    <xdr:to>
      <xdr:col>12</xdr:col>
      <xdr:colOff>638175</xdr:colOff>
      <xdr:row>62</xdr:row>
      <xdr:rowOff>2725</xdr:rowOff>
    </xdr:to>
    <xdr:graphicFrame macro="">
      <xdr:nvGraphicFramePr>
        <xdr:cNvPr id="2" name="Grafiek 3" descr="grafiek MSK steunruimte in NCW, met op de x-as jaren 1 tot en met 18 en op de Y-as bedragen van 0 tot 350.000 euro">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85725</xdr:colOff>
      <xdr:row>42</xdr:row>
      <xdr:rowOff>9525</xdr:rowOff>
    </xdr:from>
    <xdr:to>
      <xdr:col>7</xdr:col>
      <xdr:colOff>352425</xdr:colOff>
      <xdr:row>43</xdr:row>
      <xdr:rowOff>133350</xdr:rowOff>
    </xdr:to>
    <xdr:sp macro="" textlink="">
      <xdr:nvSpPr>
        <xdr:cNvPr id="2" name="Tekstvak 1">
          <a:extLst>
            <a:ext uri="{FF2B5EF4-FFF2-40B4-BE49-F238E27FC236}">
              <a16:creationId xmlns:a16="http://schemas.microsoft.com/office/drawing/2014/main" id="{A81AD3FD-7905-4684-AE81-8EFA6938ED9B}"/>
            </a:ext>
          </a:extLst>
        </xdr:cNvPr>
        <xdr:cNvSpPr txBox="1"/>
      </xdr:nvSpPr>
      <xdr:spPr>
        <a:xfrm>
          <a:off x="4124325" y="1952625"/>
          <a:ext cx="2705100"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altijd nul , dus vaste</a:t>
          </a:r>
          <a:r>
            <a:rPr lang="nl-NL" sz="1100" baseline="0"/>
            <a:t> nul van gemaakt</a:t>
          </a:r>
          <a:endParaRPr lang="nl-NL" sz="1100"/>
        </a:p>
      </xdr:txBody>
    </xdr:sp>
    <xdr:clientData/>
  </xdr:twoCellAnchor>
  <xdr:twoCellAnchor>
    <xdr:from>
      <xdr:col>3</xdr:col>
      <xdr:colOff>533400</xdr:colOff>
      <xdr:row>40</xdr:row>
      <xdr:rowOff>152400</xdr:rowOff>
    </xdr:from>
    <xdr:to>
      <xdr:col>3</xdr:col>
      <xdr:colOff>533400</xdr:colOff>
      <xdr:row>41</xdr:row>
      <xdr:rowOff>142875</xdr:rowOff>
    </xdr:to>
    <xdr:cxnSp macro="">
      <xdr:nvCxnSpPr>
        <xdr:cNvPr id="4" name="Rechte verbindingslijn met pijl 3">
          <a:extLst>
            <a:ext uri="{FF2B5EF4-FFF2-40B4-BE49-F238E27FC236}">
              <a16:creationId xmlns:a16="http://schemas.microsoft.com/office/drawing/2014/main" id="{092A18CB-B1A0-4524-9664-4544D3FFF0C9}"/>
            </a:ext>
          </a:extLst>
        </xdr:cNvPr>
        <xdr:cNvCxnSpPr/>
      </xdr:nvCxnSpPr>
      <xdr:spPr>
        <a:xfrm flipH="1" flipV="1">
          <a:off x="4572000" y="1743075"/>
          <a:ext cx="0" cy="1809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457200</xdr:colOff>
      <xdr:row>33</xdr:row>
      <xdr:rowOff>0</xdr:rowOff>
    </xdr:to>
    <xdr:sp macro="" textlink="">
      <xdr:nvSpPr>
        <xdr:cNvPr id="3078" name="_x0000_t202" hidden="1">
          <a:extLst>
            <a:ext uri="{FF2B5EF4-FFF2-40B4-BE49-F238E27FC236}">
              <a16:creationId xmlns:a16="http://schemas.microsoft.com/office/drawing/2014/main" id="{00000000-0008-0000-0800-000006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76" name="_x0000_t202" hidden="1">
          <a:extLst>
            <a:ext uri="{FF2B5EF4-FFF2-40B4-BE49-F238E27FC236}">
              <a16:creationId xmlns:a16="http://schemas.microsoft.com/office/drawing/2014/main" id="{00000000-0008-0000-0800-000004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74" name="_x0000_t202" hidden="1">
          <a:extLst>
            <a:ext uri="{FF2B5EF4-FFF2-40B4-BE49-F238E27FC236}">
              <a16:creationId xmlns:a16="http://schemas.microsoft.com/office/drawing/2014/main" id="{00000000-0008-0000-0800-000002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5" name="AutoShape 6">
          <a:extLst>
            <a:ext uri="{FF2B5EF4-FFF2-40B4-BE49-F238E27FC236}">
              <a16:creationId xmlns:a16="http://schemas.microsoft.com/office/drawing/2014/main" id="{D26C41F3-9E1C-4DF3-A89F-7919519690E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6" name="AutoShape 4">
          <a:extLst>
            <a:ext uri="{FF2B5EF4-FFF2-40B4-BE49-F238E27FC236}">
              <a16:creationId xmlns:a16="http://schemas.microsoft.com/office/drawing/2014/main" id="{54791C98-9938-4451-90AE-D4CFC172EBE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7" name="AutoShape 2">
          <a:extLst>
            <a:ext uri="{FF2B5EF4-FFF2-40B4-BE49-F238E27FC236}">
              <a16:creationId xmlns:a16="http://schemas.microsoft.com/office/drawing/2014/main" id="{C0C04872-10CC-4BED-94E6-77E77C6C95A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8" name="AutoShape 6">
          <a:extLst>
            <a:ext uri="{FF2B5EF4-FFF2-40B4-BE49-F238E27FC236}">
              <a16:creationId xmlns:a16="http://schemas.microsoft.com/office/drawing/2014/main" id="{D77FBE93-F4FB-4D92-9427-B33F4842B7E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9" name="AutoShape 4">
          <a:extLst>
            <a:ext uri="{FF2B5EF4-FFF2-40B4-BE49-F238E27FC236}">
              <a16:creationId xmlns:a16="http://schemas.microsoft.com/office/drawing/2014/main" id="{243A0C57-24E3-4970-935B-CFCF3BDC611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10" name="AutoShape 2">
          <a:extLst>
            <a:ext uri="{FF2B5EF4-FFF2-40B4-BE49-F238E27FC236}">
              <a16:creationId xmlns:a16="http://schemas.microsoft.com/office/drawing/2014/main" id="{A15153B7-9D8B-4556-BC1E-A30CED06DD2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11" name="AutoShape 6">
          <a:extLst>
            <a:ext uri="{FF2B5EF4-FFF2-40B4-BE49-F238E27FC236}">
              <a16:creationId xmlns:a16="http://schemas.microsoft.com/office/drawing/2014/main" id="{BD32C4E1-3175-4193-B0FC-E4FEA616C55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12" name="AutoShape 4">
          <a:extLst>
            <a:ext uri="{FF2B5EF4-FFF2-40B4-BE49-F238E27FC236}">
              <a16:creationId xmlns:a16="http://schemas.microsoft.com/office/drawing/2014/main" id="{1FEDCE92-A891-405F-9AA1-EDDDC199029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13" name="AutoShape 2">
          <a:extLst>
            <a:ext uri="{FF2B5EF4-FFF2-40B4-BE49-F238E27FC236}">
              <a16:creationId xmlns:a16="http://schemas.microsoft.com/office/drawing/2014/main" id="{A3334616-278B-47FC-B4B1-8AD9410AA7D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14" name="AutoShape 6">
          <a:extLst>
            <a:ext uri="{FF2B5EF4-FFF2-40B4-BE49-F238E27FC236}">
              <a16:creationId xmlns:a16="http://schemas.microsoft.com/office/drawing/2014/main" id="{0202303E-2197-4BB4-B4B5-5623759E21D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15" name="AutoShape 4">
          <a:extLst>
            <a:ext uri="{FF2B5EF4-FFF2-40B4-BE49-F238E27FC236}">
              <a16:creationId xmlns:a16="http://schemas.microsoft.com/office/drawing/2014/main" id="{B5BB5A80-2188-4243-A1D1-F36502A4DD9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16" name="AutoShape 2">
          <a:extLst>
            <a:ext uri="{FF2B5EF4-FFF2-40B4-BE49-F238E27FC236}">
              <a16:creationId xmlns:a16="http://schemas.microsoft.com/office/drawing/2014/main" id="{579142C9-43AA-44ED-8B33-2E196BD6CE7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17" name="AutoShape 6">
          <a:extLst>
            <a:ext uri="{FF2B5EF4-FFF2-40B4-BE49-F238E27FC236}">
              <a16:creationId xmlns:a16="http://schemas.microsoft.com/office/drawing/2014/main" id="{F36E1CD9-A41A-4FB3-BD2E-02F7C4A1C90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18" name="AutoShape 4">
          <a:extLst>
            <a:ext uri="{FF2B5EF4-FFF2-40B4-BE49-F238E27FC236}">
              <a16:creationId xmlns:a16="http://schemas.microsoft.com/office/drawing/2014/main" id="{F585FB18-C92D-4AE0-92A0-FE6D4870E90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19" name="AutoShape 2">
          <a:extLst>
            <a:ext uri="{FF2B5EF4-FFF2-40B4-BE49-F238E27FC236}">
              <a16:creationId xmlns:a16="http://schemas.microsoft.com/office/drawing/2014/main" id="{9DDCFB76-E95B-456D-8292-C94B5D75859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20" name="AutoShape 6">
          <a:extLst>
            <a:ext uri="{FF2B5EF4-FFF2-40B4-BE49-F238E27FC236}">
              <a16:creationId xmlns:a16="http://schemas.microsoft.com/office/drawing/2014/main" id="{6CBDF44E-F148-49C0-880C-4C49DF6C241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21" name="AutoShape 4">
          <a:extLst>
            <a:ext uri="{FF2B5EF4-FFF2-40B4-BE49-F238E27FC236}">
              <a16:creationId xmlns:a16="http://schemas.microsoft.com/office/drawing/2014/main" id="{C8363784-95A4-4899-A088-CD13F746057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22" name="AutoShape 2">
          <a:extLst>
            <a:ext uri="{FF2B5EF4-FFF2-40B4-BE49-F238E27FC236}">
              <a16:creationId xmlns:a16="http://schemas.microsoft.com/office/drawing/2014/main" id="{A40AD877-AB1E-458C-A3ED-39AA7479509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23" name="AutoShape 6">
          <a:extLst>
            <a:ext uri="{FF2B5EF4-FFF2-40B4-BE49-F238E27FC236}">
              <a16:creationId xmlns:a16="http://schemas.microsoft.com/office/drawing/2014/main" id="{43747C9B-53FA-44DC-8404-6C026DFB3FE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24" name="AutoShape 4">
          <a:extLst>
            <a:ext uri="{FF2B5EF4-FFF2-40B4-BE49-F238E27FC236}">
              <a16:creationId xmlns:a16="http://schemas.microsoft.com/office/drawing/2014/main" id="{DA737CCE-C023-4A0C-A7B8-B15E4B32A637}"/>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25" name="AutoShape 2">
          <a:extLst>
            <a:ext uri="{FF2B5EF4-FFF2-40B4-BE49-F238E27FC236}">
              <a16:creationId xmlns:a16="http://schemas.microsoft.com/office/drawing/2014/main" id="{F24A13E7-FF67-435C-8CA4-8307F36D4D9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26" name="AutoShape 6">
          <a:extLst>
            <a:ext uri="{FF2B5EF4-FFF2-40B4-BE49-F238E27FC236}">
              <a16:creationId xmlns:a16="http://schemas.microsoft.com/office/drawing/2014/main" id="{4C631B78-C51A-4973-909E-56B84A271CF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27" name="AutoShape 4">
          <a:extLst>
            <a:ext uri="{FF2B5EF4-FFF2-40B4-BE49-F238E27FC236}">
              <a16:creationId xmlns:a16="http://schemas.microsoft.com/office/drawing/2014/main" id="{55366371-4534-46FC-B5F3-C25A1893E12D}"/>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28" name="AutoShape 2">
          <a:extLst>
            <a:ext uri="{FF2B5EF4-FFF2-40B4-BE49-F238E27FC236}">
              <a16:creationId xmlns:a16="http://schemas.microsoft.com/office/drawing/2014/main" id="{1B5A242D-C4A5-4A1C-B44D-2BD29F348B7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29" name="AutoShape 6">
          <a:extLst>
            <a:ext uri="{FF2B5EF4-FFF2-40B4-BE49-F238E27FC236}">
              <a16:creationId xmlns:a16="http://schemas.microsoft.com/office/drawing/2014/main" id="{52129B52-51A3-4D99-B4B8-40F529A7A2D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 name="AutoShape 4">
          <a:extLst>
            <a:ext uri="{FF2B5EF4-FFF2-40B4-BE49-F238E27FC236}">
              <a16:creationId xmlns:a16="http://schemas.microsoft.com/office/drawing/2014/main" id="{D530DAA9-2817-4A7C-B525-D4313BB01EB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 name="AutoShape 2">
          <a:extLst>
            <a:ext uri="{FF2B5EF4-FFF2-40B4-BE49-F238E27FC236}">
              <a16:creationId xmlns:a16="http://schemas.microsoft.com/office/drawing/2014/main" id="{4C950B0F-A8B8-44AD-B686-ED28469A31A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72" name="AutoShape 6">
          <a:extLst>
            <a:ext uri="{FF2B5EF4-FFF2-40B4-BE49-F238E27FC236}">
              <a16:creationId xmlns:a16="http://schemas.microsoft.com/office/drawing/2014/main" id="{77A79C0F-13DF-4073-A039-C3FBF4BA0D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73" name="AutoShape 4">
          <a:extLst>
            <a:ext uri="{FF2B5EF4-FFF2-40B4-BE49-F238E27FC236}">
              <a16:creationId xmlns:a16="http://schemas.microsoft.com/office/drawing/2014/main" id="{9E81C730-245A-4F84-99DC-75133E22B62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75" name="AutoShape 2">
          <a:extLst>
            <a:ext uri="{FF2B5EF4-FFF2-40B4-BE49-F238E27FC236}">
              <a16:creationId xmlns:a16="http://schemas.microsoft.com/office/drawing/2014/main" id="{C786A5BF-4D07-4884-9360-A1FD8B5BE64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77" name="AutoShape 6">
          <a:extLst>
            <a:ext uri="{FF2B5EF4-FFF2-40B4-BE49-F238E27FC236}">
              <a16:creationId xmlns:a16="http://schemas.microsoft.com/office/drawing/2014/main" id="{A68E2C6F-E27E-43BE-AC75-475E72FA8AF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79" name="AutoShape 4">
          <a:extLst>
            <a:ext uri="{FF2B5EF4-FFF2-40B4-BE49-F238E27FC236}">
              <a16:creationId xmlns:a16="http://schemas.microsoft.com/office/drawing/2014/main" id="{ECFDA1CD-20F6-4956-B80A-D3DC6E2A562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80" name="AutoShape 2">
          <a:extLst>
            <a:ext uri="{FF2B5EF4-FFF2-40B4-BE49-F238E27FC236}">
              <a16:creationId xmlns:a16="http://schemas.microsoft.com/office/drawing/2014/main" id="{D9C18F65-3C09-46AF-957E-6521F70E88E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81" name="AutoShape 6">
          <a:extLst>
            <a:ext uri="{FF2B5EF4-FFF2-40B4-BE49-F238E27FC236}">
              <a16:creationId xmlns:a16="http://schemas.microsoft.com/office/drawing/2014/main" id="{BF5EF1B7-3AAF-454C-B28F-26799787463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82" name="AutoShape 4">
          <a:extLst>
            <a:ext uri="{FF2B5EF4-FFF2-40B4-BE49-F238E27FC236}">
              <a16:creationId xmlns:a16="http://schemas.microsoft.com/office/drawing/2014/main" id="{D40B3A48-929A-4EB8-8D0C-BFF5D7FED5A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83" name="AutoShape 2">
          <a:extLst>
            <a:ext uri="{FF2B5EF4-FFF2-40B4-BE49-F238E27FC236}">
              <a16:creationId xmlns:a16="http://schemas.microsoft.com/office/drawing/2014/main" id="{F72D5596-0556-4D8C-8EFC-295CBB2C746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84" name="AutoShape 6">
          <a:extLst>
            <a:ext uri="{FF2B5EF4-FFF2-40B4-BE49-F238E27FC236}">
              <a16:creationId xmlns:a16="http://schemas.microsoft.com/office/drawing/2014/main" id="{1B71FA45-C04E-4D63-AD4C-DBDF9DF0476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85" name="AutoShape 4">
          <a:extLst>
            <a:ext uri="{FF2B5EF4-FFF2-40B4-BE49-F238E27FC236}">
              <a16:creationId xmlns:a16="http://schemas.microsoft.com/office/drawing/2014/main" id="{ED110B79-0344-4AA4-B53B-0691EB1E83A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86" name="AutoShape 2">
          <a:extLst>
            <a:ext uri="{FF2B5EF4-FFF2-40B4-BE49-F238E27FC236}">
              <a16:creationId xmlns:a16="http://schemas.microsoft.com/office/drawing/2014/main" id="{2239E00F-ACC9-4548-B1EA-54B8BBCF874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87" name="AutoShape 6">
          <a:extLst>
            <a:ext uri="{FF2B5EF4-FFF2-40B4-BE49-F238E27FC236}">
              <a16:creationId xmlns:a16="http://schemas.microsoft.com/office/drawing/2014/main" id="{27A5D23B-A124-4BE4-BEE4-3AC14E66919D}"/>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88" name="AutoShape 4">
          <a:extLst>
            <a:ext uri="{FF2B5EF4-FFF2-40B4-BE49-F238E27FC236}">
              <a16:creationId xmlns:a16="http://schemas.microsoft.com/office/drawing/2014/main" id="{625862FD-95C8-4B8D-BE6F-570D10D63B2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89" name="AutoShape 2">
          <a:extLst>
            <a:ext uri="{FF2B5EF4-FFF2-40B4-BE49-F238E27FC236}">
              <a16:creationId xmlns:a16="http://schemas.microsoft.com/office/drawing/2014/main" id="{AA166ABF-F743-4694-AFF1-0A6E8BF64D7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90" name="AutoShape 6">
          <a:extLst>
            <a:ext uri="{FF2B5EF4-FFF2-40B4-BE49-F238E27FC236}">
              <a16:creationId xmlns:a16="http://schemas.microsoft.com/office/drawing/2014/main" id="{AF02D2B6-95B1-42C8-B705-16D8EE670C9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91" name="AutoShape 4">
          <a:extLst>
            <a:ext uri="{FF2B5EF4-FFF2-40B4-BE49-F238E27FC236}">
              <a16:creationId xmlns:a16="http://schemas.microsoft.com/office/drawing/2014/main" id="{37EC46D5-756E-46FA-901F-6C76E758094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92" name="AutoShape 2">
          <a:extLst>
            <a:ext uri="{FF2B5EF4-FFF2-40B4-BE49-F238E27FC236}">
              <a16:creationId xmlns:a16="http://schemas.microsoft.com/office/drawing/2014/main" id="{EDF7C0AC-37AD-4364-B093-EF56D3A3E5B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93" name="AutoShape 6">
          <a:extLst>
            <a:ext uri="{FF2B5EF4-FFF2-40B4-BE49-F238E27FC236}">
              <a16:creationId xmlns:a16="http://schemas.microsoft.com/office/drawing/2014/main" id="{701A014C-F243-48FA-8765-814FAAB520F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94" name="AutoShape 4">
          <a:extLst>
            <a:ext uri="{FF2B5EF4-FFF2-40B4-BE49-F238E27FC236}">
              <a16:creationId xmlns:a16="http://schemas.microsoft.com/office/drawing/2014/main" id="{B53A3C36-BAEE-47E1-A9D3-B06A8A4E5BF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95" name="AutoShape 2">
          <a:extLst>
            <a:ext uri="{FF2B5EF4-FFF2-40B4-BE49-F238E27FC236}">
              <a16:creationId xmlns:a16="http://schemas.microsoft.com/office/drawing/2014/main" id="{AAE5D088-5109-427C-BC69-BD0AE4EC8ED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96" name="AutoShape 6">
          <a:extLst>
            <a:ext uri="{FF2B5EF4-FFF2-40B4-BE49-F238E27FC236}">
              <a16:creationId xmlns:a16="http://schemas.microsoft.com/office/drawing/2014/main" id="{701F0400-AE00-4F94-AA67-72D74FF76CD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97" name="AutoShape 4">
          <a:extLst>
            <a:ext uri="{FF2B5EF4-FFF2-40B4-BE49-F238E27FC236}">
              <a16:creationId xmlns:a16="http://schemas.microsoft.com/office/drawing/2014/main" id="{9E852DFC-895B-42CC-AA96-3687C516753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98" name="AutoShape 2">
          <a:extLst>
            <a:ext uri="{FF2B5EF4-FFF2-40B4-BE49-F238E27FC236}">
              <a16:creationId xmlns:a16="http://schemas.microsoft.com/office/drawing/2014/main" id="{E217F89B-418B-4444-89CF-F4CFF8FDB9E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99" name="AutoShape 6">
          <a:extLst>
            <a:ext uri="{FF2B5EF4-FFF2-40B4-BE49-F238E27FC236}">
              <a16:creationId xmlns:a16="http://schemas.microsoft.com/office/drawing/2014/main" id="{26D062C2-599D-49B1-B905-3BAA3009F6D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00" name="AutoShape 4">
          <a:extLst>
            <a:ext uri="{FF2B5EF4-FFF2-40B4-BE49-F238E27FC236}">
              <a16:creationId xmlns:a16="http://schemas.microsoft.com/office/drawing/2014/main" id="{FB7DCE82-2469-425C-AF5D-6A3D054F742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01" name="AutoShape 2">
          <a:extLst>
            <a:ext uri="{FF2B5EF4-FFF2-40B4-BE49-F238E27FC236}">
              <a16:creationId xmlns:a16="http://schemas.microsoft.com/office/drawing/2014/main" id="{7CD84BB1-5FB6-46F0-B60F-F4AB9E445DA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02" name="AutoShape 6">
          <a:extLst>
            <a:ext uri="{FF2B5EF4-FFF2-40B4-BE49-F238E27FC236}">
              <a16:creationId xmlns:a16="http://schemas.microsoft.com/office/drawing/2014/main" id="{CC783C5D-2C7E-420B-8A56-E2A9D2A7550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03" name="AutoShape 4">
          <a:extLst>
            <a:ext uri="{FF2B5EF4-FFF2-40B4-BE49-F238E27FC236}">
              <a16:creationId xmlns:a16="http://schemas.microsoft.com/office/drawing/2014/main" id="{6D38BF69-35E9-4DED-9822-2FAF140672D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04" name="AutoShape 2">
          <a:extLst>
            <a:ext uri="{FF2B5EF4-FFF2-40B4-BE49-F238E27FC236}">
              <a16:creationId xmlns:a16="http://schemas.microsoft.com/office/drawing/2014/main" id="{1ED730B6-6BF2-4E49-94FF-268AFA24251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05" name="AutoShape 6">
          <a:extLst>
            <a:ext uri="{FF2B5EF4-FFF2-40B4-BE49-F238E27FC236}">
              <a16:creationId xmlns:a16="http://schemas.microsoft.com/office/drawing/2014/main" id="{1BDF052D-4D61-4074-A809-3EB43D35022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06" name="AutoShape 4">
          <a:extLst>
            <a:ext uri="{FF2B5EF4-FFF2-40B4-BE49-F238E27FC236}">
              <a16:creationId xmlns:a16="http://schemas.microsoft.com/office/drawing/2014/main" id="{17B527F1-F230-4864-AFA1-10BFFC95FB4D}"/>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07" name="AutoShape 2">
          <a:extLst>
            <a:ext uri="{FF2B5EF4-FFF2-40B4-BE49-F238E27FC236}">
              <a16:creationId xmlns:a16="http://schemas.microsoft.com/office/drawing/2014/main" id="{EE36DCDC-5449-45D8-AB72-75665B2BA2A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08" name="AutoShape 6">
          <a:extLst>
            <a:ext uri="{FF2B5EF4-FFF2-40B4-BE49-F238E27FC236}">
              <a16:creationId xmlns:a16="http://schemas.microsoft.com/office/drawing/2014/main" id="{93C45AF4-07DC-4EB1-B7CC-DC2B973E269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09" name="AutoShape 4">
          <a:extLst>
            <a:ext uri="{FF2B5EF4-FFF2-40B4-BE49-F238E27FC236}">
              <a16:creationId xmlns:a16="http://schemas.microsoft.com/office/drawing/2014/main" id="{2053EB96-430B-417E-B3EE-DEF1940CF6F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10" name="AutoShape 2">
          <a:extLst>
            <a:ext uri="{FF2B5EF4-FFF2-40B4-BE49-F238E27FC236}">
              <a16:creationId xmlns:a16="http://schemas.microsoft.com/office/drawing/2014/main" id="{C49DD707-A198-47E2-A859-496318D86D7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11" name="AutoShape 6">
          <a:extLst>
            <a:ext uri="{FF2B5EF4-FFF2-40B4-BE49-F238E27FC236}">
              <a16:creationId xmlns:a16="http://schemas.microsoft.com/office/drawing/2014/main" id="{B6C0D31F-2360-4A7B-AD33-BBDFA9A3BDA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12" name="AutoShape 4">
          <a:extLst>
            <a:ext uri="{FF2B5EF4-FFF2-40B4-BE49-F238E27FC236}">
              <a16:creationId xmlns:a16="http://schemas.microsoft.com/office/drawing/2014/main" id="{A30CC952-E385-4D31-8485-30D48FC970D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13" name="AutoShape 2">
          <a:extLst>
            <a:ext uri="{FF2B5EF4-FFF2-40B4-BE49-F238E27FC236}">
              <a16:creationId xmlns:a16="http://schemas.microsoft.com/office/drawing/2014/main" id="{96283D3C-E0F2-4226-937E-FDAD0B8EF91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14" name="AutoShape 6">
          <a:extLst>
            <a:ext uri="{FF2B5EF4-FFF2-40B4-BE49-F238E27FC236}">
              <a16:creationId xmlns:a16="http://schemas.microsoft.com/office/drawing/2014/main" id="{2939AF97-B60F-4271-AA8D-E9F5C13DE2E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15" name="AutoShape 4">
          <a:extLst>
            <a:ext uri="{FF2B5EF4-FFF2-40B4-BE49-F238E27FC236}">
              <a16:creationId xmlns:a16="http://schemas.microsoft.com/office/drawing/2014/main" id="{0E797D09-89CE-42CE-97B8-434FCA1B1D0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16" name="AutoShape 2">
          <a:extLst>
            <a:ext uri="{FF2B5EF4-FFF2-40B4-BE49-F238E27FC236}">
              <a16:creationId xmlns:a16="http://schemas.microsoft.com/office/drawing/2014/main" id="{D09B5910-44E1-424B-A2DB-2AFD50282A7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17" name="AutoShape 6">
          <a:extLst>
            <a:ext uri="{FF2B5EF4-FFF2-40B4-BE49-F238E27FC236}">
              <a16:creationId xmlns:a16="http://schemas.microsoft.com/office/drawing/2014/main" id="{820FA17A-28A6-42C1-A00B-7D62CA6208D7}"/>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18" name="AutoShape 4">
          <a:extLst>
            <a:ext uri="{FF2B5EF4-FFF2-40B4-BE49-F238E27FC236}">
              <a16:creationId xmlns:a16="http://schemas.microsoft.com/office/drawing/2014/main" id="{5E26E188-E7F7-4BA0-9271-3E9FFB5310C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19" name="AutoShape 2">
          <a:extLst>
            <a:ext uri="{FF2B5EF4-FFF2-40B4-BE49-F238E27FC236}">
              <a16:creationId xmlns:a16="http://schemas.microsoft.com/office/drawing/2014/main" id="{67E2787E-1E93-4B12-B731-76C2480B479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20" name="AutoShape 6">
          <a:extLst>
            <a:ext uri="{FF2B5EF4-FFF2-40B4-BE49-F238E27FC236}">
              <a16:creationId xmlns:a16="http://schemas.microsoft.com/office/drawing/2014/main" id="{FABE3F31-97AC-4BEE-834F-918A94D37FA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21" name="AutoShape 4">
          <a:extLst>
            <a:ext uri="{FF2B5EF4-FFF2-40B4-BE49-F238E27FC236}">
              <a16:creationId xmlns:a16="http://schemas.microsoft.com/office/drawing/2014/main" id="{AC0CB711-46A6-4B8B-B2FF-208B2E352E1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22" name="AutoShape 2">
          <a:extLst>
            <a:ext uri="{FF2B5EF4-FFF2-40B4-BE49-F238E27FC236}">
              <a16:creationId xmlns:a16="http://schemas.microsoft.com/office/drawing/2014/main" id="{8D1ACC3B-D831-4C23-8F9E-4B9ED7BDC367}"/>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23" name="AutoShape 6">
          <a:extLst>
            <a:ext uri="{FF2B5EF4-FFF2-40B4-BE49-F238E27FC236}">
              <a16:creationId xmlns:a16="http://schemas.microsoft.com/office/drawing/2014/main" id="{906CF428-2A84-4723-8AAB-112C1413B67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24" name="AutoShape 4">
          <a:extLst>
            <a:ext uri="{FF2B5EF4-FFF2-40B4-BE49-F238E27FC236}">
              <a16:creationId xmlns:a16="http://schemas.microsoft.com/office/drawing/2014/main" id="{4B3D38A2-33EA-4115-893A-380657E35AD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25" name="AutoShape 2">
          <a:extLst>
            <a:ext uri="{FF2B5EF4-FFF2-40B4-BE49-F238E27FC236}">
              <a16:creationId xmlns:a16="http://schemas.microsoft.com/office/drawing/2014/main" id="{F54FD4AA-0F3A-4D37-BDB7-70F2D1C7A54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26" name="AutoShape 6">
          <a:extLst>
            <a:ext uri="{FF2B5EF4-FFF2-40B4-BE49-F238E27FC236}">
              <a16:creationId xmlns:a16="http://schemas.microsoft.com/office/drawing/2014/main" id="{3E55F550-EB0F-40EE-B0CE-FF570A9A2AD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27" name="AutoShape 4">
          <a:extLst>
            <a:ext uri="{FF2B5EF4-FFF2-40B4-BE49-F238E27FC236}">
              <a16:creationId xmlns:a16="http://schemas.microsoft.com/office/drawing/2014/main" id="{DAC7C6A9-2C3A-49AA-BF59-ADCBFF304E6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28" name="AutoShape 2">
          <a:extLst>
            <a:ext uri="{FF2B5EF4-FFF2-40B4-BE49-F238E27FC236}">
              <a16:creationId xmlns:a16="http://schemas.microsoft.com/office/drawing/2014/main" id="{E3D374FC-4493-4049-8D21-2AEA1F2393E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29" name="AutoShape 6">
          <a:extLst>
            <a:ext uri="{FF2B5EF4-FFF2-40B4-BE49-F238E27FC236}">
              <a16:creationId xmlns:a16="http://schemas.microsoft.com/office/drawing/2014/main" id="{5FDC7574-5755-4B54-9196-0CC5673F0CF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30" name="AutoShape 4">
          <a:extLst>
            <a:ext uri="{FF2B5EF4-FFF2-40B4-BE49-F238E27FC236}">
              <a16:creationId xmlns:a16="http://schemas.microsoft.com/office/drawing/2014/main" id="{7BB2424E-F2BA-4E2C-8DEB-7ACCCE79956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31" name="AutoShape 2">
          <a:extLst>
            <a:ext uri="{FF2B5EF4-FFF2-40B4-BE49-F238E27FC236}">
              <a16:creationId xmlns:a16="http://schemas.microsoft.com/office/drawing/2014/main" id="{80519AA3-FD54-483E-823E-40A0000FE0C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32" name="AutoShape 6">
          <a:extLst>
            <a:ext uri="{FF2B5EF4-FFF2-40B4-BE49-F238E27FC236}">
              <a16:creationId xmlns:a16="http://schemas.microsoft.com/office/drawing/2014/main" id="{3DD74CF3-C977-4795-B751-85C9AAB324D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33" name="AutoShape 4">
          <a:extLst>
            <a:ext uri="{FF2B5EF4-FFF2-40B4-BE49-F238E27FC236}">
              <a16:creationId xmlns:a16="http://schemas.microsoft.com/office/drawing/2014/main" id="{05462DE1-6104-476B-99E6-1614F9A2639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34" name="AutoShape 2">
          <a:extLst>
            <a:ext uri="{FF2B5EF4-FFF2-40B4-BE49-F238E27FC236}">
              <a16:creationId xmlns:a16="http://schemas.microsoft.com/office/drawing/2014/main" id="{6D3E01FC-40A4-4B2A-891D-61AA73A095C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35" name="AutoShape 6">
          <a:extLst>
            <a:ext uri="{FF2B5EF4-FFF2-40B4-BE49-F238E27FC236}">
              <a16:creationId xmlns:a16="http://schemas.microsoft.com/office/drawing/2014/main" id="{D9341BAB-59B7-4B24-B378-008F8A05B6A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36" name="AutoShape 4">
          <a:extLst>
            <a:ext uri="{FF2B5EF4-FFF2-40B4-BE49-F238E27FC236}">
              <a16:creationId xmlns:a16="http://schemas.microsoft.com/office/drawing/2014/main" id="{B5C44B22-5BDC-4DF4-B5E4-34217681B69D}"/>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37" name="AutoShape 2">
          <a:extLst>
            <a:ext uri="{FF2B5EF4-FFF2-40B4-BE49-F238E27FC236}">
              <a16:creationId xmlns:a16="http://schemas.microsoft.com/office/drawing/2014/main" id="{E2726E40-7B11-471E-9FF9-75288865251D}"/>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38" name="AutoShape 6">
          <a:extLst>
            <a:ext uri="{FF2B5EF4-FFF2-40B4-BE49-F238E27FC236}">
              <a16:creationId xmlns:a16="http://schemas.microsoft.com/office/drawing/2014/main" id="{5D993CF8-DF4F-4321-84F3-E4AD89F75B5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39" name="AutoShape 4">
          <a:extLst>
            <a:ext uri="{FF2B5EF4-FFF2-40B4-BE49-F238E27FC236}">
              <a16:creationId xmlns:a16="http://schemas.microsoft.com/office/drawing/2014/main" id="{4CE2A28F-A4FD-41F5-8812-756CC9E8408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40" name="AutoShape 2">
          <a:extLst>
            <a:ext uri="{FF2B5EF4-FFF2-40B4-BE49-F238E27FC236}">
              <a16:creationId xmlns:a16="http://schemas.microsoft.com/office/drawing/2014/main" id="{2C7CAEB5-59CF-46C2-8BE8-C077FCFDFDB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41" name="AutoShape 6">
          <a:extLst>
            <a:ext uri="{FF2B5EF4-FFF2-40B4-BE49-F238E27FC236}">
              <a16:creationId xmlns:a16="http://schemas.microsoft.com/office/drawing/2014/main" id="{A222F676-4074-497E-80EC-7FA408017F9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42" name="AutoShape 4">
          <a:extLst>
            <a:ext uri="{FF2B5EF4-FFF2-40B4-BE49-F238E27FC236}">
              <a16:creationId xmlns:a16="http://schemas.microsoft.com/office/drawing/2014/main" id="{745BDDDA-5712-4223-B4BA-C12D0114BEF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43" name="AutoShape 2">
          <a:extLst>
            <a:ext uri="{FF2B5EF4-FFF2-40B4-BE49-F238E27FC236}">
              <a16:creationId xmlns:a16="http://schemas.microsoft.com/office/drawing/2014/main" id="{43526D4A-182B-44CE-9151-0984E3C24DC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44" name="AutoShape 6">
          <a:extLst>
            <a:ext uri="{FF2B5EF4-FFF2-40B4-BE49-F238E27FC236}">
              <a16:creationId xmlns:a16="http://schemas.microsoft.com/office/drawing/2014/main" id="{5B463D03-145C-4B93-8B1E-79E642238A8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45" name="AutoShape 4">
          <a:extLst>
            <a:ext uri="{FF2B5EF4-FFF2-40B4-BE49-F238E27FC236}">
              <a16:creationId xmlns:a16="http://schemas.microsoft.com/office/drawing/2014/main" id="{5F7641E1-C8CB-49F1-B01C-39D7C01332D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46" name="AutoShape 2">
          <a:extLst>
            <a:ext uri="{FF2B5EF4-FFF2-40B4-BE49-F238E27FC236}">
              <a16:creationId xmlns:a16="http://schemas.microsoft.com/office/drawing/2014/main" id="{799B59CB-6F81-454F-A93E-1AD016299C1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47" name="AutoShape 6">
          <a:extLst>
            <a:ext uri="{FF2B5EF4-FFF2-40B4-BE49-F238E27FC236}">
              <a16:creationId xmlns:a16="http://schemas.microsoft.com/office/drawing/2014/main" id="{7BE44E74-EA02-4EA5-A183-E06A77BC264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48" name="AutoShape 4">
          <a:extLst>
            <a:ext uri="{FF2B5EF4-FFF2-40B4-BE49-F238E27FC236}">
              <a16:creationId xmlns:a16="http://schemas.microsoft.com/office/drawing/2014/main" id="{AE134A68-7F1F-4489-BC7E-9CC37F284FC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49" name="AutoShape 2">
          <a:extLst>
            <a:ext uri="{FF2B5EF4-FFF2-40B4-BE49-F238E27FC236}">
              <a16:creationId xmlns:a16="http://schemas.microsoft.com/office/drawing/2014/main" id="{0DEA7E44-E17B-4C34-9328-9CF013FE6BB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434340</xdr:colOff>
      <xdr:row>33</xdr:row>
      <xdr:rowOff>0</xdr:rowOff>
    </xdr:to>
    <xdr:sp macro="" textlink="">
      <xdr:nvSpPr>
        <xdr:cNvPr id="3150" name="AutoShape 6">
          <a:extLst>
            <a:ext uri="{FF2B5EF4-FFF2-40B4-BE49-F238E27FC236}">
              <a16:creationId xmlns:a16="http://schemas.microsoft.com/office/drawing/2014/main" id="{EC8D37F1-E611-408C-A5D3-99608C93332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434340</xdr:colOff>
      <xdr:row>33</xdr:row>
      <xdr:rowOff>0</xdr:rowOff>
    </xdr:to>
    <xdr:sp macro="" textlink="">
      <xdr:nvSpPr>
        <xdr:cNvPr id="3151" name="AutoShape 4">
          <a:extLst>
            <a:ext uri="{FF2B5EF4-FFF2-40B4-BE49-F238E27FC236}">
              <a16:creationId xmlns:a16="http://schemas.microsoft.com/office/drawing/2014/main" id="{9600AD0B-811D-4D16-B128-3D31450451ED}"/>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434340</xdr:colOff>
      <xdr:row>33</xdr:row>
      <xdr:rowOff>0</xdr:rowOff>
    </xdr:to>
    <xdr:sp macro="" textlink="">
      <xdr:nvSpPr>
        <xdr:cNvPr id="3152" name="AutoShape 2">
          <a:extLst>
            <a:ext uri="{FF2B5EF4-FFF2-40B4-BE49-F238E27FC236}">
              <a16:creationId xmlns:a16="http://schemas.microsoft.com/office/drawing/2014/main" id="{45BE9493-931C-45E6-8C33-109C112BC92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434340</xdr:colOff>
      <xdr:row>33</xdr:row>
      <xdr:rowOff>0</xdr:rowOff>
    </xdr:to>
    <xdr:sp macro="" textlink="">
      <xdr:nvSpPr>
        <xdr:cNvPr id="3153" name="AutoShape 6">
          <a:extLst>
            <a:ext uri="{FF2B5EF4-FFF2-40B4-BE49-F238E27FC236}">
              <a16:creationId xmlns:a16="http://schemas.microsoft.com/office/drawing/2014/main" id="{3CBF4E9F-463A-48BA-A32D-32984BB7A2D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434340</xdr:colOff>
      <xdr:row>33</xdr:row>
      <xdr:rowOff>0</xdr:rowOff>
    </xdr:to>
    <xdr:sp macro="" textlink="">
      <xdr:nvSpPr>
        <xdr:cNvPr id="3154" name="AutoShape 4">
          <a:extLst>
            <a:ext uri="{FF2B5EF4-FFF2-40B4-BE49-F238E27FC236}">
              <a16:creationId xmlns:a16="http://schemas.microsoft.com/office/drawing/2014/main" id="{2065F1AC-725C-478C-B324-6001252FD15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434340</xdr:colOff>
      <xdr:row>33</xdr:row>
      <xdr:rowOff>0</xdr:rowOff>
    </xdr:to>
    <xdr:sp macro="" textlink="">
      <xdr:nvSpPr>
        <xdr:cNvPr id="3155" name="AutoShape 2">
          <a:extLst>
            <a:ext uri="{FF2B5EF4-FFF2-40B4-BE49-F238E27FC236}">
              <a16:creationId xmlns:a16="http://schemas.microsoft.com/office/drawing/2014/main" id="{C6C2C74B-E0FF-4B87-A3F9-274F264EC60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56" name="AutoShape 6">
          <a:extLst>
            <a:ext uri="{FF2B5EF4-FFF2-40B4-BE49-F238E27FC236}">
              <a16:creationId xmlns:a16="http://schemas.microsoft.com/office/drawing/2014/main" id="{FA91F185-8493-4DC8-90EC-CEFB6D83F34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57" name="AutoShape 4">
          <a:extLst>
            <a:ext uri="{FF2B5EF4-FFF2-40B4-BE49-F238E27FC236}">
              <a16:creationId xmlns:a16="http://schemas.microsoft.com/office/drawing/2014/main" id="{2952A266-B83A-42DF-9161-47E4940DD8B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58" name="AutoShape 2">
          <a:extLst>
            <a:ext uri="{FF2B5EF4-FFF2-40B4-BE49-F238E27FC236}">
              <a16:creationId xmlns:a16="http://schemas.microsoft.com/office/drawing/2014/main" id="{448F0FDF-1EB5-493B-98B1-09862539221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59" name="AutoShape 6">
          <a:extLst>
            <a:ext uri="{FF2B5EF4-FFF2-40B4-BE49-F238E27FC236}">
              <a16:creationId xmlns:a16="http://schemas.microsoft.com/office/drawing/2014/main" id="{744E9CE1-73DE-4A48-A8C3-0C9503CD8F3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60" name="AutoShape 4">
          <a:extLst>
            <a:ext uri="{FF2B5EF4-FFF2-40B4-BE49-F238E27FC236}">
              <a16:creationId xmlns:a16="http://schemas.microsoft.com/office/drawing/2014/main" id="{8AC4C31C-FF66-410E-B616-FB501320379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61" name="AutoShape 2">
          <a:extLst>
            <a:ext uri="{FF2B5EF4-FFF2-40B4-BE49-F238E27FC236}">
              <a16:creationId xmlns:a16="http://schemas.microsoft.com/office/drawing/2014/main" id="{688A7F52-A334-41A6-BABC-949FE5CD54C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62" name="AutoShape 6">
          <a:extLst>
            <a:ext uri="{FF2B5EF4-FFF2-40B4-BE49-F238E27FC236}">
              <a16:creationId xmlns:a16="http://schemas.microsoft.com/office/drawing/2014/main" id="{AE371A37-A36B-4D1E-91EA-618F3EF1A21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63" name="AutoShape 4">
          <a:extLst>
            <a:ext uri="{FF2B5EF4-FFF2-40B4-BE49-F238E27FC236}">
              <a16:creationId xmlns:a16="http://schemas.microsoft.com/office/drawing/2014/main" id="{CF4D01A8-59B3-42A3-8ACA-509C5968028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64" name="AutoShape 2">
          <a:extLst>
            <a:ext uri="{FF2B5EF4-FFF2-40B4-BE49-F238E27FC236}">
              <a16:creationId xmlns:a16="http://schemas.microsoft.com/office/drawing/2014/main" id="{123BE36B-32DC-4628-9FED-78B9D6EF15F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65" name="AutoShape 6">
          <a:extLst>
            <a:ext uri="{FF2B5EF4-FFF2-40B4-BE49-F238E27FC236}">
              <a16:creationId xmlns:a16="http://schemas.microsoft.com/office/drawing/2014/main" id="{FC8B729E-786B-44CB-99ED-5B77863CF93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66" name="AutoShape 4">
          <a:extLst>
            <a:ext uri="{FF2B5EF4-FFF2-40B4-BE49-F238E27FC236}">
              <a16:creationId xmlns:a16="http://schemas.microsoft.com/office/drawing/2014/main" id="{8DC00C90-5E6B-4FD9-A60D-2FD6CE05337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67" name="AutoShape 2">
          <a:extLst>
            <a:ext uri="{FF2B5EF4-FFF2-40B4-BE49-F238E27FC236}">
              <a16:creationId xmlns:a16="http://schemas.microsoft.com/office/drawing/2014/main" id="{7B8FCFBB-6697-49D8-9AE5-36E72308096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68" name="AutoShape 6">
          <a:extLst>
            <a:ext uri="{FF2B5EF4-FFF2-40B4-BE49-F238E27FC236}">
              <a16:creationId xmlns:a16="http://schemas.microsoft.com/office/drawing/2014/main" id="{22687055-BD90-42E1-95D6-B5369A90831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69" name="AutoShape 4">
          <a:extLst>
            <a:ext uri="{FF2B5EF4-FFF2-40B4-BE49-F238E27FC236}">
              <a16:creationId xmlns:a16="http://schemas.microsoft.com/office/drawing/2014/main" id="{09E78A00-8F58-4291-B742-9FA3D7E4B32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70" name="AutoShape 2">
          <a:extLst>
            <a:ext uri="{FF2B5EF4-FFF2-40B4-BE49-F238E27FC236}">
              <a16:creationId xmlns:a16="http://schemas.microsoft.com/office/drawing/2014/main" id="{08E580A8-27F0-4D18-90F8-89C4E5F75ECD}"/>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71" name="AutoShape 6">
          <a:extLst>
            <a:ext uri="{FF2B5EF4-FFF2-40B4-BE49-F238E27FC236}">
              <a16:creationId xmlns:a16="http://schemas.microsoft.com/office/drawing/2014/main" id="{5AD1BF06-A2B2-4D9F-9A57-C379F8F8A32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72" name="AutoShape 4">
          <a:extLst>
            <a:ext uri="{FF2B5EF4-FFF2-40B4-BE49-F238E27FC236}">
              <a16:creationId xmlns:a16="http://schemas.microsoft.com/office/drawing/2014/main" id="{B7DF6145-0867-4C4E-9D79-7F5F3C73731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73" name="AutoShape 2">
          <a:extLst>
            <a:ext uri="{FF2B5EF4-FFF2-40B4-BE49-F238E27FC236}">
              <a16:creationId xmlns:a16="http://schemas.microsoft.com/office/drawing/2014/main" id="{CB10B1EE-A8D9-4D31-9484-F6B161CB79F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74" name="AutoShape 6">
          <a:extLst>
            <a:ext uri="{FF2B5EF4-FFF2-40B4-BE49-F238E27FC236}">
              <a16:creationId xmlns:a16="http://schemas.microsoft.com/office/drawing/2014/main" id="{A15C0F9B-00E4-4A60-8F7F-35757A6FAA0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75" name="AutoShape 4">
          <a:extLst>
            <a:ext uri="{FF2B5EF4-FFF2-40B4-BE49-F238E27FC236}">
              <a16:creationId xmlns:a16="http://schemas.microsoft.com/office/drawing/2014/main" id="{9DDA1199-927B-4989-80D3-D6ADE2B8C26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76" name="AutoShape 2">
          <a:extLst>
            <a:ext uri="{FF2B5EF4-FFF2-40B4-BE49-F238E27FC236}">
              <a16:creationId xmlns:a16="http://schemas.microsoft.com/office/drawing/2014/main" id="{4BDE2D9F-D634-4E98-AB73-6CF9AA8332D7}"/>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gnl\Data%20-%20Q-schijf%20op%20Fil08\EK\MEI_IDE\Programma%20SDE\MSK%20SDE%202010-2014\uitvoering%20MSK\In%20uitvoering\Lijst%20nov.%202013\SDE1103715%20ZON%20MSK%20berekening%2020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erblad"/>
      <sheetName val="Overzicht MSK toets"/>
      <sheetName val="Hulpberekeningen 1"/>
      <sheetName val="Hulpberekeningen 2"/>
      <sheetName val="Stamblad"/>
      <sheetName val="Toelichting"/>
      <sheetName val="exploitatieoverzicht wind"/>
      <sheetName val="Afwijking van gegevens aanvrag."/>
      <sheetName val="Rendement geinv. vermogen"/>
      <sheetName val="VAMIL voordeel"/>
      <sheetName val="Invoerblad  bij lease"/>
      <sheetName val="exploitatieoverzicht Biomassa"/>
    </sheetNames>
    <sheetDataSet>
      <sheetData sheetId="0">
        <row r="13">
          <cell r="E13">
            <v>3.6999999999999998E-2</v>
          </cell>
        </row>
      </sheetData>
      <sheetData sheetId="1" refreshError="1"/>
      <sheetData sheetId="2" refreshError="1"/>
      <sheetData sheetId="3" refreshError="1"/>
      <sheetData sheetId="4">
        <row r="9">
          <cell r="B9" t="str">
            <v>Zon-PV Groot 2011</v>
          </cell>
        </row>
        <row r="10">
          <cell r="B10" t="str">
            <v>Zon-PV Groot 2012</v>
          </cell>
        </row>
        <row r="11">
          <cell r="B11" t="str">
            <v>Zon-PV Groot 2013</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hyperlink" Target="http://ec.europa.eu/comm/competition/state_aid/legislation/reference_rates.html"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6.bin"/><Relationship Id="rId1" Type="http://schemas.openxmlformats.org/officeDocument/2006/relationships/hyperlink" Target="https://competition-policy.ec.europa.eu/state-aid/legislation/reference-discount-rates-and-recovery-interest-rates/reference-and-discount-rates_en" TargetMode="Externa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hyperlink" Target="http://ec.europa.eu/comm/competition/state_aid/legislation/reference_rates.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249"/>
  <sheetViews>
    <sheetView showGridLines="0" tabSelected="1" zoomScaleNormal="100" zoomScaleSheetLayoutView="75" workbookViewId="0">
      <selection activeCell="E8" sqref="E8"/>
    </sheetView>
  </sheetViews>
  <sheetFormatPr defaultRowHeight="12.75" zeroHeight="1" x14ac:dyDescent="0.2"/>
  <cols>
    <col min="1" max="1" width="13" style="1" customWidth="1"/>
    <col min="2" max="2" width="62.5" customWidth="1"/>
    <col min="3" max="3" width="29.33203125" customWidth="1"/>
    <col min="4" max="4" width="10" customWidth="1"/>
    <col min="5" max="5" width="46.1640625" customWidth="1"/>
    <col min="6" max="6" width="21.1640625" bestFit="1" customWidth="1"/>
    <col min="7" max="7" width="5.6640625" style="2" bestFit="1" customWidth="1"/>
    <col min="8" max="8" width="52" customWidth="1"/>
    <col min="9" max="9" width="24.83203125" style="3" customWidth="1"/>
    <col min="10" max="10" width="15.33203125" style="3" customWidth="1"/>
    <col min="11" max="11" width="17.5" customWidth="1"/>
    <col min="12" max="28" width="17" customWidth="1"/>
  </cols>
  <sheetData>
    <row r="1" spans="1:28" s="3" customFormat="1" ht="99" customHeight="1" x14ac:dyDescent="0.35">
      <c r="A1" s="4" t="s">
        <v>0</v>
      </c>
      <c r="B1"/>
      <c r="G1" s="2"/>
      <c r="H1" s="399" t="s">
        <v>305</v>
      </c>
    </row>
    <row r="2" spans="1:28" s="3" customFormat="1" x14ac:dyDescent="0.2">
      <c r="A2" s="136"/>
      <c r="G2" s="2"/>
    </row>
    <row r="3" spans="1:28" s="3" customFormat="1" x14ac:dyDescent="0.2">
      <c r="A3" s="814" t="s">
        <v>330</v>
      </c>
      <c r="B3" s="815"/>
      <c r="C3" s="815"/>
      <c r="D3" s="816"/>
      <c r="E3" s="817"/>
      <c r="G3" s="2"/>
      <c r="H3" s="5" t="s">
        <v>1</v>
      </c>
      <c r="I3" s="307"/>
    </row>
    <row r="4" spans="1:28" s="3" customFormat="1" x14ac:dyDescent="0.2">
      <c r="A4" s="818"/>
      <c r="B4" s="819"/>
      <c r="C4" s="819"/>
      <c r="D4" s="820"/>
      <c r="E4" s="821"/>
      <c r="G4" s="2"/>
      <c r="H4" s="5"/>
      <c r="I4" s="307"/>
    </row>
    <row r="5" spans="1:28" ht="24" customHeight="1" x14ac:dyDescent="0.2">
      <c r="A5" s="818"/>
      <c r="B5" s="819"/>
      <c r="C5" s="819"/>
      <c r="D5" s="820"/>
      <c r="E5" s="821"/>
      <c r="H5" s="5" t="s">
        <v>2</v>
      </c>
      <c r="I5" s="5"/>
      <c r="J5" s="6"/>
      <c r="M5" s="315"/>
      <c r="N5" s="612"/>
      <c r="O5" s="315"/>
      <c r="P5" s="315"/>
      <c r="Q5" s="315"/>
    </row>
    <row r="6" spans="1:28" s="3" customFormat="1" ht="15.75" customHeight="1" x14ac:dyDescent="0.35">
      <c r="A6" s="822"/>
      <c r="B6" s="823"/>
      <c r="C6" s="823"/>
      <c r="D6" s="823"/>
      <c r="E6" s="824"/>
      <c r="G6" s="2"/>
      <c r="H6" s="15" t="s">
        <v>4</v>
      </c>
      <c r="I6" s="15"/>
      <c r="J6" s="161"/>
      <c r="L6" s="399"/>
      <c r="M6" s="315"/>
      <c r="N6" s="315"/>
      <c r="O6" s="315"/>
      <c r="P6" s="315"/>
      <c r="Q6" s="315"/>
    </row>
    <row r="7" spans="1:28" ht="24.75" customHeight="1" x14ac:dyDescent="0.2">
      <c r="L7" s="7"/>
      <c r="M7" s="8"/>
      <c r="N7" s="9"/>
    </row>
    <row r="8" spans="1:28" ht="14.25" x14ac:dyDescent="0.2">
      <c r="B8" s="10" t="s">
        <v>3</v>
      </c>
      <c r="C8" s="11"/>
      <c r="D8" s="11"/>
      <c r="E8" s="12"/>
      <c r="F8" s="13"/>
      <c r="G8" s="14"/>
      <c r="J8" s="16"/>
      <c r="K8" s="17"/>
      <c r="L8" s="18"/>
      <c r="M8" s="9"/>
      <c r="N8" s="19"/>
    </row>
    <row r="9" spans="1:28" ht="15.75" x14ac:dyDescent="0.25">
      <c r="B9" s="804" t="s">
        <v>5</v>
      </c>
      <c r="C9" s="20"/>
      <c r="D9" s="20"/>
      <c r="E9" s="20"/>
      <c r="F9" s="21"/>
      <c r="G9" s="22"/>
      <c r="H9" s="21"/>
      <c r="I9" s="23"/>
      <c r="J9" s="24"/>
      <c r="L9" s="25"/>
      <c r="M9" s="26"/>
      <c r="N9" s="26"/>
    </row>
    <row r="10" spans="1:28" ht="14.25" x14ac:dyDescent="0.2">
      <c r="A10" s="27" t="s">
        <v>6</v>
      </c>
      <c r="B10" s="20"/>
      <c r="C10" s="20"/>
      <c r="D10" s="20"/>
      <c r="E10" s="20"/>
      <c r="F10" s="21"/>
      <c r="G10" s="22"/>
      <c r="H10" s="21"/>
      <c r="I10" s="28" t="s">
        <v>7</v>
      </c>
      <c r="J10" s="24"/>
      <c r="K10" s="3"/>
      <c r="L10" s="29"/>
      <c r="M10" s="3"/>
      <c r="N10" s="26"/>
      <c r="O10" s="3"/>
    </row>
    <row r="11" spans="1:28" ht="14.25" x14ac:dyDescent="0.2">
      <c r="B11" s="20"/>
      <c r="C11" s="20"/>
      <c r="D11" s="20"/>
      <c r="E11" s="20"/>
      <c r="F11" s="21"/>
      <c r="G11" s="22"/>
      <c r="H11" s="21"/>
      <c r="I11" s="28" t="s">
        <v>8</v>
      </c>
      <c r="J11" s="24"/>
      <c r="L11" s="30"/>
      <c r="M11" s="3"/>
      <c r="N11" s="26"/>
      <c r="O11" s="3"/>
    </row>
    <row r="12" spans="1:28" ht="15.75" customHeight="1" thickBot="1" x14ac:dyDescent="0.3">
      <c r="B12" s="20" t="s">
        <v>9</v>
      </c>
      <c r="C12" s="20"/>
      <c r="D12" s="20"/>
      <c r="E12" s="20"/>
      <c r="F12" s="21"/>
      <c r="G12" s="22"/>
      <c r="H12" s="21"/>
      <c r="I12" s="23"/>
      <c r="J12" s="24"/>
      <c r="L12" s="30"/>
      <c r="M12" s="3"/>
      <c r="N12" s="26"/>
      <c r="O12" s="3"/>
    </row>
    <row r="13" spans="1:28" ht="15.75" thickBot="1" x14ac:dyDescent="0.3">
      <c r="A13" s="1">
        <v>1</v>
      </c>
      <c r="B13" s="31" t="s">
        <v>10</v>
      </c>
      <c r="C13" s="32"/>
      <c r="D13" s="20"/>
      <c r="E13" s="306" t="s">
        <v>536</v>
      </c>
      <c r="F13" s="21"/>
      <c r="G13" s="34" t="s">
        <v>11</v>
      </c>
      <c r="H13" s="21"/>
      <c r="I13" s="35"/>
      <c r="J13" s="24"/>
      <c r="K13" s="28"/>
      <c r="L13" s="29"/>
      <c r="M13" s="254">
        <f>DATEDIF(E44,E43,"m")</f>
        <v>0</v>
      </c>
      <c r="N13" s="26"/>
      <c r="O13" s="3"/>
      <c r="P13" s="3"/>
      <c r="Q13" s="3"/>
      <c r="R13" s="3"/>
      <c r="S13" s="3"/>
      <c r="T13" s="3"/>
      <c r="U13" s="3"/>
      <c r="V13" s="3"/>
      <c r="W13" s="3"/>
    </row>
    <row r="14" spans="1:28" ht="35.1" customHeight="1" thickBot="1" x14ac:dyDescent="0.3">
      <c r="A14" s="363">
        <v>2</v>
      </c>
      <c r="B14" s="361" t="s">
        <v>12</v>
      </c>
      <c r="C14" s="362"/>
      <c r="D14" s="20"/>
      <c r="E14" s="364" t="s">
        <v>293</v>
      </c>
      <c r="F14" s="21"/>
      <c r="G14" s="34"/>
      <c r="H14" s="21"/>
      <c r="I14" s="35"/>
      <c r="J14" s="24"/>
      <c r="K14" s="28"/>
      <c r="L14" s="29"/>
      <c r="M14" s="3">
        <f>MONTH(E43)</f>
        <v>1</v>
      </c>
      <c r="N14" s="26"/>
      <c r="O14" s="3"/>
      <c r="P14" s="3"/>
      <c r="Q14" s="3"/>
      <c r="R14" s="3"/>
      <c r="S14" s="3"/>
      <c r="T14" s="3"/>
      <c r="U14" s="3"/>
      <c r="V14" s="3"/>
      <c r="W14" s="3"/>
    </row>
    <row r="15" spans="1:28" ht="15.75" thickBot="1" x14ac:dyDescent="0.3">
      <c r="B15" s="259"/>
      <c r="C15" s="260"/>
      <c r="D15" s="20"/>
      <c r="E15" s="36"/>
      <c r="F15" s="21"/>
      <c r="G15" s="34"/>
      <c r="H15" s="21"/>
      <c r="I15" s="37"/>
      <c r="J15" s="23"/>
      <c r="AB15" s="9"/>
    </row>
    <row r="16" spans="1:28" ht="15.75" thickBot="1" x14ac:dyDescent="0.3">
      <c r="A16" s="1">
        <v>5</v>
      </c>
      <c r="B16" s="38" t="s">
        <v>13</v>
      </c>
      <c r="C16" s="39" t="s">
        <v>14</v>
      </c>
      <c r="D16" s="20"/>
      <c r="E16" s="33">
        <v>1</v>
      </c>
      <c r="F16" s="40"/>
      <c r="G16" s="34" t="s">
        <v>11</v>
      </c>
      <c r="H16" s="41"/>
      <c r="I16" s="37"/>
      <c r="J16" s="23"/>
      <c r="AB16" s="9"/>
    </row>
    <row r="17" spans="1:30" ht="15.75" thickBot="1" x14ac:dyDescent="0.3">
      <c r="A17" s="42" t="s">
        <v>15</v>
      </c>
      <c r="B17" s="38" t="s">
        <v>16</v>
      </c>
      <c r="C17" s="39" t="s">
        <v>14</v>
      </c>
      <c r="D17" s="20"/>
      <c r="E17" s="33">
        <v>1</v>
      </c>
      <c r="F17" s="40"/>
      <c r="G17" s="34" t="s">
        <v>11</v>
      </c>
      <c r="H17" s="41"/>
      <c r="I17" s="37"/>
      <c r="J17" s="23"/>
      <c r="K17">
        <v>1</v>
      </c>
      <c r="L17">
        <v>2</v>
      </c>
      <c r="M17">
        <v>3</v>
      </c>
      <c r="N17">
        <v>4</v>
      </c>
      <c r="O17">
        <v>5</v>
      </c>
      <c r="P17">
        <v>6</v>
      </c>
      <c r="Q17">
        <v>7</v>
      </c>
      <c r="R17">
        <v>8</v>
      </c>
      <c r="S17">
        <v>9</v>
      </c>
      <c r="T17">
        <v>10</v>
      </c>
      <c r="U17">
        <v>11</v>
      </c>
      <c r="V17">
        <v>12</v>
      </c>
      <c r="W17">
        <v>13</v>
      </c>
      <c r="X17">
        <v>14</v>
      </c>
      <c r="Y17">
        <v>15</v>
      </c>
      <c r="Z17">
        <v>16</v>
      </c>
      <c r="AA17">
        <v>17</v>
      </c>
      <c r="AB17" s="9"/>
    </row>
    <row r="18" spans="1:30" ht="15.75" thickBot="1" x14ac:dyDescent="0.3">
      <c r="A18" s="1">
        <v>6</v>
      </c>
      <c r="B18" s="31" t="s">
        <v>17</v>
      </c>
      <c r="C18" s="32"/>
      <c r="D18" s="20"/>
      <c r="E18" s="43">
        <v>15</v>
      </c>
      <c r="F18" s="44"/>
      <c r="G18" s="45"/>
      <c r="H18" s="41"/>
      <c r="I18" s="37"/>
      <c r="J18" s="23"/>
      <c r="K18" s="810">
        <f>IF(ISBLANK('Hulpberekeningen 1'!$E$4),1,'Hulpberekeningen 1'!$E$4)</f>
        <v>1900</v>
      </c>
      <c r="L18" s="30">
        <f t="shared" ref="L18:AA18" si="0">+K18+1</f>
        <v>1901</v>
      </c>
      <c r="M18" s="30">
        <f t="shared" si="0"/>
        <v>1902</v>
      </c>
      <c r="N18" s="30">
        <f t="shared" si="0"/>
        <v>1903</v>
      </c>
      <c r="O18" s="30">
        <f t="shared" si="0"/>
        <v>1904</v>
      </c>
      <c r="P18" s="30">
        <f t="shared" si="0"/>
        <v>1905</v>
      </c>
      <c r="Q18" s="30">
        <f t="shared" si="0"/>
        <v>1906</v>
      </c>
      <c r="R18" s="30">
        <f t="shared" si="0"/>
        <v>1907</v>
      </c>
      <c r="S18" s="30">
        <f t="shared" si="0"/>
        <v>1908</v>
      </c>
      <c r="T18" s="30">
        <f t="shared" si="0"/>
        <v>1909</v>
      </c>
      <c r="U18" s="30">
        <f t="shared" si="0"/>
        <v>1910</v>
      </c>
      <c r="V18" s="30">
        <f t="shared" si="0"/>
        <v>1911</v>
      </c>
      <c r="W18" s="30">
        <f t="shared" si="0"/>
        <v>1912</v>
      </c>
      <c r="X18" s="30">
        <f t="shared" si="0"/>
        <v>1913</v>
      </c>
      <c r="Y18" s="30">
        <f t="shared" si="0"/>
        <v>1914</v>
      </c>
      <c r="Z18" s="30">
        <f t="shared" si="0"/>
        <v>1915</v>
      </c>
      <c r="AA18" s="30">
        <f t="shared" si="0"/>
        <v>1916</v>
      </c>
      <c r="AB18" s="46"/>
    </row>
    <row r="19" spans="1:30" ht="15.75" thickBot="1" x14ac:dyDescent="0.3">
      <c r="A19" s="1">
        <v>7</v>
      </c>
      <c r="B19" s="152" t="s">
        <v>346</v>
      </c>
      <c r="C19" s="32"/>
      <c r="D19" s="20"/>
      <c r="E19" s="725" cm="1">
        <f t="array" ref="E19">SUMPRODUCT((Stamblad!$A$63:$A$80=Invoerblad!$E$14)*(Stamblad!$B$62:$I$62=LEFT(Invoerblad!$E$13,5))*Stamblad!$B$63:$I$80)</f>
        <v>900</v>
      </c>
      <c r="F19" s="47"/>
      <c r="G19" s="45"/>
      <c r="H19" s="546"/>
      <c r="I19" s="491"/>
      <c r="J19" s="24"/>
      <c r="K19" s="541">
        <f>IF(YEAR($E$43)&gt;K18,0,
IF(K22&gt;0,K22/$E$16,
IF(AND(YEAR($E$43)=K18,$E$43&gt;$E$44),(1-(MONTH($E$43)-1)/12)*$E$19,
+$E$19*'Hulpberekeningen 1'!E24)))</f>
        <v>900</v>
      </c>
      <c r="L19" s="541">
        <f>IF(YEAR($E$43)&gt;L18,0,
IF(L22&gt;0,L22/$E$16,
IF(AND(YEAR($E$43)=L18,$E$43&gt;$E$44),(1-(MONTH($E$43)-1)/12)*$E$19,
+$E$19*'Hulpberekeningen 1'!F24)))</f>
        <v>900</v>
      </c>
      <c r="M19" s="541">
        <f>IF(YEAR($E$43)&gt;M18,0,
IF(M22&gt;0,M22/$E$16,
IF(AND(YEAR($E$43)=M18,$E$43&gt;$E$44),(1-(MONTH($E$43)-1)/12)*$E$19,
+$E$19*'Hulpberekeningen 1'!G24)))</f>
        <v>900</v>
      </c>
      <c r="N19" s="541">
        <f>IF(N22&gt;0,N22/$E$16,+$E$19*'Hulpberekeningen 1'!H24)</f>
        <v>900</v>
      </c>
      <c r="O19" s="541">
        <f>IF(O22&gt;0,O22/$E$16,+$E$19*'Hulpberekeningen 1'!I24)</f>
        <v>900</v>
      </c>
      <c r="P19" s="541">
        <f>IF(P22&gt;0,P22/$E$16,+$E$19*'Hulpberekeningen 1'!J24)</f>
        <v>900</v>
      </c>
      <c r="Q19" s="541">
        <f>IF(Q22&gt;0,Q22/$E$16,+$E$19*'Hulpberekeningen 1'!K24)</f>
        <v>900</v>
      </c>
      <c r="R19" s="541">
        <f>IF(R22&gt;0,R22/$E$16,+$E$19*'Hulpberekeningen 1'!L24)</f>
        <v>900</v>
      </c>
      <c r="S19" s="541">
        <f>IF(S22&gt;0,S22/$E$16,+$E$19*'Hulpberekeningen 1'!M24)</f>
        <v>900</v>
      </c>
      <c r="T19" s="541">
        <f>IF(T22&gt;0,T22/$E$16,+$E$19*'Hulpberekeningen 1'!N24)</f>
        <v>900</v>
      </c>
      <c r="U19" s="541">
        <f>IF(U22&gt;0,U22/$E$16,+$E$19*'Hulpberekeningen 1'!O24)</f>
        <v>900</v>
      </c>
      <c r="V19" s="541">
        <f>IF(V22&gt;0,V22/$E$16,+$E$19*'Hulpberekeningen 1'!P24)</f>
        <v>900</v>
      </c>
      <c r="W19" s="541">
        <f>IF(W22&gt;0,W22/$E$16,+$E$19*'Hulpberekeningen 1'!Q24)</f>
        <v>900</v>
      </c>
      <c r="X19" s="541">
        <f>IF(X22&gt;0,X22/$E$16,+$E$19*'Hulpberekeningen 1'!R24)</f>
        <v>900</v>
      </c>
      <c r="Y19" s="541">
        <f>IF(Y22&gt;0,Y22/$E$16,+$E$19*'Hulpberekeningen 1'!S24)</f>
        <v>900</v>
      </c>
      <c r="Z19" s="541">
        <f>IF(Z22&gt;0,
MIN($E$20*15-(SUM(K30:Y30)/E17+SUM(K34:Y34)/E17),Z22/$E$17)*$E$19/$E$20,
MIN($E$20*15-(SUM(K30:Y30)/E17+SUM(K34:Y34)/E17),$E$19))*$E$19/$E$20</f>
        <v>0</v>
      </c>
      <c r="AA19" s="541">
        <f>IF(A22&gt;0,MIN(AA22,'hulpberekeningen 2'!T11*'hulpberekeningen 2'!B4/'hulpberekeningen 2'!B3),'hulpberekeningen 2'!T11*'hulpberekeningen 2'!B4/'hulpberekeningen 2'!B3)</f>
        <v>0</v>
      </c>
      <c r="AB19" s="48"/>
    </row>
    <row r="20" spans="1:30" ht="15.75" customHeight="1" thickBot="1" x14ac:dyDescent="0.3">
      <c r="A20" s="42" t="s">
        <v>18</v>
      </c>
      <c r="B20" s="152" t="s">
        <v>344</v>
      </c>
      <c r="C20" s="53"/>
      <c r="D20" s="20"/>
      <c r="E20" s="725" cm="1">
        <f t="array" ref="E20">SUMPRODUCT((Stamblad!$A$63:$A$80=Invoerblad!$E$14)*(Stamblad!$B$62:$I$62=LEFT(Invoerblad!$E$13,5))*Stamblad!$B$63:$I$80)</f>
        <v>900</v>
      </c>
      <c r="F20" s="135"/>
      <c r="G20" s="45"/>
      <c r="H20" s="548" t="s">
        <v>398</v>
      </c>
      <c r="I20" s="547">
        <f>E18*E20</f>
        <v>13500</v>
      </c>
      <c r="J20" s="24"/>
      <c r="K20" s="542">
        <f>'hulpberekeningen 2'!D7</f>
        <v>900</v>
      </c>
      <c r="L20" s="542">
        <f>'hulpberekeningen 2'!E7</f>
        <v>900</v>
      </c>
      <c r="M20" s="542">
        <f>'hulpberekeningen 2'!F7</f>
        <v>900</v>
      </c>
      <c r="N20" s="542">
        <f>'hulpberekeningen 2'!G7</f>
        <v>900</v>
      </c>
      <c r="O20" s="542">
        <f>'hulpberekeningen 2'!H7</f>
        <v>900</v>
      </c>
      <c r="P20" s="542">
        <f>'hulpberekeningen 2'!I7</f>
        <v>900</v>
      </c>
      <c r="Q20" s="542">
        <f>'hulpberekeningen 2'!J7</f>
        <v>900</v>
      </c>
      <c r="R20" s="542">
        <f>'hulpberekeningen 2'!K7</f>
        <v>900</v>
      </c>
      <c r="S20" s="542">
        <f>'hulpberekeningen 2'!L7</f>
        <v>900</v>
      </c>
      <c r="T20" s="542">
        <f>'hulpberekeningen 2'!M7</f>
        <v>900</v>
      </c>
      <c r="U20" s="542">
        <f>'hulpberekeningen 2'!N7</f>
        <v>900</v>
      </c>
      <c r="V20" s="542">
        <f>'hulpberekeningen 2'!O7</f>
        <v>900</v>
      </c>
      <c r="W20" s="542">
        <f>'hulpberekeningen 2'!P7</f>
        <v>900</v>
      </c>
      <c r="X20" s="542">
        <f>'hulpberekeningen 2'!Q7</f>
        <v>900</v>
      </c>
      <c r="Y20" s="542">
        <f>'hulpberekeningen 2'!R7</f>
        <v>900</v>
      </c>
      <c r="Z20" s="542">
        <f>'hulpberekeningen 2'!S7</f>
        <v>0</v>
      </c>
      <c r="AA20" s="542">
        <f>'hulpberekeningen 2'!T7</f>
        <v>0</v>
      </c>
      <c r="AB20" s="48"/>
    </row>
    <row r="21" spans="1:30" s="3" customFormat="1" ht="15.75" customHeight="1" thickBot="1" x14ac:dyDescent="0.3">
      <c r="A21" s="151"/>
      <c r="B21" s="69"/>
      <c r="C21" s="69"/>
      <c r="D21" s="24"/>
      <c r="E21" s="516"/>
      <c r="F21" s="62"/>
      <c r="G21" s="45"/>
      <c r="H21" s="41"/>
      <c r="I21" s="309"/>
      <c r="J21" s="24"/>
      <c r="K21" s="515"/>
      <c r="L21" s="515"/>
      <c r="M21" s="515"/>
      <c r="N21" s="515"/>
      <c r="O21" s="515"/>
      <c r="P21" s="515"/>
      <c r="Q21" s="515"/>
      <c r="R21" s="515"/>
      <c r="S21" s="515"/>
      <c r="T21" s="515"/>
      <c r="U21" s="515"/>
      <c r="V21" s="515"/>
      <c r="W21" s="515"/>
      <c r="X21" s="515"/>
      <c r="Y21" s="515"/>
      <c r="Z21" s="515"/>
      <c r="AA21" s="515"/>
      <c r="AB21" s="48"/>
    </row>
    <row r="22" spans="1:30" s="3" customFormat="1" ht="15.75" customHeight="1" thickBot="1" x14ac:dyDescent="0.3">
      <c r="A22" s="151"/>
      <c r="B22" s="10" t="s">
        <v>381</v>
      </c>
      <c r="C22" s="496"/>
      <c r="D22" s="24"/>
      <c r="E22" s="516" t="s">
        <v>388</v>
      </c>
      <c r="F22" s="62"/>
      <c r="G22" s="45"/>
      <c r="H22" s="545" t="s">
        <v>386</v>
      </c>
      <c r="I22" s="537">
        <f t="shared" ref="I22:I24" si="1">SUM(K22:AA22)</f>
        <v>0</v>
      </c>
      <c r="J22" s="310"/>
      <c r="K22" s="538">
        <f>K23+K24</f>
        <v>0</v>
      </c>
      <c r="L22" s="538">
        <f t="shared" ref="L22:AA22" si="2">L23+L24</f>
        <v>0</v>
      </c>
      <c r="M22" s="538">
        <f t="shared" si="2"/>
        <v>0</v>
      </c>
      <c r="N22" s="538">
        <f t="shared" si="2"/>
        <v>0</v>
      </c>
      <c r="O22" s="538">
        <f t="shared" si="2"/>
        <v>0</v>
      </c>
      <c r="P22" s="538">
        <f t="shared" si="2"/>
        <v>0</v>
      </c>
      <c r="Q22" s="538">
        <f t="shared" si="2"/>
        <v>0</v>
      </c>
      <c r="R22" s="538">
        <f t="shared" si="2"/>
        <v>0</v>
      </c>
      <c r="S22" s="538">
        <f t="shared" si="2"/>
        <v>0</v>
      </c>
      <c r="T22" s="538">
        <f t="shared" si="2"/>
        <v>0</v>
      </c>
      <c r="U22" s="538">
        <f t="shared" si="2"/>
        <v>0</v>
      </c>
      <c r="V22" s="538">
        <f t="shared" si="2"/>
        <v>0</v>
      </c>
      <c r="W22" s="538">
        <f t="shared" si="2"/>
        <v>0</v>
      </c>
      <c r="X22" s="538">
        <f t="shared" si="2"/>
        <v>0</v>
      </c>
      <c r="Y22" s="538">
        <f t="shared" si="2"/>
        <v>0</v>
      </c>
      <c r="Z22" s="538">
        <f t="shared" si="2"/>
        <v>0</v>
      </c>
      <c r="AA22" s="538">
        <f t="shared" si="2"/>
        <v>0</v>
      </c>
      <c r="AB22" s="48"/>
    </row>
    <row r="23" spans="1:30" s="3" customFormat="1" ht="15.75" customHeight="1" thickBot="1" x14ac:dyDescent="0.3">
      <c r="A23" s="151"/>
      <c r="B23" s="57" t="s">
        <v>397</v>
      </c>
      <c r="C23" s="517"/>
      <c r="D23" s="24"/>
      <c r="E23" s="543">
        <f>I23</f>
        <v>0</v>
      </c>
      <c r="F23" s="807" t="str">
        <f>IFERROR(E23/I22,"Geen invoer!")</f>
        <v>Geen invoer!</v>
      </c>
      <c r="G23" s="45"/>
      <c r="H23" s="536" t="s">
        <v>384</v>
      </c>
      <c r="I23" s="539">
        <f t="shared" si="1"/>
        <v>0</v>
      </c>
      <c r="J23" s="310"/>
      <c r="K23" s="540">
        <v>0</v>
      </c>
      <c r="L23" s="540">
        <v>0</v>
      </c>
      <c r="M23" s="540">
        <v>0</v>
      </c>
      <c r="N23" s="540">
        <v>0</v>
      </c>
      <c r="O23" s="540">
        <v>0</v>
      </c>
      <c r="P23" s="540">
        <v>0</v>
      </c>
      <c r="Q23" s="540">
        <v>0</v>
      </c>
      <c r="R23" s="540">
        <v>0</v>
      </c>
      <c r="S23" s="540">
        <v>0</v>
      </c>
      <c r="T23" s="540">
        <v>0</v>
      </c>
      <c r="U23" s="540">
        <v>0</v>
      </c>
      <c r="V23" s="540">
        <v>0</v>
      </c>
      <c r="W23" s="540">
        <v>0</v>
      </c>
      <c r="X23" s="540">
        <v>0</v>
      </c>
      <c r="Y23" s="540">
        <v>0</v>
      </c>
      <c r="Z23" s="540">
        <v>0</v>
      </c>
      <c r="AA23" s="540">
        <v>0</v>
      </c>
      <c r="AB23" s="48"/>
    </row>
    <row r="24" spans="1:30" s="3" customFormat="1" ht="15.75" customHeight="1" thickBot="1" x14ac:dyDescent="0.3">
      <c r="A24" s="151"/>
      <c r="B24" s="60" t="s">
        <v>383</v>
      </c>
      <c r="C24" s="518"/>
      <c r="D24" s="24"/>
      <c r="E24" s="543">
        <f>I24</f>
        <v>0</v>
      </c>
      <c r="F24" s="807" t="str">
        <f>IFERROR(E24/I22,"Geen invoer!")</f>
        <v>Geen invoer!</v>
      </c>
      <c r="G24" s="45"/>
      <c r="H24" s="536" t="s">
        <v>385</v>
      </c>
      <c r="I24" s="539">
        <f t="shared" si="1"/>
        <v>0</v>
      </c>
      <c r="J24" s="310"/>
      <c r="K24" s="540">
        <v>0</v>
      </c>
      <c r="L24" s="540">
        <v>0</v>
      </c>
      <c r="M24" s="540">
        <v>0</v>
      </c>
      <c r="N24" s="540">
        <v>0</v>
      </c>
      <c r="O24" s="540">
        <v>0</v>
      </c>
      <c r="P24" s="540">
        <v>0</v>
      </c>
      <c r="Q24" s="540">
        <v>0</v>
      </c>
      <c r="R24" s="540">
        <v>0</v>
      </c>
      <c r="S24" s="540">
        <v>0</v>
      </c>
      <c r="T24" s="540">
        <v>0</v>
      </c>
      <c r="U24" s="540">
        <v>0</v>
      </c>
      <c r="V24" s="540">
        <v>0</v>
      </c>
      <c r="W24" s="540">
        <v>0</v>
      </c>
      <c r="X24" s="540">
        <v>0</v>
      </c>
      <c r="Y24" s="540">
        <v>0</v>
      </c>
      <c r="Z24" s="540">
        <v>0</v>
      </c>
      <c r="AA24" s="540">
        <v>0</v>
      </c>
      <c r="AB24" s="48"/>
    </row>
    <row r="25" spans="1:30" ht="15.75" thickBot="1" x14ac:dyDescent="0.3">
      <c r="A25" s="449"/>
      <c r="B25" s="335"/>
      <c r="C25" s="335"/>
      <c r="D25" s="420"/>
      <c r="E25" s="511"/>
      <c r="F25" s="465"/>
      <c r="G25" s="466"/>
      <c r="H25" s="443"/>
      <c r="I25" s="490"/>
      <c r="J25" s="420"/>
      <c r="K25" s="475"/>
      <c r="L25" s="475"/>
      <c r="M25" s="475"/>
      <c r="N25" s="475"/>
      <c r="O25" s="475"/>
      <c r="P25" s="475"/>
      <c r="Q25" s="475"/>
      <c r="R25" s="475"/>
      <c r="S25" s="475"/>
      <c r="T25" s="475"/>
      <c r="U25" s="475"/>
      <c r="V25" s="475"/>
      <c r="W25" s="475"/>
      <c r="X25" s="475"/>
      <c r="Y25" s="475"/>
      <c r="Z25" s="475"/>
      <c r="AA25" s="475"/>
      <c r="AB25" s="512"/>
      <c r="AC25" s="332"/>
      <c r="AD25" s="332"/>
    </row>
    <row r="26" spans="1:30" ht="15.75" thickBot="1" x14ac:dyDescent="0.3">
      <c r="A26" s="1">
        <v>8</v>
      </c>
      <c r="B26" s="10" t="s">
        <v>382</v>
      </c>
      <c r="C26" s="53"/>
      <c r="D26" s="20"/>
      <c r="E26" s="215" t="s">
        <v>258</v>
      </c>
      <c r="F26" s="50"/>
      <c r="G26" s="34"/>
      <c r="H26" s="28" t="s">
        <v>367</v>
      </c>
      <c r="I26" s="490">
        <f>SUM(K26:AA26)</f>
        <v>13500</v>
      </c>
      <c r="J26" s="24"/>
      <c r="K26" s="514">
        <f>K27+K28</f>
        <v>900</v>
      </c>
      <c r="L26" s="514">
        <f t="shared" ref="L26:AA26" si="3">L27+L28</f>
        <v>900</v>
      </c>
      <c r="M26" s="514">
        <f>M27+M28</f>
        <v>900</v>
      </c>
      <c r="N26" s="514">
        <f>N27+N28</f>
        <v>900</v>
      </c>
      <c r="O26" s="514">
        <f t="shared" si="3"/>
        <v>900</v>
      </c>
      <c r="P26" s="514">
        <f t="shared" si="3"/>
        <v>900</v>
      </c>
      <c r="Q26" s="514">
        <f t="shared" si="3"/>
        <v>900</v>
      </c>
      <c r="R26" s="514">
        <f t="shared" si="3"/>
        <v>900</v>
      </c>
      <c r="S26" s="514">
        <f t="shared" si="3"/>
        <v>900</v>
      </c>
      <c r="T26" s="514">
        <f t="shared" si="3"/>
        <v>900</v>
      </c>
      <c r="U26" s="514">
        <f t="shared" si="3"/>
        <v>900</v>
      </c>
      <c r="V26" s="514">
        <f t="shared" si="3"/>
        <v>900</v>
      </c>
      <c r="W26" s="514">
        <f t="shared" si="3"/>
        <v>900</v>
      </c>
      <c r="X26" s="514">
        <f t="shared" si="3"/>
        <v>900</v>
      </c>
      <c r="Y26" s="471">
        <f t="shared" si="3"/>
        <v>900</v>
      </c>
      <c r="Z26" s="471">
        <f t="shared" si="3"/>
        <v>0</v>
      </c>
      <c r="AA26" s="471">
        <f t="shared" si="3"/>
        <v>0</v>
      </c>
      <c r="AB26" s="55"/>
    </row>
    <row r="27" spans="1:30" ht="15.75" thickBot="1" x14ac:dyDescent="0.3">
      <c r="A27" s="151" t="s">
        <v>20</v>
      </c>
      <c r="B27" s="57" t="s">
        <v>21</v>
      </c>
      <c r="C27" s="58"/>
      <c r="D27" s="20"/>
      <c r="E27" s="622">
        <v>475</v>
      </c>
      <c r="F27" s="808">
        <f>E27/(E27+E28)</f>
        <v>0.5</v>
      </c>
      <c r="G27" s="34"/>
      <c r="H27" s="50" t="s">
        <v>368</v>
      </c>
      <c r="I27" s="491">
        <f>SUM(K27:AA27)</f>
        <v>6750</v>
      </c>
      <c r="K27" s="519">
        <f>'hulpberekeningen 2'!D17</f>
        <v>450</v>
      </c>
      <c r="L27" s="519">
        <f>'hulpberekeningen 2'!E17</f>
        <v>450</v>
      </c>
      <c r="M27" s="519">
        <f>'hulpberekeningen 2'!F17</f>
        <v>450</v>
      </c>
      <c r="N27" s="519">
        <f>'hulpberekeningen 2'!G17</f>
        <v>450</v>
      </c>
      <c r="O27" s="519">
        <f>'hulpberekeningen 2'!H17</f>
        <v>450</v>
      </c>
      <c r="P27" s="519">
        <f>'hulpberekeningen 2'!I17</f>
        <v>450</v>
      </c>
      <c r="Q27" s="519">
        <f>'hulpberekeningen 2'!J17</f>
        <v>450</v>
      </c>
      <c r="R27" s="519">
        <f>'hulpberekeningen 2'!K17</f>
        <v>450</v>
      </c>
      <c r="S27" s="519">
        <f>'hulpberekeningen 2'!L17</f>
        <v>450</v>
      </c>
      <c r="T27" s="519">
        <f>'hulpberekeningen 2'!M17</f>
        <v>450</v>
      </c>
      <c r="U27" s="519">
        <f>'hulpberekeningen 2'!N17</f>
        <v>450</v>
      </c>
      <c r="V27" s="519">
        <f>'hulpberekeningen 2'!O17</f>
        <v>450</v>
      </c>
      <c r="W27" s="519">
        <f>'hulpberekeningen 2'!P17</f>
        <v>450</v>
      </c>
      <c r="X27" s="519">
        <f>'hulpberekeningen 2'!Q17</f>
        <v>450</v>
      </c>
      <c r="Y27" s="469">
        <f>'hulpberekeningen 2'!R17</f>
        <v>450</v>
      </c>
      <c r="Z27" s="469">
        <f>'hulpberekeningen 2'!S17</f>
        <v>0</v>
      </c>
      <c r="AA27" s="469">
        <f>'hulpberekeningen 2'!T17</f>
        <v>0</v>
      </c>
      <c r="AB27" s="55"/>
    </row>
    <row r="28" spans="1:30" ht="15.75" thickBot="1" x14ac:dyDescent="0.3">
      <c r="A28" s="151" t="s">
        <v>22</v>
      </c>
      <c r="B28" s="60" t="s">
        <v>23</v>
      </c>
      <c r="C28" s="61"/>
      <c r="D28" s="20"/>
      <c r="E28" s="622">
        <v>475</v>
      </c>
      <c r="F28" s="808">
        <f>E28/(E27+E28)</f>
        <v>0.5</v>
      </c>
      <c r="G28" s="34"/>
      <c r="H28" s="50" t="s">
        <v>369</v>
      </c>
      <c r="I28" s="491">
        <f>SUM(K28:AA28)</f>
        <v>6750</v>
      </c>
      <c r="K28" s="520">
        <f>'hulpberekeningen 2'!D18</f>
        <v>450</v>
      </c>
      <c r="L28" s="520">
        <f>'hulpberekeningen 2'!E18</f>
        <v>450</v>
      </c>
      <c r="M28" s="520">
        <f>'hulpberekeningen 2'!F18</f>
        <v>450</v>
      </c>
      <c r="N28" s="520">
        <f>'hulpberekeningen 2'!G18</f>
        <v>450</v>
      </c>
      <c r="O28" s="520">
        <f>'hulpberekeningen 2'!H18</f>
        <v>450</v>
      </c>
      <c r="P28" s="520">
        <f>'hulpberekeningen 2'!I18</f>
        <v>450</v>
      </c>
      <c r="Q28" s="520">
        <f>'hulpberekeningen 2'!J18</f>
        <v>450</v>
      </c>
      <c r="R28" s="520">
        <f>'hulpberekeningen 2'!K18</f>
        <v>450</v>
      </c>
      <c r="S28" s="520">
        <f>'hulpberekeningen 2'!L18</f>
        <v>450</v>
      </c>
      <c r="T28" s="520">
        <f>'hulpberekeningen 2'!M18</f>
        <v>450</v>
      </c>
      <c r="U28" s="520">
        <f>'hulpberekeningen 2'!N18</f>
        <v>450</v>
      </c>
      <c r="V28" s="520">
        <f>'hulpberekeningen 2'!O18</f>
        <v>450</v>
      </c>
      <c r="W28" s="520">
        <f>'hulpberekeningen 2'!P18</f>
        <v>450</v>
      </c>
      <c r="X28" s="520">
        <f>'hulpberekeningen 2'!Q18</f>
        <v>450</v>
      </c>
      <c r="Y28" s="472">
        <f>'hulpberekeningen 2'!R18</f>
        <v>450</v>
      </c>
      <c r="Z28" s="472">
        <f>'hulpberekeningen 2'!S18</f>
        <v>0</v>
      </c>
      <c r="AA28" s="472">
        <f>'hulpberekeningen 2'!T18</f>
        <v>0</v>
      </c>
      <c r="AB28" s="55"/>
    </row>
    <row r="29" spans="1:30" s="3" customFormat="1" ht="15.75" thickBot="1" x14ac:dyDescent="0.3">
      <c r="A29" s="151"/>
      <c r="B29" s="473"/>
      <c r="C29" s="473"/>
      <c r="D29" s="420"/>
      <c r="F29" s="443"/>
      <c r="G29" s="486"/>
      <c r="H29" s="467"/>
      <c r="I29" s="491"/>
      <c r="J29" s="487"/>
      <c r="K29" s="488"/>
      <c r="L29" s="488"/>
      <c r="M29" s="488"/>
      <c r="N29" s="488"/>
      <c r="O29" s="488"/>
      <c r="P29" s="488"/>
      <c r="Q29" s="488"/>
      <c r="R29" s="488"/>
      <c r="S29" s="488"/>
      <c r="T29" s="488"/>
      <c r="U29" s="488"/>
      <c r="V29" s="488"/>
      <c r="W29" s="488"/>
      <c r="X29" s="488"/>
      <c r="Y29" s="488"/>
      <c r="Z29" s="488"/>
      <c r="AA29" s="488"/>
      <c r="AB29" s="55"/>
    </row>
    <row r="30" spans="1:30" ht="15.75" thickBot="1" x14ac:dyDescent="0.3">
      <c r="A30" s="151" t="s">
        <v>24</v>
      </c>
      <c r="B30" s="10" t="s">
        <v>353</v>
      </c>
      <c r="C30" s="53"/>
      <c r="D30" s="20"/>
      <c r="F30" s="62"/>
      <c r="G30" s="51"/>
      <c r="H30" s="28" t="s">
        <v>370</v>
      </c>
      <c r="I30" s="490">
        <f>SUM(K30:AA30)</f>
        <v>13500</v>
      </c>
      <c r="J30" s="549"/>
      <c r="K30" s="471">
        <f>K31+K32</f>
        <v>900</v>
      </c>
      <c r="L30" s="471">
        <f t="shared" ref="L30:AA30" si="4">L31+L32</f>
        <v>900</v>
      </c>
      <c r="M30" s="471">
        <f t="shared" si="4"/>
        <v>900</v>
      </c>
      <c r="N30" s="471">
        <f t="shared" si="4"/>
        <v>900</v>
      </c>
      <c r="O30" s="471">
        <f t="shared" si="4"/>
        <v>900</v>
      </c>
      <c r="P30" s="471">
        <f t="shared" si="4"/>
        <v>900</v>
      </c>
      <c r="Q30" s="471">
        <f t="shared" si="4"/>
        <v>900</v>
      </c>
      <c r="R30" s="471">
        <f t="shared" si="4"/>
        <v>900</v>
      </c>
      <c r="S30" s="471">
        <f t="shared" si="4"/>
        <v>900</v>
      </c>
      <c r="T30" s="471">
        <f t="shared" si="4"/>
        <v>900</v>
      </c>
      <c r="U30" s="471">
        <f t="shared" si="4"/>
        <v>900</v>
      </c>
      <c r="V30" s="471">
        <f t="shared" si="4"/>
        <v>900</v>
      </c>
      <c r="W30" s="471">
        <f t="shared" si="4"/>
        <v>900</v>
      </c>
      <c r="X30" s="471">
        <f t="shared" si="4"/>
        <v>900</v>
      </c>
      <c r="Y30" s="471">
        <f t="shared" si="4"/>
        <v>900</v>
      </c>
      <c r="Z30" s="471">
        <f t="shared" si="4"/>
        <v>0</v>
      </c>
      <c r="AA30" s="471">
        <f t="shared" si="4"/>
        <v>0</v>
      </c>
      <c r="AB30" s="55"/>
    </row>
    <row r="31" spans="1:30" ht="15.75" thickBot="1" x14ac:dyDescent="0.3">
      <c r="A31" s="151" t="s">
        <v>25</v>
      </c>
      <c r="B31" s="57" t="s">
        <v>354</v>
      </c>
      <c r="C31" s="58"/>
      <c r="D31" s="20"/>
      <c r="E31" s="54"/>
      <c r="F31" s="62"/>
      <c r="G31" s="51"/>
      <c r="H31" s="50" t="s">
        <v>371</v>
      </c>
      <c r="I31" s="492">
        <f>SUM(K31:AA31)</f>
        <v>6750</v>
      </c>
      <c r="J31" s="59"/>
      <c r="K31" s="469">
        <f>'hulpberekeningen 2'!D22</f>
        <v>450</v>
      </c>
      <c r="L31" s="469">
        <f>'hulpberekeningen 2'!E22</f>
        <v>450</v>
      </c>
      <c r="M31" s="469">
        <f>'hulpberekeningen 2'!F22</f>
        <v>450</v>
      </c>
      <c r="N31" s="469">
        <f>'hulpberekeningen 2'!G22</f>
        <v>450</v>
      </c>
      <c r="O31" s="469">
        <f>'hulpberekeningen 2'!H22</f>
        <v>450</v>
      </c>
      <c r="P31" s="469">
        <f>'hulpberekeningen 2'!I22</f>
        <v>450</v>
      </c>
      <c r="Q31" s="469">
        <f>'hulpberekeningen 2'!J22</f>
        <v>450</v>
      </c>
      <c r="R31" s="469">
        <f>'hulpberekeningen 2'!K22</f>
        <v>450</v>
      </c>
      <c r="S31" s="469">
        <f>'hulpberekeningen 2'!L22</f>
        <v>450</v>
      </c>
      <c r="T31" s="469">
        <f>'hulpberekeningen 2'!M22</f>
        <v>450</v>
      </c>
      <c r="U31" s="469">
        <f>'hulpberekeningen 2'!N22</f>
        <v>450</v>
      </c>
      <c r="V31" s="469">
        <f>'hulpberekeningen 2'!O22</f>
        <v>450</v>
      </c>
      <c r="W31" s="469">
        <f>'hulpberekeningen 2'!P22</f>
        <v>450</v>
      </c>
      <c r="X31" s="469">
        <f>'hulpberekeningen 2'!Q22</f>
        <v>450</v>
      </c>
      <c r="Y31" s="469">
        <f>'hulpberekeningen 2'!R22</f>
        <v>450</v>
      </c>
      <c r="Z31" s="469">
        <f>'hulpberekeningen 2'!S22</f>
        <v>0</v>
      </c>
      <c r="AA31" s="469">
        <f>'hulpberekeningen 2'!T22</f>
        <v>0</v>
      </c>
      <c r="AB31" s="55"/>
    </row>
    <row r="32" spans="1:30" ht="15.75" thickBot="1" x14ac:dyDescent="0.3">
      <c r="A32" s="151" t="s">
        <v>26</v>
      </c>
      <c r="B32" s="60" t="s">
        <v>355</v>
      </c>
      <c r="C32" s="61"/>
      <c r="D32" s="20"/>
      <c r="E32" s="54"/>
      <c r="F32" s="62"/>
      <c r="G32" s="51"/>
      <c r="H32" s="50" t="s">
        <v>372</v>
      </c>
      <c r="I32" s="492">
        <f>SUM(K32:AA32)</f>
        <v>6750</v>
      </c>
      <c r="J32" s="59"/>
      <c r="K32" s="472">
        <f>'hulpberekeningen 2'!D23</f>
        <v>450</v>
      </c>
      <c r="L32" s="472">
        <f>'hulpberekeningen 2'!E23</f>
        <v>450</v>
      </c>
      <c r="M32" s="472">
        <f>'hulpberekeningen 2'!F23</f>
        <v>450</v>
      </c>
      <c r="N32" s="472">
        <f>'hulpberekeningen 2'!G23</f>
        <v>450</v>
      </c>
      <c r="O32" s="472">
        <f>'hulpberekeningen 2'!H23</f>
        <v>450</v>
      </c>
      <c r="P32" s="472">
        <f>'hulpberekeningen 2'!I23</f>
        <v>450</v>
      </c>
      <c r="Q32" s="472">
        <f>'hulpberekeningen 2'!J23</f>
        <v>450</v>
      </c>
      <c r="R32" s="472">
        <f>'hulpberekeningen 2'!K23</f>
        <v>450</v>
      </c>
      <c r="S32" s="472">
        <f>'hulpberekeningen 2'!L23</f>
        <v>450</v>
      </c>
      <c r="T32" s="472">
        <f>'hulpberekeningen 2'!M23</f>
        <v>450</v>
      </c>
      <c r="U32" s="472">
        <f>'hulpberekeningen 2'!N23</f>
        <v>450</v>
      </c>
      <c r="V32" s="472">
        <f>'hulpberekeningen 2'!O23</f>
        <v>450</v>
      </c>
      <c r="W32" s="472">
        <f>'hulpberekeningen 2'!P23</f>
        <v>450</v>
      </c>
      <c r="X32" s="472">
        <f>'hulpberekeningen 2'!Q23</f>
        <v>450</v>
      </c>
      <c r="Y32" s="472">
        <f>'hulpberekeningen 2'!R23</f>
        <v>450</v>
      </c>
      <c r="Z32" s="472">
        <f>'hulpberekeningen 2'!S23</f>
        <v>0</v>
      </c>
      <c r="AA32" s="472">
        <f>'hulpberekeningen 2'!T23</f>
        <v>0</v>
      </c>
      <c r="AB32" s="55"/>
    </row>
    <row r="33" spans="1:28" s="3" customFormat="1" ht="15.75" thickBot="1" x14ac:dyDescent="0.3">
      <c r="A33" s="56"/>
      <c r="B33" s="473"/>
      <c r="C33" s="473"/>
      <c r="D33" s="24"/>
      <c r="E33" s="54"/>
      <c r="F33" s="62"/>
      <c r="G33" s="51"/>
      <c r="H33" s="50"/>
      <c r="I33" s="492"/>
      <c r="J33" s="59"/>
      <c r="K33" s="474"/>
      <c r="L33" s="474"/>
      <c r="M33" s="474"/>
      <c r="N33" s="474"/>
      <c r="O33" s="474"/>
      <c r="P33" s="474"/>
      <c r="Q33" s="474"/>
      <c r="R33" s="474"/>
      <c r="S33" s="474"/>
      <c r="T33" s="474"/>
      <c r="U33" s="474"/>
      <c r="V33" s="474"/>
      <c r="W33" s="474"/>
      <c r="X33" s="474"/>
      <c r="Y33" s="474"/>
      <c r="Z33" s="474"/>
      <c r="AA33" s="474"/>
      <c r="AB33" s="55"/>
    </row>
    <row r="34" spans="1:28" ht="15.75" thickBot="1" x14ac:dyDescent="0.3">
      <c r="B34" s="10" t="s">
        <v>352</v>
      </c>
      <c r="C34" s="53"/>
      <c r="H34" s="28" t="s">
        <v>373</v>
      </c>
      <c r="I34" s="493">
        <f>SUM(K34:AA34)</f>
        <v>0</v>
      </c>
      <c r="J34" s="550"/>
      <c r="K34" s="522"/>
      <c r="L34" s="499">
        <f t="shared" ref="L34:AA34" si="5">SUM(L35:L38)</f>
        <v>0</v>
      </c>
      <c r="M34" s="499">
        <f t="shared" si="5"/>
        <v>0</v>
      </c>
      <c r="N34" s="499">
        <f t="shared" si="5"/>
        <v>0</v>
      </c>
      <c r="O34" s="499">
        <f t="shared" si="5"/>
        <v>0</v>
      </c>
      <c r="P34" s="499">
        <f t="shared" si="5"/>
        <v>0</v>
      </c>
      <c r="Q34" s="499">
        <f t="shared" si="5"/>
        <v>0</v>
      </c>
      <c r="R34" s="499">
        <f t="shared" si="5"/>
        <v>0</v>
      </c>
      <c r="S34" s="499">
        <f t="shared" si="5"/>
        <v>0</v>
      </c>
      <c r="T34" s="499">
        <f t="shared" si="5"/>
        <v>0</v>
      </c>
      <c r="U34" s="499">
        <f t="shared" si="5"/>
        <v>0</v>
      </c>
      <c r="V34" s="499">
        <f t="shared" si="5"/>
        <v>0</v>
      </c>
      <c r="W34" s="499">
        <f t="shared" si="5"/>
        <v>0</v>
      </c>
      <c r="X34" s="499">
        <f t="shared" si="5"/>
        <v>0</v>
      </c>
      <c r="Y34" s="471">
        <f t="shared" si="5"/>
        <v>0</v>
      </c>
      <c r="Z34" s="471">
        <f t="shared" si="5"/>
        <v>0</v>
      </c>
      <c r="AA34" s="471">
        <f t="shared" si="5"/>
        <v>0</v>
      </c>
    </row>
    <row r="35" spans="1:28" ht="15.75" thickBot="1" x14ac:dyDescent="0.3">
      <c r="B35" s="57" t="s">
        <v>395</v>
      </c>
      <c r="C35" s="58"/>
      <c r="H35" s="50" t="s">
        <v>374</v>
      </c>
      <c r="I35" s="500">
        <f>SUM(K35:AA35)</f>
        <v>0</v>
      </c>
      <c r="K35" s="522"/>
      <c r="L35" s="495">
        <f>'hulpberekeningen 2'!E26</f>
        <v>0</v>
      </c>
      <c r="M35" s="495">
        <f>'hulpberekeningen 2'!F26</f>
        <v>0</v>
      </c>
      <c r="N35" s="495">
        <f>'hulpberekeningen 2'!G26</f>
        <v>0</v>
      </c>
      <c r="O35" s="495">
        <f>'hulpberekeningen 2'!H26</f>
        <v>0</v>
      </c>
      <c r="P35" s="495">
        <f>'hulpberekeningen 2'!I26</f>
        <v>0</v>
      </c>
      <c r="Q35" s="495">
        <f>'hulpberekeningen 2'!J26</f>
        <v>0</v>
      </c>
      <c r="R35" s="495">
        <f>'hulpberekeningen 2'!K26</f>
        <v>0</v>
      </c>
      <c r="S35" s="495">
        <f>'hulpberekeningen 2'!L26</f>
        <v>0</v>
      </c>
      <c r="T35" s="495">
        <f>'hulpberekeningen 2'!M26</f>
        <v>0</v>
      </c>
      <c r="U35" s="495">
        <f>'hulpberekeningen 2'!N26</f>
        <v>0</v>
      </c>
      <c r="V35" s="495">
        <f>'hulpberekeningen 2'!O26</f>
        <v>0</v>
      </c>
      <c r="W35" s="495">
        <f>'hulpberekeningen 2'!P26</f>
        <v>0</v>
      </c>
      <c r="X35" s="495">
        <f>'hulpberekeningen 2'!Q26</f>
        <v>0</v>
      </c>
      <c r="Y35" s="469">
        <f>'hulpberekeningen 2'!R26</f>
        <v>0</v>
      </c>
      <c r="Z35" s="469">
        <f>'hulpberekeningen 2'!S26</f>
        <v>0</v>
      </c>
      <c r="AA35" s="469">
        <f>'hulpberekeningen 2'!T26</f>
        <v>0</v>
      </c>
    </row>
    <row r="36" spans="1:28" s="3" customFormat="1" ht="15.75" thickBot="1" x14ac:dyDescent="0.3">
      <c r="A36" s="136"/>
      <c r="B36" s="57" t="s">
        <v>396</v>
      </c>
      <c r="C36" s="58"/>
      <c r="G36" s="2"/>
      <c r="H36" s="50" t="s">
        <v>375</v>
      </c>
      <c r="I36" s="500">
        <f>SUM(K36:AA36)</f>
        <v>0</v>
      </c>
      <c r="K36" s="522"/>
      <c r="L36" s="495">
        <f>'hulpberekeningen 2'!E27</f>
        <v>0</v>
      </c>
      <c r="M36" s="495">
        <f>'hulpberekeningen 2'!F27</f>
        <v>0</v>
      </c>
      <c r="N36" s="495">
        <f>'hulpberekeningen 2'!G27</f>
        <v>0</v>
      </c>
      <c r="O36" s="495">
        <f>'hulpberekeningen 2'!H27</f>
        <v>0</v>
      </c>
      <c r="P36" s="495">
        <f>'hulpberekeningen 2'!I27</f>
        <v>0</v>
      </c>
      <c r="Q36" s="495">
        <f>'hulpberekeningen 2'!J27</f>
        <v>0</v>
      </c>
      <c r="R36" s="495">
        <f>'hulpberekeningen 2'!K27</f>
        <v>0</v>
      </c>
      <c r="S36" s="495">
        <f>'hulpberekeningen 2'!L27</f>
        <v>0</v>
      </c>
      <c r="T36" s="495">
        <f>'hulpberekeningen 2'!M27</f>
        <v>0</v>
      </c>
      <c r="U36" s="495">
        <f>'hulpberekeningen 2'!N27</f>
        <v>0</v>
      </c>
      <c r="V36" s="495">
        <f>'hulpberekeningen 2'!O27</f>
        <v>0</v>
      </c>
      <c r="W36" s="495">
        <f>'hulpberekeningen 2'!P27</f>
        <v>0</v>
      </c>
      <c r="X36" s="495">
        <f>'hulpberekeningen 2'!Q27</f>
        <v>0</v>
      </c>
      <c r="Y36" s="469">
        <f>'hulpberekeningen 2'!R27</f>
        <v>0</v>
      </c>
      <c r="Z36" s="469">
        <f>'hulpberekeningen 2'!S27</f>
        <v>0</v>
      </c>
      <c r="AA36" s="469">
        <f>'hulpberekeningen 2'!T27</f>
        <v>0</v>
      </c>
    </row>
    <row r="37" spans="1:28" ht="15.75" thickBot="1" x14ac:dyDescent="0.3">
      <c r="B37" s="60" t="s">
        <v>393</v>
      </c>
      <c r="C37" s="61"/>
      <c r="H37" s="50" t="s">
        <v>376</v>
      </c>
      <c r="I37" s="500">
        <f>SUM(K37:AA37)</f>
        <v>0</v>
      </c>
      <c r="K37" s="522"/>
      <c r="L37" s="494">
        <f>'hulpberekeningen 2'!E28</f>
        <v>0</v>
      </c>
      <c r="M37" s="494">
        <f>'hulpberekeningen 2'!F28</f>
        <v>0</v>
      </c>
      <c r="N37" s="494">
        <f>'hulpberekeningen 2'!G28</f>
        <v>0</v>
      </c>
      <c r="O37" s="494">
        <f>'hulpberekeningen 2'!H28</f>
        <v>0</v>
      </c>
      <c r="P37" s="494">
        <f>'hulpberekeningen 2'!I28</f>
        <v>0</v>
      </c>
      <c r="Q37" s="494">
        <f>'hulpberekeningen 2'!J28</f>
        <v>0</v>
      </c>
      <c r="R37" s="494">
        <f>'hulpberekeningen 2'!K28</f>
        <v>0</v>
      </c>
      <c r="S37" s="494">
        <f>'hulpberekeningen 2'!L28</f>
        <v>0</v>
      </c>
      <c r="T37" s="494">
        <f>'hulpberekeningen 2'!M28</f>
        <v>0</v>
      </c>
      <c r="U37" s="494">
        <f>'hulpberekeningen 2'!N28</f>
        <v>0</v>
      </c>
      <c r="V37" s="494">
        <f>'hulpberekeningen 2'!O28</f>
        <v>0</v>
      </c>
      <c r="W37" s="494">
        <f>'hulpberekeningen 2'!P28</f>
        <v>0</v>
      </c>
      <c r="X37" s="494">
        <f>'hulpberekeningen 2'!Q28</f>
        <v>0</v>
      </c>
      <c r="Y37" s="472">
        <f>'hulpberekeningen 2'!R28</f>
        <v>0</v>
      </c>
      <c r="Z37" s="472">
        <f>'hulpberekeningen 2'!S28</f>
        <v>0</v>
      </c>
      <c r="AA37" s="472">
        <f>'hulpberekeningen 2'!T28</f>
        <v>0</v>
      </c>
    </row>
    <row r="38" spans="1:28" s="3" customFormat="1" ht="15.75" thickBot="1" x14ac:dyDescent="0.3">
      <c r="A38" s="136"/>
      <c r="B38" s="60" t="s">
        <v>394</v>
      </c>
      <c r="C38" s="61"/>
      <c r="G38" s="2"/>
      <c r="H38" s="50" t="s">
        <v>378</v>
      </c>
      <c r="I38" s="500">
        <f>SUM(K38:AA38)</f>
        <v>0</v>
      </c>
      <c r="K38" s="523"/>
      <c r="L38" s="489">
        <f>'hulpberekeningen 2'!E29</f>
        <v>0</v>
      </c>
      <c r="M38" s="489">
        <f>'hulpberekeningen 2'!F29</f>
        <v>0</v>
      </c>
      <c r="N38" s="489">
        <f>'hulpberekeningen 2'!G29</f>
        <v>0</v>
      </c>
      <c r="O38" s="489">
        <f>'hulpberekeningen 2'!H29</f>
        <v>0</v>
      </c>
      <c r="P38" s="489">
        <f>'hulpberekeningen 2'!I29</f>
        <v>0</v>
      </c>
      <c r="Q38" s="489">
        <f>'hulpberekeningen 2'!J29</f>
        <v>0</v>
      </c>
      <c r="R38" s="489">
        <f>'hulpberekeningen 2'!K29</f>
        <v>0</v>
      </c>
      <c r="S38" s="489">
        <f>'hulpberekeningen 2'!L29</f>
        <v>0</v>
      </c>
      <c r="T38" s="489">
        <f>'hulpberekeningen 2'!M29</f>
        <v>0</v>
      </c>
      <c r="U38" s="489">
        <f>'hulpberekeningen 2'!N29</f>
        <v>0</v>
      </c>
      <c r="V38" s="489">
        <f>'hulpberekeningen 2'!O29</f>
        <v>0</v>
      </c>
      <c r="W38" s="489">
        <f>'hulpberekeningen 2'!P29</f>
        <v>0</v>
      </c>
      <c r="X38" s="489">
        <f>'hulpberekeningen 2'!Q29</f>
        <v>0</v>
      </c>
      <c r="Y38" s="472">
        <f>'hulpberekeningen 2'!R29</f>
        <v>0</v>
      </c>
      <c r="Z38" s="472">
        <f>'hulpberekeningen 2'!S29</f>
        <v>0</v>
      </c>
      <c r="AA38" s="472">
        <f>'hulpberekeningen 2'!T29</f>
        <v>0</v>
      </c>
    </row>
    <row r="39" spans="1:28" x14ac:dyDescent="0.2"/>
    <row r="40" spans="1:28" ht="14.25" hidden="1" x14ac:dyDescent="0.2">
      <c r="H40" s="310" t="s">
        <v>377</v>
      </c>
      <c r="I40" s="493">
        <f>I30+I34</f>
        <v>13500</v>
      </c>
    </row>
    <row r="41" spans="1:28" ht="13.5" thickBot="1" x14ac:dyDescent="0.25"/>
    <row r="42" spans="1:28" ht="15.75" thickBot="1" x14ac:dyDescent="0.3">
      <c r="A42" s="1">
        <v>9</v>
      </c>
      <c r="B42" s="31" t="s">
        <v>27</v>
      </c>
      <c r="C42" s="32"/>
      <c r="D42" s="20"/>
      <c r="E42" s="65"/>
      <c r="F42" s="66"/>
      <c r="G42" s="34" t="s">
        <v>11</v>
      </c>
      <c r="H42" s="23"/>
      <c r="I42" s="421"/>
      <c r="J42" s="422"/>
      <c r="K42" s="423"/>
      <c r="L42" s="3"/>
      <c r="M42" s="3"/>
      <c r="N42" s="3"/>
      <c r="O42" s="3"/>
      <c r="P42" s="3"/>
      <c r="Q42" s="3"/>
      <c r="R42" s="3"/>
      <c r="S42" s="3"/>
      <c r="T42" s="3"/>
      <c r="U42" s="3"/>
      <c r="V42" s="3"/>
      <c r="W42" s="3"/>
      <c r="X42" s="3"/>
      <c r="Y42" s="3"/>
      <c r="Z42" s="3"/>
      <c r="AA42" s="3"/>
      <c r="AB42" s="26"/>
    </row>
    <row r="43" spans="1:28" ht="15.75" thickBot="1" x14ac:dyDescent="0.3">
      <c r="A43" s="1">
        <v>10</v>
      </c>
      <c r="B43" s="31" t="s">
        <v>28</v>
      </c>
      <c r="C43" s="32"/>
      <c r="D43" s="20"/>
      <c r="E43" s="65"/>
      <c r="F43" s="67"/>
      <c r="G43" s="34" t="s">
        <v>11</v>
      </c>
      <c r="H43" s="23"/>
      <c r="I43" s="421"/>
      <c r="J43" s="424"/>
      <c r="K43" s="425"/>
    </row>
    <row r="44" spans="1:28" ht="15.75" customHeight="1" thickBot="1" x14ac:dyDescent="0.3">
      <c r="A44" s="1">
        <v>11</v>
      </c>
      <c r="B44" s="152" t="s">
        <v>29</v>
      </c>
      <c r="C44" s="53"/>
      <c r="D44" s="20"/>
      <c r="E44" s="65"/>
      <c r="F44" s="67"/>
      <c r="G44" s="34" t="s">
        <v>11</v>
      </c>
      <c r="H44" s="68"/>
      <c r="I44" s="64"/>
      <c r="J44" s="24"/>
    </row>
    <row r="45" spans="1:28" s="3" customFormat="1" ht="15.75" customHeight="1" thickBot="1" x14ac:dyDescent="0.3">
      <c r="A45" s="136"/>
      <c r="B45" s="825" t="s">
        <v>449</v>
      </c>
      <c r="C45" s="826"/>
      <c r="D45" s="24"/>
      <c r="E45" s="670"/>
      <c r="F45" s="62"/>
      <c r="G45" s="34"/>
      <c r="H45" s="108"/>
      <c r="I45" s="258"/>
      <c r="J45" s="24"/>
    </row>
    <row r="46" spans="1:28" ht="15.75" thickBot="1" x14ac:dyDescent="0.3">
      <c r="A46" s="727">
        <v>12</v>
      </c>
      <c r="B46" s="827" t="s">
        <v>261</v>
      </c>
      <c r="C46" s="828"/>
      <c r="D46" s="20"/>
      <c r="E46" s="726"/>
      <c r="F46" s="62"/>
      <c r="G46" s="70"/>
      <c r="H46" s="68"/>
      <c r="I46" s="64"/>
      <c r="J46" s="24"/>
    </row>
    <row r="47" spans="1:28" ht="15" x14ac:dyDescent="0.25">
      <c r="B47" s="16"/>
      <c r="C47" s="16"/>
      <c r="D47" s="20"/>
      <c r="E47" s="71"/>
      <c r="F47" s="68"/>
      <c r="G47" s="70"/>
      <c r="H47" s="68"/>
      <c r="I47" s="105" t="s">
        <v>43</v>
      </c>
      <c r="J47" s="24"/>
    </row>
    <row r="48" spans="1:28" ht="15.75" thickBot="1" x14ac:dyDescent="0.3">
      <c r="A48" s="72"/>
      <c r="B48" s="16" t="s">
        <v>30</v>
      </c>
      <c r="C48" s="16"/>
      <c r="D48" s="20"/>
      <c r="E48" s="73"/>
      <c r="F48" s="50"/>
      <c r="G48" s="51"/>
      <c r="H48" s="68"/>
      <c r="J48" s="16"/>
      <c r="K48" s="48"/>
      <c r="L48" s="48"/>
      <c r="M48" s="48"/>
      <c r="N48" s="48"/>
      <c r="O48" s="48"/>
      <c r="P48" s="48"/>
      <c r="Q48" s="48"/>
      <c r="R48" s="48"/>
      <c r="S48" s="48"/>
      <c r="T48" s="48"/>
      <c r="U48" s="48"/>
      <c r="V48" s="48"/>
      <c r="W48" s="48"/>
      <c r="X48" s="48"/>
      <c r="Y48" s="48"/>
      <c r="Z48" s="48"/>
      <c r="AA48" s="48"/>
      <c r="AB48" s="48"/>
    </row>
    <row r="49" spans="1:28" ht="15.75" thickBot="1" x14ac:dyDescent="0.3">
      <c r="A49" s="1">
        <v>13</v>
      </c>
      <c r="B49" s="31" t="s">
        <v>31</v>
      </c>
      <c r="C49" s="32"/>
      <c r="D49" s="20"/>
      <c r="E49" s="9"/>
      <c r="F49" s="50"/>
      <c r="G49" s="34" t="s">
        <v>11</v>
      </c>
      <c r="H49" s="23"/>
      <c r="I49" s="74">
        <f>NPV($E$96,K49:AA49)*'Hulpberekeningen 1'!$P$32</f>
        <v>0</v>
      </c>
      <c r="J49" s="16"/>
      <c r="K49" s="75"/>
      <c r="L49" s="75"/>
      <c r="M49" s="75"/>
      <c r="N49" s="75"/>
      <c r="O49" s="75"/>
      <c r="P49" s="75"/>
      <c r="Q49" s="75"/>
      <c r="R49" s="75"/>
      <c r="S49" s="75"/>
      <c r="T49" s="75"/>
      <c r="U49" s="75"/>
      <c r="V49" s="75"/>
      <c r="W49" s="75"/>
      <c r="X49" s="75"/>
      <c r="Y49" s="75"/>
      <c r="Z49" s="75"/>
      <c r="AA49" s="75"/>
      <c r="AB49" s="660"/>
    </row>
    <row r="50" spans="1:28" ht="15" x14ac:dyDescent="0.25">
      <c r="B50" s="63"/>
      <c r="C50" s="63"/>
      <c r="D50" s="20"/>
      <c r="E50" s="9"/>
      <c r="F50" s="50"/>
      <c r="G50" s="34"/>
      <c r="H50" s="23"/>
      <c r="I50" s="48"/>
      <c r="J50" s="16"/>
      <c r="K50" s="76"/>
      <c r="L50" s="76"/>
      <c r="M50" s="76"/>
      <c r="N50" s="76"/>
      <c r="O50" s="76"/>
      <c r="P50" s="76"/>
      <c r="Q50" s="76"/>
      <c r="R50" s="76"/>
      <c r="S50" s="76"/>
      <c r="T50" s="76"/>
      <c r="U50" s="76"/>
      <c r="V50" s="76"/>
      <c r="W50" s="76"/>
      <c r="X50" s="76"/>
      <c r="Y50" s="76"/>
      <c r="Z50" s="76"/>
      <c r="AA50" s="76"/>
      <c r="AB50" s="76"/>
    </row>
    <row r="51" spans="1:28" ht="15.75" x14ac:dyDescent="0.25">
      <c r="A51" s="77"/>
      <c r="B51" s="78"/>
      <c r="C51" s="78"/>
      <c r="D51" s="20"/>
      <c r="E51" s="79"/>
      <c r="F51" s="80"/>
      <c r="G51" s="81"/>
      <c r="H51" s="21"/>
      <c r="I51" s="25"/>
      <c r="J51" s="24"/>
      <c r="K51" s="82"/>
      <c r="L51" s="79"/>
      <c r="M51" s="79"/>
      <c r="N51" s="79"/>
      <c r="O51" s="79"/>
      <c r="P51" s="79"/>
      <c r="Q51" s="79"/>
      <c r="R51" s="79"/>
      <c r="S51" s="79"/>
      <c r="T51" s="79"/>
      <c r="U51" s="79"/>
      <c r="V51" s="79"/>
      <c r="W51" s="79"/>
      <c r="X51" s="26"/>
    </row>
    <row r="52" spans="1:28" ht="15.75" thickBot="1" x14ac:dyDescent="0.3">
      <c r="A52" s="77"/>
      <c r="B52" s="24" t="s">
        <v>32</v>
      </c>
      <c r="C52" s="24"/>
      <c r="D52" s="20"/>
      <c r="E52" s="30"/>
      <c r="F52" s="9"/>
      <c r="G52" s="83"/>
      <c r="H52" s="80"/>
      <c r="I52" s="25"/>
      <c r="J52" s="24"/>
      <c r="K52" s="84"/>
      <c r="L52" s="84"/>
      <c r="M52" s="85"/>
      <c r="N52" s="85"/>
      <c r="O52" s="85"/>
      <c r="P52" s="85"/>
      <c r="Q52" s="85"/>
      <c r="R52" s="85"/>
      <c r="S52" s="85"/>
      <c r="T52" s="85"/>
      <c r="U52" s="85"/>
      <c r="V52" s="85"/>
      <c r="W52" s="85"/>
      <c r="X52" s="26"/>
    </row>
    <row r="53" spans="1:28" ht="15.75" thickBot="1" x14ac:dyDescent="0.3">
      <c r="A53" s="1">
        <v>14</v>
      </c>
      <c r="B53" s="31" t="s">
        <v>33</v>
      </c>
      <c r="C53" s="32"/>
      <c r="D53" s="20"/>
      <c r="E53" s="620"/>
      <c r="F53" s="302"/>
      <c r="G53" s="34" t="s">
        <v>11</v>
      </c>
      <c r="H53" s="308"/>
      <c r="I53" s="86"/>
      <c r="J53" s="87"/>
      <c r="K53" s="88"/>
      <c r="L53" s="88"/>
      <c r="M53" s="88"/>
      <c r="N53" s="88"/>
      <c r="O53" s="88"/>
      <c r="P53" s="88"/>
      <c r="Q53" s="88"/>
      <c r="R53" s="88"/>
      <c r="S53" s="88"/>
      <c r="T53" s="88"/>
      <c r="U53" s="88"/>
      <c r="V53" s="88"/>
      <c r="W53" s="88"/>
      <c r="X53" s="26"/>
    </row>
    <row r="54" spans="1:28" ht="15.75" thickBot="1" x14ac:dyDescent="0.3">
      <c r="A54" s="1">
        <v>15</v>
      </c>
      <c r="B54" s="31" t="s">
        <v>34</v>
      </c>
      <c r="C54" s="32"/>
      <c r="D54" s="20"/>
      <c r="E54" s="89"/>
      <c r="F54" s="49"/>
      <c r="G54" s="34" t="s">
        <v>11</v>
      </c>
      <c r="H54" s="90"/>
      <c r="I54" s="91"/>
      <c r="J54" s="24"/>
      <c r="K54" s="79"/>
      <c r="L54" s="79"/>
      <c r="M54" s="79"/>
      <c r="N54" s="79"/>
      <c r="O54" s="79"/>
      <c r="P54" s="79"/>
      <c r="Q54" s="79"/>
      <c r="R54" s="79"/>
      <c r="S54" s="79"/>
      <c r="T54" s="79"/>
      <c r="U54" s="79"/>
      <c r="V54" s="79"/>
      <c r="W54" s="79"/>
      <c r="X54" s="26"/>
    </row>
    <row r="55" spans="1:28" ht="15" x14ac:dyDescent="0.25">
      <c r="B55" s="69"/>
      <c r="C55" s="69"/>
      <c r="D55" s="20"/>
      <c r="E55" s="19"/>
      <c r="F55" s="62"/>
      <c r="G55" s="92"/>
      <c r="H55" s="86"/>
      <c r="I55" s="91"/>
      <c r="J55" s="24"/>
      <c r="K55" s="79"/>
      <c r="L55" s="79"/>
      <c r="M55" s="79"/>
      <c r="N55" s="79"/>
      <c r="O55" s="79"/>
      <c r="P55" s="79"/>
      <c r="Q55" s="79"/>
      <c r="R55" s="79"/>
      <c r="S55" s="79"/>
      <c r="T55" s="79"/>
      <c r="U55" s="79"/>
      <c r="V55" s="79"/>
      <c r="W55" s="79"/>
      <c r="X55" s="26"/>
    </row>
    <row r="56" spans="1:28" ht="14.25" x14ac:dyDescent="0.2">
      <c r="B56" s="30"/>
      <c r="C56" s="30"/>
      <c r="D56" s="20"/>
      <c r="E56" s="30"/>
      <c r="F56" s="30"/>
      <c r="G56" s="93"/>
      <c r="H56" s="86"/>
      <c r="I56" s="25"/>
      <c r="J56" s="24"/>
      <c r="K56" s="88"/>
      <c r="L56" s="79"/>
      <c r="M56" s="84"/>
      <c r="N56" s="79"/>
      <c r="O56" s="84"/>
      <c r="P56" s="79"/>
      <c r="Q56" s="79"/>
      <c r="R56" s="79"/>
      <c r="S56" s="79"/>
      <c r="T56" s="79"/>
      <c r="U56" s="79"/>
      <c r="V56" s="79"/>
      <c r="W56" s="79"/>
      <c r="X56" s="26"/>
    </row>
    <row r="57" spans="1:28" ht="15" thickBot="1" x14ac:dyDescent="0.25">
      <c r="B57" s="24" t="s">
        <v>35</v>
      </c>
      <c r="C57" s="24"/>
      <c r="D57" s="20"/>
      <c r="E57" s="30"/>
      <c r="F57" s="30"/>
      <c r="G57" s="93"/>
      <c r="H57" s="30"/>
      <c r="I57" s="25"/>
      <c r="J57" s="24"/>
      <c r="K57" s="25"/>
      <c r="L57" s="26"/>
      <c r="M57" s="25"/>
      <c r="N57" s="26"/>
      <c r="O57" s="25"/>
      <c r="P57" s="26"/>
      <c r="Q57" s="26"/>
      <c r="R57" s="26"/>
      <c r="S57" s="26"/>
      <c r="T57" s="26"/>
      <c r="U57" s="26"/>
      <c r="V57" s="26"/>
      <c r="W57" s="26"/>
      <c r="X57" s="26"/>
    </row>
    <row r="58" spans="1:28" ht="15.75" thickBot="1" x14ac:dyDescent="0.3">
      <c r="A58" s="1">
        <v>16</v>
      </c>
      <c r="B58" s="152" t="s">
        <v>36</v>
      </c>
      <c r="C58" s="32"/>
      <c r="D58" s="20"/>
      <c r="E58" s="94"/>
      <c r="F58" s="49"/>
      <c r="G58" s="34" t="s">
        <v>11</v>
      </c>
      <c r="H58" s="30"/>
      <c r="I58" s="95"/>
      <c r="J58" s="24"/>
    </row>
    <row r="59" spans="1:28" ht="15.75" thickBot="1" x14ac:dyDescent="0.3">
      <c r="A59" s="1">
        <v>17</v>
      </c>
      <c r="B59" s="31" t="s">
        <v>36</v>
      </c>
      <c r="C59" s="32"/>
      <c r="D59" s="20"/>
      <c r="E59" s="94"/>
      <c r="F59" s="302"/>
      <c r="G59" s="34" t="s">
        <v>11</v>
      </c>
      <c r="H59" s="96"/>
      <c r="I59" s="95"/>
      <c r="J59" s="24"/>
    </row>
    <row r="60" spans="1:28" ht="15.75" thickBot="1" x14ac:dyDescent="0.3">
      <c r="A60" s="136">
        <v>18</v>
      </c>
      <c r="B60" s="31" t="s">
        <v>37</v>
      </c>
      <c r="C60" s="32"/>
      <c r="D60" s="20"/>
      <c r="E60" s="98"/>
      <c r="F60" s="49"/>
      <c r="G60" s="34" t="s">
        <v>11</v>
      </c>
      <c r="H60" s="97"/>
      <c r="I60" s="95"/>
      <c r="J60" s="24"/>
    </row>
    <row r="61" spans="1:28" ht="15.75" thickBot="1" x14ac:dyDescent="0.3">
      <c r="A61" s="136">
        <v>19</v>
      </c>
      <c r="B61" s="31" t="s">
        <v>38</v>
      </c>
      <c r="C61" s="32"/>
      <c r="D61" s="20"/>
      <c r="E61" s="98"/>
      <c r="F61" s="49"/>
      <c r="G61" s="34" t="s">
        <v>11</v>
      </c>
      <c r="H61" s="97"/>
      <c r="I61" s="95"/>
      <c r="J61" s="24"/>
    </row>
    <row r="62" spans="1:28" ht="15.75" thickBot="1" x14ac:dyDescent="0.3">
      <c r="A62" s="136">
        <v>20</v>
      </c>
      <c r="B62" s="31" t="s">
        <v>39</v>
      </c>
      <c r="C62" s="32"/>
      <c r="D62" s="20"/>
      <c r="E62" s="98"/>
      <c r="F62" s="99"/>
      <c r="G62" s="34" t="s">
        <v>11</v>
      </c>
      <c r="H62" s="97"/>
      <c r="I62" s="23"/>
      <c r="J62" s="24"/>
    </row>
    <row r="63" spans="1:28" ht="15.75" thickBot="1" x14ac:dyDescent="0.3">
      <c r="A63" s="136">
        <v>21</v>
      </c>
      <c r="B63" s="31" t="s">
        <v>40</v>
      </c>
      <c r="C63" s="32"/>
      <c r="D63" s="20"/>
      <c r="E63" s="100">
        <f>SUM(E58:E62)</f>
        <v>0</v>
      </c>
      <c r="F63" s="23"/>
      <c r="G63" s="51"/>
      <c r="H63" s="23"/>
      <c r="I63" s="23"/>
      <c r="J63" s="24"/>
    </row>
    <row r="64" spans="1:28" ht="15" x14ac:dyDescent="0.25">
      <c r="B64" s="50"/>
      <c r="C64" s="50"/>
      <c r="D64" s="20"/>
      <c r="E64" s="101"/>
      <c r="F64" s="23"/>
      <c r="G64" s="51"/>
      <c r="H64" s="23"/>
      <c r="I64" s="23"/>
      <c r="J64" s="24"/>
      <c r="K64" s="3"/>
      <c r="L64" s="3"/>
      <c r="M64" s="3"/>
      <c r="N64" s="3"/>
      <c r="O64" s="3"/>
    </row>
    <row r="65" spans="1:28" ht="15" x14ac:dyDescent="0.25">
      <c r="B65" s="23"/>
      <c r="C65" s="23"/>
      <c r="D65" s="20"/>
      <c r="E65" s="23"/>
      <c r="F65" s="23"/>
      <c r="G65" s="51"/>
      <c r="H65" s="23"/>
      <c r="I65" s="23"/>
      <c r="J65" s="24" t="s">
        <v>41</v>
      </c>
      <c r="K65" s="102"/>
      <c r="L65" s="3"/>
      <c r="M65" s="3"/>
      <c r="N65" s="3"/>
      <c r="O65" s="3"/>
    </row>
    <row r="66" spans="1:28" ht="15.75" thickBot="1" x14ac:dyDescent="0.3">
      <c r="B66" s="28" t="s">
        <v>42</v>
      </c>
      <c r="C66" s="28"/>
      <c r="D66" s="20"/>
      <c r="E66" s="103"/>
      <c r="F66" s="103"/>
      <c r="G66" s="104"/>
      <c r="H66" s="23"/>
      <c r="I66" s="105" t="s">
        <v>43</v>
      </c>
      <c r="J66" s="24"/>
      <c r="K66" s="29"/>
      <c r="L66" s="29"/>
      <c r="M66" s="102"/>
      <c r="N66" s="102"/>
      <c r="O66" s="102"/>
      <c r="P66" s="106"/>
      <c r="Q66" s="106"/>
      <c r="R66" s="106"/>
      <c r="S66" s="106"/>
      <c r="T66" s="106"/>
      <c r="U66" s="106"/>
      <c r="V66" s="106"/>
      <c r="W66" s="106"/>
      <c r="X66" s="106"/>
      <c r="Y66" s="106"/>
      <c r="Z66" s="106"/>
      <c r="AA66" s="106"/>
      <c r="AB66" s="106"/>
    </row>
    <row r="67" spans="1:28" ht="15.75" thickBot="1" x14ac:dyDescent="0.3">
      <c r="A67" s="1">
        <v>22</v>
      </c>
      <c r="B67" s="31" t="s">
        <v>44</v>
      </c>
      <c r="C67" s="32"/>
      <c r="D67" s="20"/>
      <c r="E67" s="107"/>
      <c r="F67" s="67"/>
      <c r="G67" s="34" t="s">
        <v>11</v>
      </c>
      <c r="H67" s="103"/>
      <c r="I67" s="108"/>
      <c r="J67" s="24"/>
      <c r="K67" s="109"/>
      <c r="L67" s="30"/>
      <c r="M67" s="106"/>
      <c r="N67" s="106"/>
      <c r="O67" s="106"/>
      <c r="P67" s="106"/>
      <c r="Q67" s="106"/>
      <c r="R67" s="106"/>
      <c r="S67" s="106"/>
      <c r="T67" s="106"/>
      <c r="U67" s="106"/>
      <c r="V67" s="106"/>
      <c r="W67" s="106"/>
    </row>
    <row r="68" spans="1:28" ht="15.75" thickBot="1" x14ac:dyDescent="0.3">
      <c r="A68" s="1">
        <v>23</v>
      </c>
      <c r="B68" s="31" t="s">
        <v>45</v>
      </c>
      <c r="C68" s="32"/>
      <c r="D68" s="20"/>
      <c r="E68" s="107"/>
      <c r="F68" s="110"/>
      <c r="G68" s="34" t="s">
        <v>11</v>
      </c>
      <c r="H68" s="23"/>
      <c r="I68" s="108"/>
      <c r="J68" s="24"/>
      <c r="K68" s="30">
        <f>K18</f>
        <v>1900</v>
      </c>
      <c r="L68" s="30">
        <f t="shared" ref="L68:AA68" si="6">+K68+1</f>
        <v>1901</v>
      </c>
      <c r="M68" s="30">
        <f t="shared" si="6"/>
        <v>1902</v>
      </c>
      <c r="N68" s="30">
        <f t="shared" si="6"/>
        <v>1903</v>
      </c>
      <c r="O68" s="30">
        <f t="shared" si="6"/>
        <v>1904</v>
      </c>
      <c r="P68" s="30">
        <f t="shared" si="6"/>
        <v>1905</v>
      </c>
      <c r="Q68" s="30">
        <f t="shared" si="6"/>
        <v>1906</v>
      </c>
      <c r="R68" s="30">
        <f t="shared" si="6"/>
        <v>1907</v>
      </c>
      <c r="S68" s="30">
        <f t="shared" si="6"/>
        <v>1908</v>
      </c>
      <c r="T68" s="30">
        <f t="shared" si="6"/>
        <v>1909</v>
      </c>
      <c r="U68" s="30">
        <f t="shared" si="6"/>
        <v>1910</v>
      </c>
      <c r="V68" s="30">
        <f t="shared" si="6"/>
        <v>1911</v>
      </c>
      <c r="W68" s="30">
        <f t="shared" si="6"/>
        <v>1912</v>
      </c>
      <c r="X68" s="30">
        <f t="shared" si="6"/>
        <v>1913</v>
      </c>
      <c r="Y68" s="30">
        <f t="shared" si="6"/>
        <v>1914</v>
      </c>
      <c r="Z68" s="30">
        <f t="shared" si="6"/>
        <v>1915</v>
      </c>
      <c r="AA68" s="30">
        <f t="shared" si="6"/>
        <v>1916</v>
      </c>
      <c r="AB68" s="461"/>
    </row>
    <row r="69" spans="1:28" ht="15.75" thickBot="1" x14ac:dyDescent="0.3">
      <c r="A69" s="136">
        <v>24</v>
      </c>
      <c r="B69" s="31" t="s">
        <v>46</v>
      </c>
      <c r="C69" s="32"/>
      <c r="D69" s="20"/>
      <c r="E69" s="94"/>
      <c r="F69" s="67"/>
      <c r="G69" s="34" t="s">
        <v>11</v>
      </c>
      <c r="H69" s="23"/>
      <c r="I69" s="108"/>
      <c r="J69" s="24"/>
      <c r="K69" s="323" t="s">
        <v>455</v>
      </c>
      <c r="L69" s="323"/>
      <c r="M69" s="323"/>
      <c r="N69" s="323"/>
      <c r="O69" s="323"/>
      <c r="AB69" s="332"/>
    </row>
    <row r="70" spans="1:28" ht="15.75" thickBot="1" x14ac:dyDescent="0.3">
      <c r="A70" s="136">
        <v>25</v>
      </c>
      <c r="B70" s="31" t="s">
        <v>47</v>
      </c>
      <c r="C70" s="32"/>
      <c r="D70" s="20"/>
      <c r="E70" s="111">
        <f>E69*E68</f>
        <v>0</v>
      </c>
      <c r="F70" s="67"/>
      <c r="G70" s="34" t="s">
        <v>11</v>
      </c>
      <c r="I70" s="74">
        <f>NPV($E$96,K70:AA70)*'Hulpberekeningen 1'!$P$32</f>
        <v>0</v>
      </c>
      <c r="J70" s="24"/>
      <c r="K70" s="681">
        <f>IF(YEAR($E$43)&lt;=K68,$E$70,0)</f>
        <v>0</v>
      </c>
      <c r="L70" s="681">
        <f t="shared" ref="L70:M70" si="7">IF(YEAR($E$43)=L68,$E$70,0)</f>
        <v>0</v>
      </c>
      <c r="M70" s="681">
        <f t="shared" si="7"/>
        <v>0</v>
      </c>
      <c r="N70" s="682"/>
      <c r="O70" s="682"/>
      <c r="P70" s="667"/>
      <c r="Q70" s="667"/>
      <c r="R70" s="667"/>
      <c r="S70" s="667"/>
      <c r="T70" s="667"/>
      <c r="U70" s="667"/>
      <c r="V70" s="667"/>
      <c r="W70" s="667"/>
      <c r="X70" s="464"/>
      <c r="Y70" s="464"/>
      <c r="Z70" s="464"/>
      <c r="AA70" s="464"/>
      <c r="AB70" s="464"/>
    </row>
    <row r="71" spans="1:28" ht="15.75" thickBot="1" x14ac:dyDescent="0.3">
      <c r="A71" s="136">
        <v>26</v>
      </c>
      <c r="B71" s="31" t="s">
        <v>48</v>
      </c>
      <c r="C71" s="32"/>
      <c r="D71" s="20"/>
      <c r="E71" s="669">
        <f>NPV($E$96,$K$70:$M$70)*E67*'Hulpberekeningen 1'!$P$32</f>
        <v>0</v>
      </c>
      <c r="F71" s="113"/>
      <c r="G71" s="34" t="s">
        <v>11</v>
      </c>
      <c r="H71" s="23"/>
      <c r="I71" s="23"/>
      <c r="J71" s="24"/>
      <c r="K71" s="452"/>
      <c r="L71" s="452"/>
      <c r="M71" s="452"/>
      <c r="N71" s="452"/>
      <c r="O71" s="452"/>
      <c r="P71" s="23"/>
      <c r="Q71" s="23"/>
      <c r="R71" s="23"/>
      <c r="S71" s="23"/>
      <c r="T71" s="23"/>
      <c r="U71" s="23"/>
      <c r="V71" s="23"/>
      <c r="W71" s="23"/>
      <c r="X71" s="23"/>
      <c r="Y71" s="23"/>
      <c r="Z71" s="23"/>
      <c r="AA71" s="23"/>
      <c r="AB71" s="443"/>
    </row>
    <row r="72" spans="1:28" ht="15.75" thickBot="1" x14ac:dyDescent="0.3">
      <c r="B72" s="31"/>
      <c r="C72" s="32"/>
      <c r="D72" s="20"/>
      <c r="E72" s="114"/>
      <c r="F72" s="23"/>
      <c r="G72" s="51"/>
      <c r="H72" s="113"/>
      <c r="I72" s="23"/>
      <c r="J72" s="24"/>
      <c r="K72" s="683" t="s">
        <v>457</v>
      </c>
      <c r="L72" s="323"/>
      <c r="M72" s="323"/>
      <c r="N72" s="323"/>
      <c r="O72" s="323"/>
      <c r="AB72" s="332"/>
    </row>
    <row r="73" spans="1:28" ht="15.75" thickBot="1" x14ac:dyDescent="0.3">
      <c r="A73" s="1">
        <v>27</v>
      </c>
      <c r="B73" s="152" t="s">
        <v>454</v>
      </c>
      <c r="C73" s="32"/>
      <c r="D73" s="20"/>
      <c r="E73" s="94"/>
      <c r="F73" s="67"/>
      <c r="G73" s="34" t="s">
        <v>11</v>
      </c>
      <c r="H73" s="23"/>
      <c r="I73" s="74">
        <f>NPV($E$96,K73:AA73)*'Hulpberekeningen 1'!$P$32</f>
        <v>0</v>
      </c>
      <c r="J73" s="24"/>
      <c r="K73" s="681">
        <f>IF(YEAR($E$43)&lt;=K68,$E$73*0.75,0)</f>
        <v>0</v>
      </c>
      <c r="L73" s="681">
        <f>IF(YEAR($E$43)&lt;=K68,$E$73*0.25/14,
IF(YEAR($E$43)=L68,$E$73*0.75,0))</f>
        <v>0</v>
      </c>
      <c r="M73" s="681">
        <f>IF(YEAR($E$43)=M68,$E$73*0.75,$E$73*0.25/14)</f>
        <v>0</v>
      </c>
      <c r="N73" s="681">
        <f>$E$73*0.25/14</f>
        <v>0</v>
      </c>
      <c r="O73" s="681">
        <f t="shared" ref="O73:Y73" si="8">$E$73*0.25/14</f>
        <v>0</v>
      </c>
      <c r="P73" s="668">
        <f t="shared" si="8"/>
        <v>0</v>
      </c>
      <c r="Q73" s="668">
        <f t="shared" si="8"/>
        <v>0</v>
      </c>
      <c r="R73" s="668">
        <f t="shared" si="8"/>
        <v>0</v>
      </c>
      <c r="S73" s="668">
        <f t="shared" si="8"/>
        <v>0</v>
      </c>
      <c r="T73" s="668">
        <f t="shared" si="8"/>
        <v>0</v>
      </c>
      <c r="U73" s="668">
        <f t="shared" si="8"/>
        <v>0</v>
      </c>
      <c r="V73" s="668">
        <f t="shared" si="8"/>
        <v>0</v>
      </c>
      <c r="W73" s="668">
        <f t="shared" si="8"/>
        <v>0</v>
      </c>
      <c r="X73" s="668">
        <f t="shared" si="8"/>
        <v>0</v>
      </c>
      <c r="Y73" s="668">
        <f t="shared" si="8"/>
        <v>0</v>
      </c>
      <c r="Z73" s="668">
        <f>IF(YEAR($E$43)&gt;=Z68-14,$E$73*0.25/14,0)</f>
        <v>0</v>
      </c>
      <c r="AA73" s="668">
        <f t="shared" ref="AA73" si="9">IF(YEAR($E$43)&gt;=AA68-14,$E$73*0.25/14,0)</f>
        <v>0</v>
      </c>
      <c r="AB73" s="659"/>
    </row>
    <row r="74" spans="1:28" ht="15.75" thickBot="1" x14ac:dyDescent="0.3">
      <c r="A74" s="1">
        <v>28</v>
      </c>
      <c r="B74" s="31" t="s">
        <v>411</v>
      </c>
      <c r="C74" s="32"/>
      <c r="D74" s="20"/>
      <c r="E74" s="669">
        <f>IF(+'VAMIL voordeel'!C15&lt;0,0,+'VAMIL voordeel'!C15)</f>
        <v>0</v>
      </c>
      <c r="G74" s="34" t="s">
        <v>11</v>
      </c>
      <c r="I74" s="103"/>
      <c r="J74" s="24"/>
      <c r="K74" s="323"/>
      <c r="L74" s="452"/>
      <c r="M74" s="452"/>
      <c r="N74" s="452"/>
      <c r="O74" s="452"/>
      <c r="P74" s="103"/>
      <c r="Q74" s="103"/>
      <c r="R74" s="103"/>
      <c r="S74" s="103"/>
      <c r="T74" s="103"/>
      <c r="AB74" s="332"/>
    </row>
    <row r="75" spans="1:28" ht="15.75" thickBot="1" x14ac:dyDescent="0.3">
      <c r="B75" s="31"/>
      <c r="C75" s="32"/>
      <c r="D75" s="20"/>
      <c r="E75" s="116"/>
      <c r="G75" s="104"/>
      <c r="H75" s="117"/>
      <c r="I75" s="103"/>
      <c r="J75" s="24"/>
      <c r="K75" s="323" t="s">
        <v>456</v>
      </c>
      <c r="L75" s="452"/>
      <c r="M75" s="452"/>
      <c r="N75" s="452"/>
      <c r="O75" s="452"/>
      <c r="P75" s="103"/>
      <c r="Q75" s="103"/>
      <c r="R75" s="103"/>
      <c r="S75" s="103"/>
      <c r="T75" s="103"/>
      <c r="AB75" s="332"/>
    </row>
    <row r="76" spans="1:28" ht="15.75" thickBot="1" x14ac:dyDescent="0.3">
      <c r="A76" s="1">
        <v>29</v>
      </c>
      <c r="B76" s="31" t="s">
        <v>49</v>
      </c>
      <c r="C76" s="32"/>
      <c r="D76" s="20"/>
      <c r="E76" s="94"/>
      <c r="F76" s="303"/>
      <c r="G76" s="34" t="s">
        <v>11</v>
      </c>
      <c r="H76" s="23"/>
      <c r="I76" s="74">
        <f>NPV($E$96,K76:AA76)*'Hulpberekeningen 1'!$P$32</f>
        <v>0</v>
      </c>
      <c r="J76" s="24"/>
      <c r="K76" s="681">
        <f>IF(YEAR($E$43)&lt;=K68,$E$78,0)</f>
        <v>0</v>
      </c>
      <c r="L76" s="681">
        <f t="shared" ref="L76:M76" si="10">IF(YEAR($E$43)=L68,$E$78,0)</f>
        <v>0</v>
      </c>
      <c r="M76" s="681">
        <f t="shared" si="10"/>
        <v>0</v>
      </c>
      <c r="N76" s="682"/>
      <c r="O76" s="682"/>
      <c r="P76" s="667"/>
      <c r="Q76" s="667"/>
      <c r="R76" s="667"/>
      <c r="S76" s="667"/>
      <c r="T76" s="667"/>
      <c r="U76" s="667"/>
      <c r="V76" s="667"/>
      <c r="W76" s="667"/>
      <c r="X76" s="464"/>
      <c r="Y76" s="464"/>
      <c r="Z76" s="464"/>
      <c r="AA76" s="464"/>
      <c r="AB76" s="464"/>
    </row>
    <row r="77" spans="1:28" ht="15.75" thickBot="1" x14ac:dyDescent="0.3">
      <c r="A77" s="1">
        <v>30</v>
      </c>
      <c r="B77" s="31" t="s">
        <v>50</v>
      </c>
      <c r="C77" s="32"/>
      <c r="D77" s="20"/>
      <c r="E77" s="118"/>
      <c r="F77" s="67"/>
      <c r="G77" s="34" t="s">
        <v>11</v>
      </c>
      <c r="I77" s="103"/>
      <c r="J77" s="24"/>
      <c r="K77" s="323"/>
      <c r="L77" s="452"/>
      <c r="M77" s="452"/>
      <c r="N77" s="452"/>
      <c r="O77" s="452"/>
      <c r="P77" s="103"/>
      <c r="Q77" s="103"/>
      <c r="R77" s="103"/>
      <c r="S77" s="103"/>
      <c r="T77" s="103"/>
      <c r="AB77" s="332"/>
    </row>
    <row r="78" spans="1:28" ht="15.75" thickBot="1" x14ac:dyDescent="0.3">
      <c r="A78" s="136">
        <v>31</v>
      </c>
      <c r="B78" s="31" t="s">
        <v>51</v>
      </c>
      <c r="C78" s="32"/>
      <c r="D78" s="20"/>
      <c r="E78" s="112">
        <f>E76*E77</f>
        <v>0</v>
      </c>
      <c r="F78" s="103"/>
      <c r="G78" s="34" t="s">
        <v>11</v>
      </c>
      <c r="H78" s="103"/>
      <c r="I78" s="103"/>
      <c r="J78" s="24"/>
      <c r="K78" s="115"/>
      <c r="L78" s="103"/>
      <c r="M78" s="103"/>
      <c r="N78" s="103"/>
      <c r="O78" s="103"/>
      <c r="P78" s="103"/>
      <c r="Q78" s="103"/>
      <c r="R78" s="103"/>
      <c r="S78" s="103"/>
      <c r="T78" s="103"/>
    </row>
    <row r="79" spans="1:28" ht="15.75" thickBot="1" x14ac:dyDescent="0.3">
      <c r="A79" s="136">
        <v>32</v>
      </c>
      <c r="B79" s="31" t="s">
        <v>52</v>
      </c>
      <c r="C79" s="32"/>
      <c r="D79" s="20"/>
      <c r="E79" s="669">
        <f>NPV($E$96,K76:M76)*E67*'Hulpberekeningen 1'!$P$32</f>
        <v>0</v>
      </c>
      <c r="F79" s="117"/>
      <c r="G79" s="34" t="s">
        <v>11</v>
      </c>
      <c r="H79" s="103"/>
      <c r="I79" s="103"/>
      <c r="J79" s="24"/>
      <c r="K79" s="103"/>
      <c r="L79" s="103"/>
      <c r="M79" s="103"/>
      <c r="N79" s="103"/>
      <c r="O79" s="103"/>
      <c r="P79" s="103"/>
    </row>
    <row r="80" spans="1:28" ht="15.75" thickBot="1" x14ac:dyDescent="0.3">
      <c r="A80" s="136">
        <v>33</v>
      </c>
      <c r="B80" s="31" t="s">
        <v>53</v>
      </c>
      <c r="C80" s="32"/>
      <c r="D80" s="20"/>
      <c r="E80" s="119">
        <f>+E79+E74+E71</f>
        <v>0</v>
      </c>
      <c r="F80" s="103"/>
      <c r="G80" s="104"/>
      <c r="H80" s="117"/>
      <c r="I80" s="103"/>
      <c r="J80" s="24"/>
      <c r="K80" s="103"/>
      <c r="L80" s="103"/>
      <c r="M80" s="103"/>
      <c r="N80" s="103"/>
      <c r="O80" s="103"/>
      <c r="P80" s="103"/>
    </row>
    <row r="81" spans="1:17" ht="15" x14ac:dyDescent="0.25">
      <c r="B81" s="28"/>
      <c r="C81" s="28"/>
      <c r="D81" s="20"/>
      <c r="E81" s="101"/>
      <c r="F81" s="103"/>
      <c r="G81" s="104"/>
      <c r="H81" s="103"/>
      <c r="I81" s="103"/>
      <c r="J81" s="24"/>
      <c r="K81" s="103"/>
      <c r="L81" s="103"/>
      <c r="M81" s="103"/>
      <c r="N81" s="103"/>
      <c r="O81" s="103"/>
      <c r="P81" s="103"/>
    </row>
    <row r="82" spans="1:17" ht="15" x14ac:dyDescent="0.25">
      <c r="B82" s="28"/>
      <c r="C82" s="28"/>
      <c r="D82" s="20"/>
      <c r="E82" s="101"/>
      <c r="F82" s="103"/>
      <c r="G82" s="104"/>
      <c r="H82" s="103"/>
      <c r="I82" s="103"/>
      <c r="J82" s="24"/>
      <c r="K82" s="103"/>
      <c r="L82" s="103"/>
      <c r="M82" s="103"/>
      <c r="N82" s="103"/>
      <c r="O82" s="103"/>
      <c r="P82" s="103"/>
    </row>
    <row r="83" spans="1:17" ht="15.75" thickBot="1" x14ac:dyDescent="0.3">
      <c r="B83" s="28" t="s">
        <v>54</v>
      </c>
      <c r="C83" s="28"/>
      <c r="D83" s="20"/>
      <c r="E83" s="103"/>
      <c r="F83" s="103"/>
      <c r="G83" s="104"/>
      <c r="H83" s="103"/>
      <c r="I83" s="103"/>
      <c r="J83" s="24"/>
      <c r="K83" s="103"/>
      <c r="L83" s="103"/>
      <c r="M83" s="103"/>
      <c r="N83" s="103"/>
      <c r="O83" s="103"/>
      <c r="P83" s="103"/>
    </row>
    <row r="84" spans="1:17" ht="15.75" thickBot="1" x14ac:dyDescent="0.3">
      <c r="A84" s="120">
        <v>34</v>
      </c>
      <c r="B84" s="31" t="s">
        <v>55</v>
      </c>
      <c r="C84" s="32"/>
      <c r="D84" s="20"/>
      <c r="E84" s="121">
        <f>+E53-E63</f>
        <v>0</v>
      </c>
      <c r="F84" s="23"/>
      <c r="G84" s="34" t="s">
        <v>11</v>
      </c>
      <c r="H84" s="103"/>
      <c r="I84" s="23"/>
      <c r="J84" s="24"/>
      <c r="K84" s="103"/>
      <c r="L84" s="103"/>
      <c r="M84" s="103"/>
      <c r="N84" s="103"/>
      <c r="O84" s="103"/>
      <c r="P84" s="103"/>
    </row>
    <row r="85" spans="1:17" ht="15.75" thickBot="1" x14ac:dyDescent="0.3">
      <c r="A85" s="122">
        <v>35</v>
      </c>
      <c r="B85" s="31" t="s">
        <v>56</v>
      </c>
      <c r="C85" s="32"/>
      <c r="D85" s="20"/>
      <c r="E85" s="123">
        <f>+E53-E63-E80</f>
        <v>0</v>
      </c>
      <c r="F85" s="103"/>
      <c r="G85" s="34" t="s">
        <v>11</v>
      </c>
      <c r="H85" s="23"/>
      <c r="I85" s="23"/>
      <c r="J85" s="24"/>
    </row>
    <row r="86" spans="1:17" ht="15.75" thickBot="1" x14ac:dyDescent="0.3">
      <c r="A86" s="122">
        <v>36</v>
      </c>
      <c r="B86" s="365" t="s">
        <v>308</v>
      </c>
      <c r="C86" s="32"/>
      <c r="D86" s="20"/>
      <c r="E86" s="124"/>
      <c r="F86" s="67"/>
      <c r="G86" s="34" t="s">
        <v>11</v>
      </c>
      <c r="H86" s="103"/>
      <c r="I86" s="23"/>
      <c r="J86" s="24"/>
      <c r="Q86" s="3"/>
    </row>
    <row r="87" spans="1:17" ht="15.75" thickBot="1" x14ac:dyDescent="0.3">
      <c r="A87" s="122">
        <v>37</v>
      </c>
      <c r="B87" s="31" t="s">
        <v>58</v>
      </c>
      <c r="C87" s="32"/>
      <c r="D87" s="20"/>
      <c r="E87" s="125">
        <f>(1-E86)</f>
        <v>1</v>
      </c>
      <c r="F87" s="67"/>
      <c r="G87" s="34" t="s">
        <v>11</v>
      </c>
      <c r="H87" s="23"/>
      <c r="I87" s="23"/>
      <c r="J87" s="24"/>
      <c r="K87" s="7"/>
    </row>
    <row r="88" spans="1:17" ht="15.75" thickBot="1" x14ac:dyDescent="0.3">
      <c r="A88" s="122">
        <v>38</v>
      </c>
      <c r="B88" s="31" t="s">
        <v>57</v>
      </c>
      <c r="C88" s="32"/>
      <c r="D88" s="20"/>
      <c r="E88" s="126">
        <f>E85*E86</f>
        <v>0</v>
      </c>
      <c r="F88" s="23"/>
      <c r="G88" s="51"/>
      <c r="H88" s="23"/>
      <c r="I88" s="23"/>
      <c r="J88" s="24"/>
    </row>
    <row r="89" spans="1:17" ht="15.75" thickBot="1" x14ac:dyDescent="0.3">
      <c r="A89" s="122">
        <v>39</v>
      </c>
      <c r="B89" s="31" t="s">
        <v>59</v>
      </c>
      <c r="C89" s="32"/>
      <c r="D89" s="20"/>
      <c r="E89" s="112">
        <f>E85*E87</f>
        <v>0</v>
      </c>
      <c r="F89" s="127"/>
      <c r="G89" s="128"/>
      <c r="H89" s="23"/>
      <c r="I89" s="113"/>
      <c r="J89" s="24"/>
      <c r="K89" s="7"/>
    </row>
    <row r="90" spans="1:17" ht="15.75" thickBot="1" x14ac:dyDescent="0.3">
      <c r="A90" s="122">
        <v>40</v>
      </c>
      <c r="B90" s="31" t="s">
        <v>60</v>
      </c>
      <c r="C90" s="32"/>
      <c r="D90" s="20"/>
      <c r="E90" s="620"/>
      <c r="F90" s="303"/>
      <c r="G90" s="34" t="s">
        <v>11</v>
      </c>
      <c r="H90" s="127"/>
      <c r="I90" s="23"/>
      <c r="J90" s="24"/>
    </row>
    <row r="91" spans="1:17" s="3" customFormat="1" ht="15.75" thickBot="1" x14ac:dyDescent="0.3">
      <c r="A91" s="122">
        <v>41</v>
      </c>
      <c r="B91" s="365" t="s">
        <v>306</v>
      </c>
      <c r="C91" s="53"/>
      <c r="D91" s="24"/>
      <c r="E91" s="624"/>
      <c r="F91" s="366"/>
      <c r="G91" s="34"/>
      <c r="H91" s="127"/>
      <c r="I91" s="23"/>
      <c r="J91" s="24"/>
    </row>
    <row r="92" spans="1:17" ht="15.75" thickBot="1" x14ac:dyDescent="0.3">
      <c r="A92" s="122">
        <v>42</v>
      </c>
      <c r="B92" s="365" t="s">
        <v>307</v>
      </c>
      <c r="C92" s="32"/>
      <c r="D92" s="20"/>
      <c r="E92" s="367">
        <f>+'Rendement geinv. vermogen'!B30</f>
        <v>0</v>
      </c>
      <c r="F92" s="23"/>
      <c r="G92" s="34" t="s">
        <v>11</v>
      </c>
      <c r="H92" s="23"/>
      <c r="I92" s="23"/>
      <c r="J92" s="24"/>
    </row>
    <row r="93" spans="1:17" ht="15.75" thickBot="1" x14ac:dyDescent="0.3">
      <c r="A93" s="122">
        <v>43</v>
      </c>
      <c r="B93" s="365" t="s">
        <v>61</v>
      </c>
      <c r="C93" s="32"/>
      <c r="D93" s="20"/>
      <c r="E93" s="623" cm="1">
        <f t="array" ref="E93">SUMPRODUCT((Stamblad!$B$82:$I$82=LEFT(Invoerblad!$E$13,5))*Stamblad!$B$86:$I$86)</f>
        <v>1.4999999999999999E-2</v>
      </c>
      <c r="F93" s="23"/>
      <c r="G93" s="34" t="s">
        <v>11</v>
      </c>
      <c r="H93" s="23"/>
      <c r="I93" s="23"/>
      <c r="J93" s="24"/>
    </row>
    <row r="94" spans="1:17" s="3" customFormat="1" ht="15.75" thickBot="1" x14ac:dyDescent="0.3">
      <c r="A94" s="122">
        <v>44</v>
      </c>
      <c r="B94" s="365" t="s">
        <v>309</v>
      </c>
      <c r="C94" s="53"/>
      <c r="D94" s="24"/>
      <c r="E94" s="623" cm="1">
        <f t="array" ref="E94">SUMPRODUCT((Stamblad!$B$82:$I$82=LEFT(Invoerblad!$E$13,5))*Stamblad!$B$85:$I$85)</f>
        <v>0.09</v>
      </c>
      <c r="F94" s="23"/>
      <c r="G94" s="34"/>
      <c r="H94" s="23"/>
      <c r="I94" s="23"/>
      <c r="J94" s="24"/>
      <c r="N94" s="413"/>
    </row>
    <row r="95" spans="1:17" ht="15.75" thickBot="1" x14ac:dyDescent="0.3">
      <c r="A95" s="122">
        <v>45</v>
      </c>
      <c r="B95" s="31" t="s">
        <v>62</v>
      </c>
      <c r="C95" s="32"/>
      <c r="D95" s="20"/>
      <c r="E95" s="129">
        <v>15</v>
      </c>
      <c r="F95" s="23"/>
      <c r="G95" s="34" t="s">
        <v>11</v>
      </c>
      <c r="H95" s="23"/>
      <c r="I95" s="23"/>
      <c r="J95" s="24"/>
    </row>
    <row r="96" spans="1:17" ht="24" thickBot="1" x14ac:dyDescent="0.4">
      <c r="A96" s="122">
        <v>46</v>
      </c>
      <c r="B96" s="31" t="s">
        <v>63</v>
      </c>
      <c r="C96" s="32"/>
      <c r="D96" s="20"/>
      <c r="E96" s="124"/>
      <c r="F96" s="67"/>
      <c r="G96" s="34" t="s">
        <v>11</v>
      </c>
      <c r="H96" s="416"/>
      <c r="I96" s="23"/>
      <c r="J96" s="24"/>
    </row>
    <row r="97" spans="1:28" ht="15" x14ac:dyDescent="0.25">
      <c r="B97" s="69"/>
      <c r="C97" s="69"/>
      <c r="D97" s="20"/>
      <c r="E97" s="130"/>
      <c r="F97" s="23"/>
      <c r="G97" s="51"/>
      <c r="H97" s="23"/>
      <c r="I97" s="23"/>
      <c r="J97" s="24"/>
      <c r="K97" s="30"/>
      <c r="L97" s="30"/>
      <c r="M97" s="106"/>
      <c r="N97" s="106"/>
      <c r="O97" s="106"/>
      <c r="P97" s="106"/>
      <c r="Q97" s="106"/>
      <c r="R97" s="106"/>
      <c r="S97" s="106"/>
      <c r="T97" s="106"/>
      <c r="U97" s="106"/>
      <c r="V97" s="106"/>
      <c r="W97" s="106"/>
      <c r="X97" s="106"/>
      <c r="Y97" s="106"/>
      <c r="Z97" s="106"/>
      <c r="AA97" s="106"/>
      <c r="AB97" s="106"/>
    </row>
    <row r="98" spans="1:28" ht="15" x14ac:dyDescent="0.25">
      <c r="B98" s="69"/>
      <c r="C98" s="69"/>
      <c r="D98" s="20"/>
      <c r="E98" s="130"/>
      <c r="F98" s="23"/>
      <c r="G98" s="51"/>
      <c r="H98" s="23"/>
      <c r="I98" s="23"/>
      <c r="J98" s="24"/>
      <c r="K98" s="30"/>
      <c r="L98" s="30"/>
      <c r="M98" s="106"/>
      <c r="N98" s="106"/>
      <c r="O98" s="106"/>
      <c r="P98" s="106"/>
      <c r="Q98" s="106"/>
      <c r="R98" s="106"/>
      <c r="S98" s="106"/>
      <c r="T98" s="106"/>
      <c r="U98" s="106"/>
      <c r="V98" s="106"/>
      <c r="W98" s="106"/>
      <c r="X98" s="106"/>
      <c r="Y98" s="106"/>
      <c r="Z98" s="106"/>
      <c r="AA98" s="106"/>
      <c r="AB98" s="106"/>
    </row>
    <row r="99" spans="1:28" ht="15.75" thickBot="1" x14ac:dyDescent="0.3">
      <c r="B99" s="16" t="s">
        <v>64</v>
      </c>
      <c r="C99" s="16"/>
      <c r="D99" s="20"/>
      <c r="E99" s="805" t="s">
        <v>21</v>
      </c>
      <c r="F99" s="23"/>
      <c r="G99" s="34" t="s">
        <v>11</v>
      </c>
      <c r="H99" s="23"/>
      <c r="I99" s="23"/>
      <c r="J99" s="24"/>
      <c r="K99" s="30">
        <f>K18</f>
        <v>1900</v>
      </c>
      <c r="L99" s="30">
        <f t="shared" ref="L99:AB99" si="11">+K99+1</f>
        <v>1901</v>
      </c>
      <c r="M99" s="30">
        <f t="shared" si="11"/>
        <v>1902</v>
      </c>
      <c r="N99" s="30">
        <f t="shared" si="11"/>
        <v>1903</v>
      </c>
      <c r="O99" s="30">
        <f t="shared" si="11"/>
        <v>1904</v>
      </c>
      <c r="P99" s="30">
        <f t="shared" si="11"/>
        <v>1905</v>
      </c>
      <c r="Q99" s="30">
        <f t="shared" si="11"/>
        <v>1906</v>
      </c>
      <c r="R99" s="30">
        <f t="shared" si="11"/>
        <v>1907</v>
      </c>
      <c r="S99" s="30">
        <f t="shared" si="11"/>
        <v>1908</v>
      </c>
      <c r="T99" s="30">
        <f t="shared" si="11"/>
        <v>1909</v>
      </c>
      <c r="U99" s="30">
        <f t="shared" si="11"/>
        <v>1910</v>
      </c>
      <c r="V99" s="30">
        <f t="shared" si="11"/>
        <v>1911</v>
      </c>
      <c r="W99" s="30">
        <f t="shared" si="11"/>
        <v>1912</v>
      </c>
      <c r="X99" s="30">
        <f t="shared" si="11"/>
        <v>1913</v>
      </c>
      <c r="Y99" s="30">
        <f t="shared" si="11"/>
        <v>1914</v>
      </c>
      <c r="Z99" s="30">
        <f t="shared" si="11"/>
        <v>1915</v>
      </c>
      <c r="AA99" s="30">
        <f t="shared" si="11"/>
        <v>1916</v>
      </c>
      <c r="AB99" s="30">
        <f t="shared" si="11"/>
        <v>1917</v>
      </c>
    </row>
    <row r="100" spans="1:28" ht="15.75" thickBot="1" x14ac:dyDescent="0.3">
      <c r="A100" s="131">
        <v>47</v>
      </c>
      <c r="B100" s="596" t="s">
        <v>65</v>
      </c>
      <c r="C100" s="599"/>
      <c r="D100" s="20"/>
      <c r="E100" s="445"/>
      <c r="F100" s="23"/>
      <c r="G100" s="51"/>
      <c r="H100" s="23"/>
      <c r="I100" s="23"/>
      <c r="J100" s="24"/>
      <c r="K100" s="572">
        <f>$E$100</f>
        <v>0</v>
      </c>
      <c r="L100" s="572">
        <f t="shared" ref="L100:AB100" si="12">$E$100</f>
        <v>0</v>
      </c>
      <c r="M100" s="572">
        <f t="shared" si="12"/>
        <v>0</v>
      </c>
      <c r="N100" s="572">
        <f t="shared" si="12"/>
        <v>0</v>
      </c>
      <c r="O100" s="572">
        <f t="shared" si="12"/>
        <v>0</v>
      </c>
      <c r="P100" s="572">
        <f t="shared" si="12"/>
        <v>0</v>
      </c>
      <c r="Q100" s="572">
        <f t="shared" si="12"/>
        <v>0</v>
      </c>
      <c r="R100" s="572">
        <f t="shared" si="12"/>
        <v>0</v>
      </c>
      <c r="S100" s="572">
        <f t="shared" si="12"/>
        <v>0</v>
      </c>
      <c r="T100" s="572">
        <f t="shared" si="12"/>
        <v>0</v>
      </c>
      <c r="U100" s="572">
        <f t="shared" si="12"/>
        <v>0</v>
      </c>
      <c r="V100" s="572">
        <f t="shared" si="12"/>
        <v>0</v>
      </c>
      <c r="W100" s="572">
        <f t="shared" si="12"/>
        <v>0</v>
      </c>
      <c r="X100" s="572">
        <f t="shared" si="12"/>
        <v>0</v>
      </c>
      <c r="Y100" s="572">
        <f t="shared" si="12"/>
        <v>0</v>
      </c>
      <c r="Z100" s="572">
        <f t="shared" si="12"/>
        <v>0</v>
      </c>
      <c r="AA100" s="572">
        <f t="shared" si="12"/>
        <v>0</v>
      </c>
      <c r="AB100" s="573">
        <f t="shared" si="12"/>
        <v>0</v>
      </c>
    </row>
    <row r="101" spans="1:28" ht="15.75" thickBot="1" x14ac:dyDescent="0.3">
      <c r="A101" s="131">
        <v>48</v>
      </c>
      <c r="B101" s="596" t="s">
        <v>66</v>
      </c>
      <c r="C101" s="599"/>
      <c r="D101" s="20"/>
      <c r="E101" s="446"/>
      <c r="F101" s="23"/>
      <c r="G101" s="51"/>
      <c r="H101" s="23"/>
      <c r="I101" s="23"/>
      <c r="J101" s="24"/>
      <c r="K101" s="572">
        <f>$E$101</f>
        <v>0</v>
      </c>
      <c r="L101" s="572">
        <f t="shared" ref="L101:AB101" si="13">$E$101</f>
        <v>0</v>
      </c>
      <c r="M101" s="572">
        <f t="shared" si="13"/>
        <v>0</v>
      </c>
      <c r="N101" s="572">
        <f t="shared" si="13"/>
        <v>0</v>
      </c>
      <c r="O101" s="572">
        <f t="shared" si="13"/>
        <v>0</v>
      </c>
      <c r="P101" s="572">
        <f t="shared" si="13"/>
        <v>0</v>
      </c>
      <c r="Q101" s="572">
        <f t="shared" si="13"/>
        <v>0</v>
      </c>
      <c r="R101" s="572">
        <f t="shared" si="13"/>
        <v>0</v>
      </c>
      <c r="S101" s="572">
        <f t="shared" si="13"/>
        <v>0</v>
      </c>
      <c r="T101" s="572">
        <f t="shared" si="13"/>
        <v>0</v>
      </c>
      <c r="U101" s="572">
        <f t="shared" si="13"/>
        <v>0</v>
      </c>
      <c r="V101" s="572">
        <f t="shared" si="13"/>
        <v>0</v>
      </c>
      <c r="W101" s="572">
        <f t="shared" si="13"/>
        <v>0</v>
      </c>
      <c r="X101" s="572">
        <f t="shared" si="13"/>
        <v>0</v>
      </c>
      <c r="Y101" s="572">
        <f t="shared" si="13"/>
        <v>0</v>
      </c>
      <c r="Z101" s="572">
        <f t="shared" si="13"/>
        <v>0</v>
      </c>
      <c r="AA101" s="572">
        <f t="shared" si="13"/>
        <v>0</v>
      </c>
      <c r="AB101" s="574">
        <f t="shared" si="13"/>
        <v>0</v>
      </c>
    </row>
    <row r="102" spans="1:28" ht="15.75" thickBot="1" x14ac:dyDescent="0.3">
      <c r="A102" s="131">
        <v>49</v>
      </c>
      <c r="B102" s="596" t="str">
        <f>"SDE correctiebedrag gepubliceerd of prognose vanaf MSK-korting in "&amp;E46&amp;""</f>
        <v xml:space="preserve">SDE correctiebedrag gepubliceerd of prognose vanaf MSK-korting in </v>
      </c>
      <c r="C102" s="599"/>
      <c r="D102" s="20"/>
      <c r="E102" s="615"/>
      <c r="F102" s="23"/>
      <c r="G102" s="51"/>
      <c r="H102" s="478"/>
      <c r="I102" s="718"/>
      <c r="J102" s="54"/>
      <c r="K102" s="719">
        <v>0</v>
      </c>
      <c r="L102" s="719">
        <v>0</v>
      </c>
      <c r="M102" s="719">
        <v>0</v>
      </c>
      <c r="N102" s="719">
        <v>0</v>
      </c>
      <c r="O102" s="719">
        <v>0</v>
      </c>
      <c r="P102" s="719">
        <v>0</v>
      </c>
      <c r="Q102" s="719">
        <v>0</v>
      </c>
      <c r="R102" s="719">
        <v>0</v>
      </c>
      <c r="S102" s="719">
        <v>0</v>
      </c>
      <c r="T102" s="719">
        <v>0</v>
      </c>
      <c r="U102" s="719">
        <v>0</v>
      </c>
      <c r="V102" s="719">
        <v>0</v>
      </c>
      <c r="W102" s="719">
        <v>0</v>
      </c>
      <c r="X102" s="719">
        <v>0</v>
      </c>
      <c r="Y102" s="719">
        <v>0</v>
      </c>
      <c r="Z102" s="719">
        <v>0</v>
      </c>
      <c r="AA102" s="719">
        <v>0</v>
      </c>
      <c r="AB102" s="719">
        <v>0</v>
      </c>
    </row>
    <row r="103" spans="1:28" ht="15.75" thickBot="1" x14ac:dyDescent="0.3">
      <c r="A103" s="131">
        <v>50</v>
      </c>
      <c r="B103" s="596" t="s">
        <v>333</v>
      </c>
      <c r="C103" s="599"/>
      <c r="D103" s="20"/>
      <c r="E103" s="133"/>
      <c r="F103" s="49"/>
      <c r="G103" s="51"/>
      <c r="H103" s="478"/>
      <c r="I103" s="479"/>
      <c r="J103" s="24"/>
      <c r="K103" s="575">
        <f t="shared" ref="K103:W103" si="14">+K100-K101</f>
        <v>0</v>
      </c>
      <c r="L103" s="575">
        <f t="shared" si="14"/>
        <v>0</v>
      </c>
      <c r="M103" s="575">
        <f t="shared" si="14"/>
        <v>0</v>
      </c>
      <c r="N103" s="575">
        <f t="shared" si="14"/>
        <v>0</v>
      </c>
      <c r="O103" s="575">
        <f t="shared" si="14"/>
        <v>0</v>
      </c>
      <c r="P103" s="575">
        <f t="shared" si="14"/>
        <v>0</v>
      </c>
      <c r="Q103" s="575">
        <f t="shared" si="14"/>
        <v>0</v>
      </c>
      <c r="R103" s="575">
        <f t="shared" si="14"/>
        <v>0</v>
      </c>
      <c r="S103" s="575">
        <f t="shared" si="14"/>
        <v>0</v>
      </c>
      <c r="T103" s="575">
        <f t="shared" si="14"/>
        <v>0</v>
      </c>
      <c r="U103" s="575">
        <f t="shared" si="14"/>
        <v>0</v>
      </c>
      <c r="V103" s="575">
        <f t="shared" si="14"/>
        <v>0</v>
      </c>
      <c r="W103" s="575">
        <f t="shared" si="14"/>
        <v>0</v>
      </c>
      <c r="X103" s="575">
        <f>IF(X100=0,0,+X100-X101)</f>
        <v>0</v>
      </c>
      <c r="Y103" s="575">
        <f>IF(Y100=0,0,+Y100-Y101)</f>
        <v>0</v>
      </c>
      <c r="Z103" s="576">
        <f>IF(Z100=0,0,+Z100-Z101)</f>
        <v>0</v>
      </c>
      <c r="AA103" s="575">
        <f>IF(AA100=0,0,+AA100-AA101)</f>
        <v>0</v>
      </c>
      <c r="AB103" s="577">
        <f>IF(AB100=0,0,+AB100-AB101)</f>
        <v>0</v>
      </c>
    </row>
    <row r="104" spans="1:28" ht="15.75" thickBot="1" x14ac:dyDescent="0.3">
      <c r="A104" s="131">
        <v>51</v>
      </c>
      <c r="B104" s="596" t="s">
        <v>67</v>
      </c>
      <c r="C104" s="599"/>
      <c r="D104" s="20"/>
      <c r="E104" s="134"/>
      <c r="F104" s="135"/>
      <c r="G104" s="51"/>
      <c r="H104" s="478"/>
      <c r="I104" s="479"/>
      <c r="J104" s="16"/>
      <c r="K104" s="578">
        <f t="shared" ref="K104:AB104" si="15">+K100-K102</f>
        <v>0</v>
      </c>
      <c r="L104" s="578">
        <f t="shared" si="15"/>
        <v>0</v>
      </c>
      <c r="M104" s="578">
        <f t="shared" si="15"/>
        <v>0</v>
      </c>
      <c r="N104" s="578">
        <f t="shared" si="15"/>
        <v>0</v>
      </c>
      <c r="O104" s="578">
        <f t="shared" si="15"/>
        <v>0</v>
      </c>
      <c r="P104" s="578">
        <f t="shared" si="15"/>
        <v>0</v>
      </c>
      <c r="Q104" s="578">
        <f t="shared" si="15"/>
        <v>0</v>
      </c>
      <c r="R104" s="578">
        <f t="shared" si="15"/>
        <v>0</v>
      </c>
      <c r="S104" s="578">
        <f t="shared" si="15"/>
        <v>0</v>
      </c>
      <c r="T104" s="578">
        <f t="shared" si="15"/>
        <v>0</v>
      </c>
      <c r="U104" s="578">
        <f t="shared" si="15"/>
        <v>0</v>
      </c>
      <c r="V104" s="578">
        <f t="shared" si="15"/>
        <v>0</v>
      </c>
      <c r="W104" s="578">
        <f t="shared" si="15"/>
        <v>0</v>
      </c>
      <c r="X104" s="578">
        <f t="shared" si="15"/>
        <v>0</v>
      </c>
      <c r="Y104" s="578">
        <f t="shared" si="15"/>
        <v>0</v>
      </c>
      <c r="Z104" s="578">
        <f t="shared" si="15"/>
        <v>0</v>
      </c>
      <c r="AA104" s="578">
        <f t="shared" si="15"/>
        <v>0</v>
      </c>
      <c r="AB104" s="579">
        <f t="shared" si="15"/>
        <v>0</v>
      </c>
    </row>
    <row r="105" spans="1:28" s="3" customFormat="1" ht="15.75" thickBot="1" x14ac:dyDescent="0.3">
      <c r="A105" s="131"/>
      <c r="B105" s="596" t="s">
        <v>335</v>
      </c>
      <c r="C105" s="599"/>
      <c r="D105" s="24"/>
      <c r="E105" s="134"/>
      <c r="F105" s="135"/>
      <c r="G105" s="51"/>
      <c r="H105" s="480"/>
      <c r="I105" s="479"/>
      <c r="J105" s="24"/>
      <c r="K105" s="459">
        <v>0</v>
      </c>
      <c r="L105" s="459">
        <v>0</v>
      </c>
      <c r="M105" s="459">
        <v>0</v>
      </c>
      <c r="N105" s="459">
        <v>0</v>
      </c>
      <c r="O105" s="459">
        <v>0</v>
      </c>
      <c r="P105" s="459">
        <v>0</v>
      </c>
      <c r="Q105" s="459">
        <v>0</v>
      </c>
      <c r="R105" s="459">
        <v>0</v>
      </c>
      <c r="S105" s="459">
        <v>0</v>
      </c>
      <c r="T105" s="459">
        <v>0</v>
      </c>
      <c r="U105" s="459">
        <v>0</v>
      </c>
      <c r="V105" s="459">
        <v>0</v>
      </c>
      <c r="W105" s="459">
        <v>0</v>
      </c>
      <c r="X105" s="459">
        <v>0</v>
      </c>
      <c r="Y105" s="459">
        <v>0</v>
      </c>
      <c r="Z105" s="459">
        <v>0</v>
      </c>
      <c r="AA105" s="459">
        <v>0</v>
      </c>
      <c r="AB105" s="460">
        <v>0</v>
      </c>
    </row>
    <row r="106" spans="1:28" s="3" customFormat="1" ht="15.75" thickBot="1" x14ac:dyDescent="0.3">
      <c r="A106" s="131"/>
      <c r="B106" s="596" t="s">
        <v>336</v>
      </c>
      <c r="C106" s="599"/>
      <c r="D106" s="24"/>
      <c r="E106" s="134"/>
      <c r="F106" s="135"/>
      <c r="G106" s="51"/>
      <c r="H106" s="480"/>
      <c r="I106" s="479"/>
      <c r="J106" s="24"/>
      <c r="K106" s="580">
        <f ca="1">IF(K99&lt;$E$46,0,'Overzicht MSK toets'!$E$56)</f>
        <v>0</v>
      </c>
      <c r="L106" s="580">
        <f ca="1">IF(L99&lt;$E$46,0,'Overzicht MSK toets'!$E$56)</f>
        <v>0</v>
      </c>
      <c r="M106" s="580">
        <f ca="1">IF(M99&lt;$E$46,0,'Overzicht MSK toets'!$E$56)</f>
        <v>0</v>
      </c>
      <c r="N106" s="580">
        <f ca="1">IF(N99&lt;$E$46,0,'Overzicht MSK toets'!$E$56)</f>
        <v>0</v>
      </c>
      <c r="O106" s="580">
        <f ca="1">IF(O99&lt;$E$46,0,'Overzicht MSK toets'!$E$56)</f>
        <v>0</v>
      </c>
      <c r="P106" s="580">
        <f ca="1">IF(P99&lt;$E$46,0,'Overzicht MSK toets'!$E$56)</f>
        <v>0</v>
      </c>
      <c r="Q106" s="580">
        <f ca="1">IF(Q99&lt;$E$46,0,'Overzicht MSK toets'!$E$56)</f>
        <v>0</v>
      </c>
      <c r="R106" s="580">
        <f ca="1">IF(R99&lt;$E$46,0,'Overzicht MSK toets'!$E$56)</f>
        <v>0</v>
      </c>
      <c r="S106" s="580">
        <f ca="1">IF(S99&lt;$E$46,0,'Overzicht MSK toets'!$E$56)</f>
        <v>0</v>
      </c>
      <c r="T106" s="580">
        <f ca="1">IF(T99&lt;$E$46,0,'Overzicht MSK toets'!$E$56)</f>
        <v>0</v>
      </c>
      <c r="U106" s="580">
        <f ca="1">IF(U99&lt;$E$46,0,'Overzicht MSK toets'!$E$56)</f>
        <v>0</v>
      </c>
      <c r="V106" s="580">
        <f ca="1">IF(V99&lt;$E$46,0,'Overzicht MSK toets'!$E$56)</f>
        <v>0</v>
      </c>
      <c r="W106" s="580">
        <f ca="1">IF(W99&lt;$E$46,0,'Overzicht MSK toets'!$E$56)</f>
        <v>0</v>
      </c>
      <c r="X106" s="580">
        <f ca="1">IF(X99&lt;$E$46,0,'Overzicht MSK toets'!$E$56)</f>
        <v>0</v>
      </c>
      <c r="Y106" s="580">
        <f ca="1">IF(Y99&lt;$E$46,0,'Overzicht MSK toets'!$E$56)</f>
        <v>0</v>
      </c>
      <c r="Z106" s="580">
        <f ca="1">IF(Z99&lt;$E$46,0,'Overzicht MSK toets'!$E$56)</f>
        <v>0</v>
      </c>
      <c r="AA106" s="580">
        <f ca="1">IF(AA99&lt;$E$46,0,'Overzicht MSK toets'!$E$56)</f>
        <v>0</v>
      </c>
      <c r="AB106" s="581">
        <f ca="1">IF(AB99&lt;$E$46,0,'Overzicht MSK toets'!$E$56)</f>
        <v>0</v>
      </c>
    </row>
    <row r="107" spans="1:28" ht="15.75" thickBot="1" x14ac:dyDescent="0.3">
      <c r="B107" s="596" t="s">
        <v>337</v>
      </c>
      <c r="C107" s="600"/>
      <c r="H107" s="480"/>
      <c r="I107" s="323"/>
      <c r="K107" s="582">
        <f ca="1">IF(K104-K105-K106&gt;0,K104-K105-K106,0)</f>
        <v>0</v>
      </c>
      <c r="L107" s="582">
        <f t="shared" ref="L107:AB107" ca="1" si="16">IF(L104-L105-L106&gt;0,L104-L105-L106,0)</f>
        <v>0</v>
      </c>
      <c r="M107" s="582">
        <f t="shared" ca="1" si="16"/>
        <v>0</v>
      </c>
      <c r="N107" s="582">
        <f t="shared" ca="1" si="16"/>
        <v>0</v>
      </c>
      <c r="O107" s="582">
        <f t="shared" ca="1" si="16"/>
        <v>0</v>
      </c>
      <c r="P107" s="582">
        <f t="shared" ca="1" si="16"/>
        <v>0</v>
      </c>
      <c r="Q107" s="582">
        <f t="shared" ca="1" si="16"/>
        <v>0</v>
      </c>
      <c r="R107" s="582">
        <f t="shared" ca="1" si="16"/>
        <v>0</v>
      </c>
      <c r="S107" s="582">
        <f t="shared" ca="1" si="16"/>
        <v>0</v>
      </c>
      <c r="T107" s="582">
        <f t="shared" ca="1" si="16"/>
        <v>0</v>
      </c>
      <c r="U107" s="582">
        <f t="shared" ca="1" si="16"/>
        <v>0</v>
      </c>
      <c r="V107" s="582">
        <f t="shared" ca="1" si="16"/>
        <v>0</v>
      </c>
      <c r="W107" s="582">
        <f t="shared" ca="1" si="16"/>
        <v>0</v>
      </c>
      <c r="X107" s="582">
        <f t="shared" ca="1" si="16"/>
        <v>0</v>
      </c>
      <c r="Y107" s="582">
        <f t="shared" ca="1" si="16"/>
        <v>0</v>
      </c>
      <c r="Z107" s="582">
        <f t="shared" ca="1" si="16"/>
        <v>0</v>
      </c>
      <c r="AA107" s="582">
        <f t="shared" ca="1" si="16"/>
        <v>0</v>
      </c>
      <c r="AB107" s="582">
        <f t="shared" ca="1" si="16"/>
        <v>0</v>
      </c>
    </row>
    <row r="108" spans="1:28" ht="15" x14ac:dyDescent="0.25">
      <c r="A108" s="136"/>
      <c r="B108" s="323"/>
      <c r="C108" s="476"/>
      <c r="D108" s="20"/>
      <c r="E108" s="134"/>
      <c r="F108" s="23"/>
      <c r="G108" s="51"/>
      <c r="H108" s="481"/>
      <c r="I108" s="479"/>
      <c r="J108" s="24"/>
      <c r="K108" s="420"/>
      <c r="L108" s="420"/>
      <c r="M108" s="420"/>
      <c r="N108" s="420"/>
      <c r="O108" s="420"/>
      <c r="P108" s="420"/>
      <c r="Q108" s="420"/>
      <c r="R108" s="420"/>
      <c r="S108" s="420"/>
      <c r="T108" s="420"/>
      <c r="U108" s="420"/>
      <c r="V108" s="420"/>
      <c r="W108" s="420"/>
      <c r="X108" s="420"/>
      <c r="Y108" s="420"/>
      <c r="Z108" s="420"/>
      <c r="AA108" s="420"/>
      <c r="AB108" s="420"/>
    </row>
    <row r="109" spans="1:28" ht="15" x14ac:dyDescent="0.25">
      <c r="A109" s="136"/>
      <c r="B109" s="476"/>
      <c r="C109" s="476"/>
      <c r="D109" s="20"/>
      <c r="E109" s="134"/>
      <c r="F109" s="23"/>
      <c r="G109" s="51"/>
      <c r="H109" s="481"/>
      <c r="I109" s="479"/>
      <c r="J109" s="24"/>
      <c r="K109" s="24"/>
      <c r="L109" s="24"/>
      <c r="M109" s="24"/>
      <c r="N109" s="24"/>
      <c r="O109" s="24"/>
      <c r="P109" s="24"/>
      <c r="Q109" s="24"/>
      <c r="R109" s="24"/>
      <c r="S109" s="24"/>
      <c r="T109" s="24"/>
      <c r="U109" s="24"/>
      <c r="V109" s="24"/>
      <c r="W109" s="24"/>
      <c r="X109" s="24"/>
      <c r="Y109" s="24"/>
      <c r="Z109" s="24"/>
      <c r="AA109" s="24"/>
      <c r="AB109" s="24"/>
    </row>
    <row r="110" spans="1:28" ht="15.75" thickBot="1" x14ac:dyDescent="0.3">
      <c r="B110" s="477" t="s">
        <v>64</v>
      </c>
      <c r="C110" s="477"/>
      <c r="D110" s="20"/>
      <c r="E110" s="805" t="s">
        <v>68</v>
      </c>
      <c r="F110" s="23"/>
      <c r="G110" s="34" t="s">
        <v>11</v>
      </c>
      <c r="H110" s="481"/>
      <c r="I110" s="452"/>
      <c r="J110" s="24"/>
      <c r="K110" s="30">
        <f>K18</f>
        <v>1900</v>
      </c>
      <c r="L110" s="30">
        <f t="shared" ref="L110:AB110" si="17">+K110+1</f>
        <v>1901</v>
      </c>
      <c r="M110" s="30">
        <f t="shared" si="17"/>
        <v>1902</v>
      </c>
      <c r="N110" s="30">
        <f t="shared" si="17"/>
        <v>1903</v>
      </c>
      <c r="O110" s="30">
        <f t="shared" si="17"/>
        <v>1904</v>
      </c>
      <c r="P110" s="30">
        <f t="shared" si="17"/>
        <v>1905</v>
      </c>
      <c r="Q110" s="30">
        <f t="shared" si="17"/>
        <v>1906</v>
      </c>
      <c r="R110" s="30">
        <f t="shared" si="17"/>
        <v>1907</v>
      </c>
      <c r="S110" s="30">
        <f t="shared" si="17"/>
        <v>1908</v>
      </c>
      <c r="T110" s="30">
        <f t="shared" si="17"/>
        <v>1909</v>
      </c>
      <c r="U110" s="30">
        <f t="shared" si="17"/>
        <v>1910</v>
      </c>
      <c r="V110" s="30">
        <f t="shared" si="17"/>
        <v>1911</v>
      </c>
      <c r="W110" s="30">
        <f t="shared" si="17"/>
        <v>1912</v>
      </c>
      <c r="X110" s="30">
        <f t="shared" si="17"/>
        <v>1913</v>
      </c>
      <c r="Y110" s="30">
        <f t="shared" si="17"/>
        <v>1914</v>
      </c>
      <c r="Z110" s="30">
        <f t="shared" si="17"/>
        <v>1915</v>
      </c>
      <c r="AA110" s="30">
        <f t="shared" si="17"/>
        <v>1916</v>
      </c>
      <c r="AB110" s="30">
        <f t="shared" si="17"/>
        <v>1917</v>
      </c>
    </row>
    <row r="111" spans="1:28" ht="15.75" thickBot="1" x14ac:dyDescent="0.3">
      <c r="A111" s="131">
        <v>47</v>
      </c>
      <c r="B111" s="591" t="s">
        <v>65</v>
      </c>
      <c r="C111" s="592"/>
      <c r="D111" s="20"/>
      <c r="E111" s="445"/>
      <c r="F111" s="23"/>
      <c r="G111" s="51"/>
      <c r="H111" s="481"/>
      <c r="I111" s="452"/>
      <c r="J111" s="24"/>
      <c r="K111" s="583">
        <f>$E$111</f>
        <v>0</v>
      </c>
      <c r="L111" s="583">
        <f t="shared" ref="L111:AB111" si="18">$E$111</f>
        <v>0</v>
      </c>
      <c r="M111" s="583">
        <f t="shared" si="18"/>
        <v>0</v>
      </c>
      <c r="N111" s="583">
        <f t="shared" si="18"/>
        <v>0</v>
      </c>
      <c r="O111" s="583">
        <f t="shared" si="18"/>
        <v>0</v>
      </c>
      <c r="P111" s="583">
        <f t="shared" si="18"/>
        <v>0</v>
      </c>
      <c r="Q111" s="583">
        <f t="shared" si="18"/>
        <v>0</v>
      </c>
      <c r="R111" s="583">
        <f t="shared" si="18"/>
        <v>0</v>
      </c>
      <c r="S111" s="583">
        <f t="shared" si="18"/>
        <v>0</v>
      </c>
      <c r="T111" s="583">
        <f t="shared" si="18"/>
        <v>0</v>
      </c>
      <c r="U111" s="583">
        <f t="shared" si="18"/>
        <v>0</v>
      </c>
      <c r="V111" s="583">
        <f t="shared" si="18"/>
        <v>0</v>
      </c>
      <c r="W111" s="583">
        <f t="shared" si="18"/>
        <v>0</v>
      </c>
      <c r="X111" s="583">
        <f t="shared" si="18"/>
        <v>0</v>
      </c>
      <c r="Y111" s="583">
        <f t="shared" si="18"/>
        <v>0</v>
      </c>
      <c r="Z111" s="583">
        <f t="shared" si="18"/>
        <v>0</v>
      </c>
      <c r="AA111" s="583">
        <f t="shared" si="18"/>
        <v>0</v>
      </c>
      <c r="AB111" s="584">
        <f t="shared" si="18"/>
        <v>0</v>
      </c>
    </row>
    <row r="112" spans="1:28" ht="15.75" thickBot="1" x14ac:dyDescent="0.3">
      <c r="A112" s="131">
        <v>48</v>
      </c>
      <c r="B112" s="591" t="s">
        <v>66</v>
      </c>
      <c r="C112" s="592"/>
      <c r="D112" s="20"/>
      <c r="E112" s="446"/>
      <c r="F112" s="23"/>
      <c r="G112" s="51"/>
      <c r="H112" s="481"/>
      <c r="I112" s="452"/>
      <c r="J112" s="24"/>
      <c r="K112" s="583">
        <f>$E$112</f>
        <v>0</v>
      </c>
      <c r="L112" s="583">
        <f t="shared" ref="L112:AB112" si="19">$E$112</f>
        <v>0</v>
      </c>
      <c r="M112" s="583">
        <f t="shared" si="19"/>
        <v>0</v>
      </c>
      <c r="N112" s="583">
        <f t="shared" si="19"/>
        <v>0</v>
      </c>
      <c r="O112" s="583">
        <f t="shared" si="19"/>
        <v>0</v>
      </c>
      <c r="P112" s="583">
        <f t="shared" si="19"/>
        <v>0</v>
      </c>
      <c r="Q112" s="583">
        <f t="shared" si="19"/>
        <v>0</v>
      </c>
      <c r="R112" s="583">
        <f t="shared" si="19"/>
        <v>0</v>
      </c>
      <c r="S112" s="583">
        <f t="shared" si="19"/>
        <v>0</v>
      </c>
      <c r="T112" s="583">
        <f t="shared" si="19"/>
        <v>0</v>
      </c>
      <c r="U112" s="583">
        <f t="shared" si="19"/>
        <v>0</v>
      </c>
      <c r="V112" s="583">
        <f t="shared" si="19"/>
        <v>0</v>
      </c>
      <c r="W112" s="583">
        <f t="shared" si="19"/>
        <v>0</v>
      </c>
      <c r="X112" s="583">
        <f t="shared" si="19"/>
        <v>0</v>
      </c>
      <c r="Y112" s="583">
        <f t="shared" si="19"/>
        <v>0</v>
      </c>
      <c r="Z112" s="583">
        <f t="shared" si="19"/>
        <v>0</v>
      </c>
      <c r="AA112" s="583">
        <f t="shared" si="19"/>
        <v>0</v>
      </c>
      <c r="AB112" s="567">
        <f t="shared" si="19"/>
        <v>0</v>
      </c>
    </row>
    <row r="113" spans="1:28" ht="15.75" thickBot="1" x14ac:dyDescent="0.3">
      <c r="A113" s="131">
        <v>49</v>
      </c>
      <c r="B113" s="591" t="str">
        <f>"SDE correctiebedrag gepubliceerd of prognose vanaf MSK-korting in "&amp;E46&amp;""</f>
        <v xml:space="preserve">SDE correctiebedrag gepubliceerd of prognose vanaf MSK-korting in </v>
      </c>
      <c r="C113" s="592"/>
      <c r="D113" s="20"/>
      <c r="E113" s="615"/>
      <c r="F113" s="23"/>
      <c r="G113" s="51"/>
      <c r="H113" s="478"/>
      <c r="I113" s="718"/>
      <c r="J113" s="24"/>
      <c r="K113" s="614">
        <v>0</v>
      </c>
      <c r="L113" s="614">
        <v>0</v>
      </c>
      <c r="M113" s="614">
        <v>0</v>
      </c>
      <c r="N113" s="614">
        <v>0</v>
      </c>
      <c r="O113" s="614">
        <v>0</v>
      </c>
      <c r="P113" s="614">
        <v>0</v>
      </c>
      <c r="Q113" s="614">
        <v>0</v>
      </c>
      <c r="R113" s="614">
        <v>0</v>
      </c>
      <c r="S113" s="614">
        <v>0</v>
      </c>
      <c r="T113" s="614">
        <v>0</v>
      </c>
      <c r="U113" s="614">
        <v>0</v>
      </c>
      <c r="V113" s="614">
        <v>0</v>
      </c>
      <c r="W113" s="614">
        <v>0</v>
      </c>
      <c r="X113" s="614">
        <v>0</v>
      </c>
      <c r="Y113" s="614">
        <v>0</v>
      </c>
      <c r="Z113" s="614">
        <v>0</v>
      </c>
      <c r="AA113" s="614">
        <v>0</v>
      </c>
      <c r="AB113" s="614">
        <v>0</v>
      </c>
    </row>
    <row r="114" spans="1:28" ht="15.75" thickBot="1" x14ac:dyDescent="0.3">
      <c r="A114" s="131">
        <v>50</v>
      </c>
      <c r="B114" s="591" t="s">
        <v>333</v>
      </c>
      <c r="C114" s="592"/>
      <c r="D114" s="20"/>
      <c r="E114" s="133"/>
      <c r="F114" s="49"/>
      <c r="G114" s="51"/>
      <c r="H114" s="444"/>
      <c r="I114" s="91"/>
      <c r="J114" s="24"/>
      <c r="K114" s="585">
        <f t="shared" ref="K114:W114" si="20">+K111-K112</f>
        <v>0</v>
      </c>
      <c r="L114" s="585">
        <f t="shared" si="20"/>
        <v>0</v>
      </c>
      <c r="M114" s="585">
        <f t="shared" si="20"/>
        <v>0</v>
      </c>
      <c r="N114" s="585">
        <f t="shared" si="20"/>
        <v>0</v>
      </c>
      <c r="O114" s="585">
        <f t="shared" si="20"/>
        <v>0</v>
      </c>
      <c r="P114" s="585">
        <f t="shared" si="20"/>
        <v>0</v>
      </c>
      <c r="Q114" s="585">
        <f t="shared" si="20"/>
        <v>0</v>
      </c>
      <c r="R114" s="585">
        <f t="shared" si="20"/>
        <v>0</v>
      </c>
      <c r="S114" s="585">
        <f t="shared" si="20"/>
        <v>0</v>
      </c>
      <c r="T114" s="585">
        <f t="shared" si="20"/>
        <v>0</v>
      </c>
      <c r="U114" s="585">
        <f t="shared" si="20"/>
        <v>0</v>
      </c>
      <c r="V114" s="585">
        <f t="shared" si="20"/>
        <v>0</v>
      </c>
      <c r="W114" s="585">
        <f t="shared" si="20"/>
        <v>0</v>
      </c>
      <c r="X114" s="585">
        <f>IF(X111=0,0,+X111-X112)</f>
        <v>0</v>
      </c>
      <c r="Y114" s="585">
        <f>IF(Y111=0,0,+Y111-Y112)</f>
        <v>0</v>
      </c>
      <c r="Z114" s="586">
        <f>IF(Z111=0,0,+Z111-Z112)</f>
        <v>0</v>
      </c>
      <c r="AA114" s="585">
        <f>IF(AA111=0,0,+AA111-AA112)</f>
        <v>0</v>
      </c>
      <c r="AB114" s="586">
        <f>IF(AB111=0,0,+AB111-AB112)</f>
        <v>0</v>
      </c>
    </row>
    <row r="115" spans="1:28" ht="15.75" thickBot="1" x14ac:dyDescent="0.3">
      <c r="A115" s="131">
        <v>51</v>
      </c>
      <c r="B115" s="591" t="s">
        <v>67</v>
      </c>
      <c r="C115" s="592"/>
      <c r="D115" s="20"/>
      <c r="E115" s="134"/>
      <c r="F115" s="135"/>
      <c r="G115" s="51"/>
      <c r="H115" s="444"/>
      <c r="I115" s="91"/>
      <c r="J115" s="16"/>
      <c r="K115" s="587">
        <f t="shared" ref="K115:AB115" si="21">+K111-K113</f>
        <v>0</v>
      </c>
      <c r="L115" s="587">
        <f t="shared" si="21"/>
        <v>0</v>
      </c>
      <c r="M115" s="587">
        <f t="shared" si="21"/>
        <v>0</v>
      </c>
      <c r="N115" s="587">
        <f t="shared" si="21"/>
        <v>0</v>
      </c>
      <c r="O115" s="587">
        <f t="shared" si="21"/>
        <v>0</v>
      </c>
      <c r="P115" s="587">
        <f t="shared" si="21"/>
        <v>0</v>
      </c>
      <c r="Q115" s="587">
        <f t="shared" si="21"/>
        <v>0</v>
      </c>
      <c r="R115" s="587">
        <f t="shared" si="21"/>
        <v>0</v>
      </c>
      <c r="S115" s="587">
        <f t="shared" si="21"/>
        <v>0</v>
      </c>
      <c r="T115" s="587">
        <f t="shared" si="21"/>
        <v>0</v>
      </c>
      <c r="U115" s="587">
        <f t="shared" si="21"/>
        <v>0</v>
      </c>
      <c r="V115" s="587">
        <f t="shared" si="21"/>
        <v>0</v>
      </c>
      <c r="W115" s="587">
        <f t="shared" si="21"/>
        <v>0</v>
      </c>
      <c r="X115" s="587">
        <f t="shared" si="21"/>
        <v>0</v>
      </c>
      <c r="Y115" s="587">
        <f t="shared" si="21"/>
        <v>0</v>
      </c>
      <c r="Z115" s="587">
        <f t="shared" si="21"/>
        <v>0</v>
      </c>
      <c r="AA115" s="587">
        <f t="shared" si="21"/>
        <v>0</v>
      </c>
      <c r="AB115" s="588">
        <f t="shared" si="21"/>
        <v>0</v>
      </c>
    </row>
    <row r="116" spans="1:28" s="3" customFormat="1" ht="15.75" thickBot="1" x14ac:dyDescent="0.3">
      <c r="A116" s="131"/>
      <c r="B116" s="591" t="s">
        <v>335</v>
      </c>
      <c r="C116" s="592"/>
      <c r="D116" s="24"/>
      <c r="E116" s="134"/>
      <c r="F116" s="135"/>
      <c r="G116" s="51"/>
      <c r="H116" s="426"/>
      <c r="I116" s="91"/>
      <c r="J116" s="24"/>
      <c r="K116" s="459">
        <v>0</v>
      </c>
      <c r="L116" s="459">
        <v>0</v>
      </c>
      <c r="M116" s="459">
        <v>0</v>
      </c>
      <c r="N116" s="459">
        <v>0</v>
      </c>
      <c r="O116" s="459">
        <v>0</v>
      </c>
      <c r="P116" s="459">
        <v>0</v>
      </c>
      <c r="Q116" s="459">
        <v>0</v>
      </c>
      <c r="R116" s="459">
        <v>0</v>
      </c>
      <c r="S116" s="459">
        <v>0</v>
      </c>
      <c r="T116" s="459">
        <v>0</v>
      </c>
      <c r="U116" s="459">
        <v>0</v>
      </c>
      <c r="V116" s="459">
        <v>0</v>
      </c>
      <c r="W116" s="459">
        <v>0</v>
      </c>
      <c r="X116" s="459">
        <v>0</v>
      </c>
      <c r="Y116" s="459">
        <v>0</v>
      </c>
      <c r="Z116" s="459">
        <v>0</v>
      </c>
      <c r="AA116" s="459">
        <v>0</v>
      </c>
      <c r="AB116" s="460">
        <v>0</v>
      </c>
    </row>
    <row r="117" spans="1:28" s="3" customFormat="1" ht="15.75" thickBot="1" x14ac:dyDescent="0.3">
      <c r="A117" s="131"/>
      <c r="B117" s="591" t="s">
        <v>336</v>
      </c>
      <c r="C117" s="592"/>
      <c r="D117" s="24"/>
      <c r="E117" s="134"/>
      <c r="F117" s="135"/>
      <c r="G117" s="51"/>
      <c r="H117" s="426"/>
      <c r="I117" s="91"/>
      <c r="J117" s="24"/>
      <c r="K117" s="589">
        <f ca="1">IF(K110&lt;$E$46,0,'Overzicht MSK toets'!$E$56)</f>
        <v>0</v>
      </c>
      <c r="L117" s="589">
        <f ca="1">IF(L110&lt;$E$46,0,'Overzicht MSK toets'!$E$56)</f>
        <v>0</v>
      </c>
      <c r="M117" s="589">
        <f ca="1">IF(M110&lt;$E$46,0,'Overzicht MSK toets'!$E$56)</f>
        <v>0</v>
      </c>
      <c r="N117" s="589">
        <f ca="1">IF(N110&lt;$E$46,0,'Overzicht MSK toets'!$E$56)</f>
        <v>0</v>
      </c>
      <c r="O117" s="589">
        <f ca="1">IF(O110&lt;$E$46,0,'Overzicht MSK toets'!$E$56)</f>
        <v>0</v>
      </c>
      <c r="P117" s="589">
        <f ca="1">IF(P110&lt;$E$46,0,'Overzicht MSK toets'!$E$56)</f>
        <v>0</v>
      </c>
      <c r="Q117" s="589">
        <f ca="1">IF(Q110&lt;$E$46,0,'Overzicht MSK toets'!$E$56)</f>
        <v>0</v>
      </c>
      <c r="R117" s="589">
        <f ca="1">IF(R110&lt;$E$46,0,'Overzicht MSK toets'!$E$56)</f>
        <v>0</v>
      </c>
      <c r="S117" s="589">
        <f ca="1">IF(S110&lt;$E$46,0,'Overzicht MSK toets'!$E$56)</f>
        <v>0</v>
      </c>
      <c r="T117" s="589">
        <f ca="1">IF(T110&lt;$E$46,0,'Overzicht MSK toets'!$E$56)</f>
        <v>0</v>
      </c>
      <c r="U117" s="589">
        <f ca="1">IF(U110&lt;$E$46,0,'Overzicht MSK toets'!$E$56)</f>
        <v>0</v>
      </c>
      <c r="V117" s="589">
        <f ca="1">IF(V110&lt;$E$46,0,'Overzicht MSK toets'!$E$56)</f>
        <v>0</v>
      </c>
      <c r="W117" s="589">
        <f ca="1">IF(W110&lt;$E$46,0,'Overzicht MSK toets'!$E$56)</f>
        <v>0</v>
      </c>
      <c r="X117" s="589">
        <f ca="1">IF(X110&lt;$E$46,0,'Overzicht MSK toets'!$E$56)</f>
        <v>0</v>
      </c>
      <c r="Y117" s="589">
        <f ca="1">IF(Y110&lt;$E$46,0,'Overzicht MSK toets'!$E$56)</f>
        <v>0</v>
      </c>
      <c r="Z117" s="589">
        <f ca="1">IF(Z110&lt;$E$46,0,'Overzicht MSK toets'!$E$56)</f>
        <v>0</v>
      </c>
      <c r="AA117" s="589">
        <f ca="1">IF(AA110&lt;$E$46,0,'Overzicht MSK toets'!$E$56)</f>
        <v>0</v>
      </c>
      <c r="AB117" s="566">
        <f ca="1">IF(AB110&lt;$E$46,0,'Overzicht MSK toets'!$E$56)</f>
        <v>0</v>
      </c>
    </row>
    <row r="118" spans="1:28" ht="15.75" thickBot="1" x14ac:dyDescent="0.3">
      <c r="B118" s="591" t="s">
        <v>337</v>
      </c>
      <c r="C118" s="593"/>
      <c r="H118" s="332"/>
      <c r="K118" s="590">
        <f ca="1">IF(K115-K116-K117&gt;0,K115-K116-K117,0)</f>
        <v>0</v>
      </c>
      <c r="L118" s="590">
        <f t="shared" ref="L118:AB118" ca="1" si="22">IF(L115-L116-L117&gt;0,L115-L116-L117,0)</f>
        <v>0</v>
      </c>
      <c r="M118" s="590">
        <f t="shared" ca="1" si="22"/>
        <v>0</v>
      </c>
      <c r="N118" s="590">
        <f t="shared" ca="1" si="22"/>
        <v>0</v>
      </c>
      <c r="O118" s="590">
        <f t="shared" ca="1" si="22"/>
        <v>0</v>
      </c>
      <c r="P118" s="590">
        <f t="shared" ca="1" si="22"/>
        <v>0</v>
      </c>
      <c r="Q118" s="590">
        <f t="shared" ca="1" si="22"/>
        <v>0</v>
      </c>
      <c r="R118" s="590">
        <f t="shared" ca="1" si="22"/>
        <v>0</v>
      </c>
      <c r="S118" s="590">
        <f t="shared" ca="1" si="22"/>
        <v>0</v>
      </c>
      <c r="T118" s="590">
        <f t="shared" ca="1" si="22"/>
        <v>0</v>
      </c>
      <c r="U118" s="590">
        <f t="shared" ca="1" si="22"/>
        <v>0</v>
      </c>
      <c r="V118" s="590">
        <f t="shared" ca="1" si="22"/>
        <v>0</v>
      </c>
      <c r="W118" s="590">
        <f t="shared" ca="1" si="22"/>
        <v>0</v>
      </c>
      <c r="X118" s="590">
        <f t="shared" ca="1" si="22"/>
        <v>0</v>
      </c>
      <c r="Y118" s="590">
        <f t="shared" ca="1" si="22"/>
        <v>0</v>
      </c>
      <c r="Z118" s="590">
        <f t="shared" ca="1" si="22"/>
        <v>0</v>
      </c>
      <c r="AA118" s="590">
        <f t="shared" ca="1" si="22"/>
        <v>0</v>
      </c>
      <c r="AB118" s="590">
        <f t="shared" ca="1" si="22"/>
        <v>0</v>
      </c>
    </row>
    <row r="119" spans="1:28" ht="15" x14ac:dyDescent="0.25">
      <c r="A119" s="136"/>
      <c r="B119" s="419"/>
      <c r="C119" s="69"/>
      <c r="D119" s="20"/>
      <c r="E119" s="134"/>
      <c r="F119" s="23"/>
      <c r="G119" s="51"/>
      <c r="H119" s="23"/>
      <c r="I119" s="91"/>
      <c r="J119" s="24"/>
      <c r="K119" s="420"/>
      <c r="L119" s="420"/>
      <c r="M119" s="420"/>
      <c r="N119" s="420"/>
      <c r="O119" s="420"/>
      <c r="P119" s="420"/>
      <c r="Q119" s="420"/>
      <c r="R119" s="420"/>
      <c r="S119" s="420"/>
      <c r="T119" s="420"/>
      <c r="U119" s="420"/>
      <c r="V119" s="420"/>
      <c r="W119" s="420"/>
      <c r="X119" s="420"/>
      <c r="Y119" s="420"/>
      <c r="Z119" s="420"/>
      <c r="AA119" s="420"/>
      <c r="AB119" s="420"/>
    </row>
    <row r="120" spans="1:28" ht="15.75" thickBot="1" x14ac:dyDescent="0.3">
      <c r="A120" s="72"/>
      <c r="B120" s="69"/>
      <c r="C120" s="69"/>
      <c r="D120" s="20"/>
      <c r="E120" s="133"/>
      <c r="F120" s="23"/>
      <c r="G120" s="51"/>
      <c r="H120" s="23"/>
      <c r="I120" s="23"/>
      <c r="J120" s="24"/>
    </row>
    <row r="121" spans="1:28" ht="15.75" thickBot="1" x14ac:dyDescent="0.3">
      <c r="A121" s="131"/>
      <c r="B121" s="63"/>
      <c r="C121" s="63"/>
      <c r="D121" s="20"/>
      <c r="E121" s="36"/>
      <c r="F121" s="49"/>
      <c r="G121" s="51"/>
      <c r="H121" s="23"/>
      <c r="I121" s="91"/>
      <c r="J121" s="24"/>
    </row>
    <row r="122" spans="1:28" ht="15.75" thickBot="1" x14ac:dyDescent="0.3">
      <c r="A122" s="137" t="s">
        <v>311</v>
      </c>
      <c r="B122" s="596" t="s">
        <v>69</v>
      </c>
      <c r="C122" s="597"/>
      <c r="D122" s="20"/>
      <c r="E122" s="805" t="s">
        <v>21</v>
      </c>
      <c r="F122" s="49"/>
      <c r="G122" s="34" t="s">
        <v>11</v>
      </c>
      <c r="H122" s="427">
        <f>AVERAGE(K122:Z122)</f>
        <v>0</v>
      </c>
      <c r="I122" s="91"/>
      <c r="J122" s="24"/>
      <c r="K122" s="558">
        <f t="shared" ref="K122:AB122" si="23">K102</f>
        <v>0</v>
      </c>
      <c r="L122" s="558">
        <f t="shared" si="23"/>
        <v>0</v>
      </c>
      <c r="M122" s="558">
        <f t="shared" si="23"/>
        <v>0</v>
      </c>
      <c r="N122" s="558">
        <f t="shared" si="23"/>
        <v>0</v>
      </c>
      <c r="O122" s="558">
        <f t="shared" si="23"/>
        <v>0</v>
      </c>
      <c r="P122" s="558">
        <f t="shared" si="23"/>
        <v>0</v>
      </c>
      <c r="Q122" s="558">
        <f t="shared" si="23"/>
        <v>0</v>
      </c>
      <c r="R122" s="558">
        <f t="shared" si="23"/>
        <v>0</v>
      </c>
      <c r="S122" s="558">
        <f t="shared" si="23"/>
        <v>0</v>
      </c>
      <c r="T122" s="558">
        <f t="shared" si="23"/>
        <v>0</v>
      </c>
      <c r="U122" s="558">
        <f t="shared" si="23"/>
        <v>0</v>
      </c>
      <c r="V122" s="558">
        <f t="shared" si="23"/>
        <v>0</v>
      </c>
      <c r="W122" s="558">
        <f t="shared" si="23"/>
        <v>0</v>
      </c>
      <c r="X122" s="558">
        <f t="shared" si="23"/>
        <v>0</v>
      </c>
      <c r="Y122" s="558">
        <f t="shared" si="23"/>
        <v>0</v>
      </c>
      <c r="Z122" s="558">
        <f t="shared" si="23"/>
        <v>0</v>
      </c>
      <c r="AA122" s="558">
        <f t="shared" si="23"/>
        <v>0</v>
      </c>
      <c r="AB122" s="559">
        <f t="shared" si="23"/>
        <v>0</v>
      </c>
    </row>
    <row r="123" spans="1:28" ht="15.75" thickBot="1" x14ac:dyDescent="0.3">
      <c r="A123" s="137" t="s">
        <v>312</v>
      </c>
      <c r="B123" s="596" t="s">
        <v>70</v>
      </c>
      <c r="C123" s="597"/>
      <c r="D123" s="20"/>
      <c r="E123" s="138"/>
      <c r="F123" s="49"/>
      <c r="G123" s="34" t="s">
        <v>11</v>
      </c>
      <c r="H123" s="427">
        <f>AVERAGE(K123:Z123)</f>
        <v>0</v>
      </c>
      <c r="I123" s="91"/>
      <c r="J123" s="24"/>
      <c r="K123" s="558">
        <f t="shared" ref="K123:AB123" si="24">+K100-K122</f>
        <v>0</v>
      </c>
      <c r="L123" s="558">
        <f t="shared" si="24"/>
        <v>0</v>
      </c>
      <c r="M123" s="558">
        <f t="shared" si="24"/>
        <v>0</v>
      </c>
      <c r="N123" s="558">
        <f t="shared" si="24"/>
        <v>0</v>
      </c>
      <c r="O123" s="558">
        <f t="shared" si="24"/>
        <v>0</v>
      </c>
      <c r="P123" s="558">
        <f t="shared" si="24"/>
        <v>0</v>
      </c>
      <c r="Q123" s="558">
        <f t="shared" si="24"/>
        <v>0</v>
      </c>
      <c r="R123" s="558">
        <f t="shared" si="24"/>
        <v>0</v>
      </c>
      <c r="S123" s="558">
        <f t="shared" si="24"/>
        <v>0</v>
      </c>
      <c r="T123" s="558">
        <f t="shared" si="24"/>
        <v>0</v>
      </c>
      <c r="U123" s="558">
        <f t="shared" si="24"/>
        <v>0</v>
      </c>
      <c r="V123" s="558">
        <f t="shared" si="24"/>
        <v>0</v>
      </c>
      <c r="W123" s="558">
        <f t="shared" si="24"/>
        <v>0</v>
      </c>
      <c r="X123" s="558">
        <f t="shared" si="24"/>
        <v>0</v>
      </c>
      <c r="Y123" s="558">
        <f t="shared" si="24"/>
        <v>0</v>
      </c>
      <c r="Z123" s="558">
        <f t="shared" si="24"/>
        <v>0</v>
      </c>
      <c r="AA123" s="558">
        <f t="shared" si="24"/>
        <v>0</v>
      </c>
      <c r="AB123" s="559">
        <f t="shared" si="24"/>
        <v>0</v>
      </c>
    </row>
    <row r="124" spans="1:28" s="3" customFormat="1" ht="15.75" thickBot="1" x14ac:dyDescent="0.3">
      <c r="A124" s="175"/>
      <c r="B124" s="596" t="s">
        <v>358</v>
      </c>
      <c r="C124" s="598"/>
      <c r="D124" s="24"/>
      <c r="E124" s="138"/>
      <c r="F124" s="135"/>
      <c r="G124" s="34"/>
      <c r="H124" s="427"/>
      <c r="I124" s="91"/>
      <c r="J124" s="24"/>
      <c r="K124" s="558">
        <f>K123*(K31*80%)</f>
        <v>0</v>
      </c>
      <c r="L124" s="558">
        <f t="shared" ref="L124:AB124" si="25">L123*(L31*80%)+(K31*20%)*K123</f>
        <v>0</v>
      </c>
      <c r="M124" s="558">
        <f t="shared" si="25"/>
        <v>0</v>
      </c>
      <c r="N124" s="558">
        <f t="shared" si="25"/>
        <v>0</v>
      </c>
      <c r="O124" s="558">
        <f t="shared" si="25"/>
        <v>0</v>
      </c>
      <c r="P124" s="558">
        <f t="shared" si="25"/>
        <v>0</v>
      </c>
      <c r="Q124" s="558">
        <f t="shared" si="25"/>
        <v>0</v>
      </c>
      <c r="R124" s="558">
        <f t="shared" si="25"/>
        <v>0</v>
      </c>
      <c r="S124" s="558">
        <f t="shared" si="25"/>
        <v>0</v>
      </c>
      <c r="T124" s="558">
        <f t="shared" si="25"/>
        <v>0</v>
      </c>
      <c r="U124" s="558">
        <f t="shared" si="25"/>
        <v>0</v>
      </c>
      <c r="V124" s="558">
        <f t="shared" si="25"/>
        <v>0</v>
      </c>
      <c r="W124" s="558">
        <f t="shared" si="25"/>
        <v>0</v>
      </c>
      <c r="X124" s="558">
        <f t="shared" si="25"/>
        <v>0</v>
      </c>
      <c r="Y124" s="558">
        <f t="shared" si="25"/>
        <v>0</v>
      </c>
      <c r="Z124" s="558">
        <f t="shared" si="25"/>
        <v>0</v>
      </c>
      <c r="AA124" s="558">
        <f t="shared" si="25"/>
        <v>0</v>
      </c>
      <c r="AB124" s="560">
        <f t="shared" si="25"/>
        <v>0</v>
      </c>
    </row>
    <row r="125" spans="1:28" ht="15.75" thickBot="1" x14ac:dyDescent="0.3">
      <c r="A125" s="137" t="s">
        <v>76</v>
      </c>
      <c r="B125" s="596" t="s">
        <v>359</v>
      </c>
      <c r="C125" s="598"/>
      <c r="D125" s="20"/>
      <c r="E125" s="139"/>
      <c r="F125" s="140"/>
      <c r="G125" s="34"/>
      <c r="H125" s="427">
        <f>SUM($K125:$AB125)/$E$18</f>
        <v>0</v>
      </c>
      <c r="I125" s="439">
        <f>NPV($E$96,K125:AB125)*'Hulpberekeningen 1'!$P$32</f>
        <v>0</v>
      </c>
      <c r="J125" s="24"/>
      <c r="K125" s="561">
        <v>0</v>
      </c>
      <c r="L125" s="561">
        <v>0</v>
      </c>
      <c r="M125" s="561">
        <f t="shared" ref="M125:AB125" si="26">L35*L123</f>
        <v>0</v>
      </c>
      <c r="N125" s="561">
        <f t="shared" si="26"/>
        <v>0</v>
      </c>
      <c r="O125" s="561">
        <f t="shared" si="26"/>
        <v>0</v>
      </c>
      <c r="P125" s="561">
        <f t="shared" si="26"/>
        <v>0</v>
      </c>
      <c r="Q125" s="561">
        <f t="shared" si="26"/>
        <v>0</v>
      </c>
      <c r="R125" s="561">
        <f t="shared" si="26"/>
        <v>0</v>
      </c>
      <c r="S125" s="561">
        <f t="shared" si="26"/>
        <v>0</v>
      </c>
      <c r="T125" s="561">
        <f t="shared" si="26"/>
        <v>0</v>
      </c>
      <c r="U125" s="561">
        <f t="shared" si="26"/>
        <v>0</v>
      </c>
      <c r="V125" s="561">
        <f t="shared" si="26"/>
        <v>0</v>
      </c>
      <c r="W125" s="561">
        <f t="shared" si="26"/>
        <v>0</v>
      </c>
      <c r="X125" s="561">
        <f t="shared" si="26"/>
        <v>0</v>
      </c>
      <c r="Y125" s="561">
        <f t="shared" si="26"/>
        <v>0</v>
      </c>
      <c r="Z125" s="561">
        <f t="shared" si="26"/>
        <v>0</v>
      </c>
      <c r="AA125" s="561">
        <f t="shared" si="26"/>
        <v>0</v>
      </c>
      <c r="AB125" s="561">
        <f t="shared" si="26"/>
        <v>0</v>
      </c>
    </row>
    <row r="126" spans="1:28" ht="15.75" thickBot="1" x14ac:dyDescent="0.3">
      <c r="A126" s="137" t="s">
        <v>313</v>
      </c>
      <c r="B126" s="596" t="s">
        <v>360</v>
      </c>
      <c r="C126" s="598"/>
      <c r="D126" s="20"/>
      <c r="E126" s="139"/>
      <c r="F126" s="140"/>
      <c r="G126" s="34"/>
      <c r="H126" s="428">
        <f>SUM($K126:$AB126)/$E$18</f>
        <v>0</v>
      </c>
      <c r="I126" s="439">
        <f>NPV($E$96,K126:AB126)*'Hulpberekeningen 1'!$P$32</f>
        <v>0</v>
      </c>
      <c r="J126" s="24"/>
      <c r="K126" s="562">
        <v>0</v>
      </c>
      <c r="L126" s="562">
        <f>L36*L123*80%</f>
        <v>0</v>
      </c>
      <c r="M126" s="562">
        <f t="shared" ref="M126:AB126" si="27">M36*M123*80%+L36*L123*20%</f>
        <v>0</v>
      </c>
      <c r="N126" s="562">
        <f t="shared" si="27"/>
        <v>0</v>
      </c>
      <c r="O126" s="562">
        <f t="shared" si="27"/>
        <v>0</v>
      </c>
      <c r="P126" s="562">
        <f t="shared" si="27"/>
        <v>0</v>
      </c>
      <c r="Q126" s="562">
        <f t="shared" si="27"/>
        <v>0</v>
      </c>
      <c r="R126" s="562">
        <f t="shared" si="27"/>
        <v>0</v>
      </c>
      <c r="S126" s="562">
        <f t="shared" si="27"/>
        <v>0</v>
      </c>
      <c r="T126" s="562">
        <f t="shared" si="27"/>
        <v>0</v>
      </c>
      <c r="U126" s="562">
        <f t="shared" si="27"/>
        <v>0</v>
      </c>
      <c r="V126" s="562">
        <f t="shared" si="27"/>
        <v>0</v>
      </c>
      <c r="W126" s="562">
        <f t="shared" si="27"/>
        <v>0</v>
      </c>
      <c r="X126" s="562">
        <f t="shared" si="27"/>
        <v>0</v>
      </c>
      <c r="Y126" s="562">
        <f t="shared" si="27"/>
        <v>0</v>
      </c>
      <c r="Z126" s="562">
        <f t="shared" si="27"/>
        <v>0</v>
      </c>
      <c r="AA126" s="562">
        <f t="shared" si="27"/>
        <v>0</v>
      </c>
      <c r="AB126" s="562">
        <f t="shared" si="27"/>
        <v>0</v>
      </c>
    </row>
    <row r="127" spans="1:28" ht="15.75" thickBot="1" x14ac:dyDescent="0.3">
      <c r="A127" s="131">
        <v>55</v>
      </c>
      <c r="B127" s="596" t="s">
        <v>357</v>
      </c>
      <c r="C127" s="598"/>
      <c r="D127" s="20"/>
      <c r="E127" s="139"/>
      <c r="F127" s="140"/>
      <c r="G127" s="34" t="s">
        <v>11</v>
      </c>
      <c r="H127" s="427">
        <f>SUM($K127:$AB127)/$E$18</f>
        <v>0</v>
      </c>
      <c r="I127" s="439">
        <f>NPV($E$96,K127:AB127)*'Hulpberekeningen 1'!$P$32</f>
        <v>0</v>
      </c>
      <c r="J127" s="24"/>
      <c r="K127" s="561">
        <f>SUM(K124:K126)</f>
        <v>0</v>
      </c>
      <c r="L127" s="561">
        <f t="shared" ref="L127:AB127" si="28">SUM(L124:L126)</f>
        <v>0</v>
      </c>
      <c r="M127" s="561">
        <f t="shared" si="28"/>
        <v>0</v>
      </c>
      <c r="N127" s="561">
        <f t="shared" si="28"/>
        <v>0</v>
      </c>
      <c r="O127" s="561">
        <f t="shared" si="28"/>
        <v>0</v>
      </c>
      <c r="P127" s="561">
        <f t="shared" si="28"/>
        <v>0</v>
      </c>
      <c r="Q127" s="561">
        <f t="shared" si="28"/>
        <v>0</v>
      </c>
      <c r="R127" s="561">
        <f t="shared" si="28"/>
        <v>0</v>
      </c>
      <c r="S127" s="561">
        <f t="shared" si="28"/>
        <v>0</v>
      </c>
      <c r="T127" s="561">
        <f t="shared" si="28"/>
        <v>0</v>
      </c>
      <c r="U127" s="561">
        <f t="shared" si="28"/>
        <v>0</v>
      </c>
      <c r="V127" s="561">
        <f t="shared" si="28"/>
        <v>0</v>
      </c>
      <c r="W127" s="561">
        <f t="shared" si="28"/>
        <v>0</v>
      </c>
      <c r="X127" s="561">
        <f t="shared" si="28"/>
        <v>0</v>
      </c>
      <c r="Y127" s="561">
        <f t="shared" si="28"/>
        <v>0</v>
      </c>
      <c r="Z127" s="561">
        <f t="shared" si="28"/>
        <v>0</v>
      </c>
      <c r="AA127" s="561">
        <f t="shared" si="28"/>
        <v>0</v>
      </c>
      <c r="AB127" s="561">
        <f t="shared" si="28"/>
        <v>0</v>
      </c>
    </row>
    <row r="128" spans="1:28" s="3" customFormat="1" ht="15.75" thickBot="1" x14ac:dyDescent="0.3">
      <c r="A128" s="436"/>
      <c r="B128" s="596" t="s">
        <v>338</v>
      </c>
      <c r="C128" s="597"/>
      <c r="D128" s="24"/>
      <c r="E128" s="139"/>
      <c r="F128" s="140"/>
      <c r="G128" s="34"/>
      <c r="H128" s="450">
        <f>SUM($K128:$AB128)/$E$18</f>
        <v>0</v>
      </c>
      <c r="I128" s="439">
        <f>NPV($E$96,K128:AB128)*'Hulpberekeningen 1'!$P$32</f>
        <v>0</v>
      </c>
      <c r="J128" s="24"/>
      <c r="K128" s="562">
        <f>IF(K105*K31*80%&lt;K127,K105*K31*80%,K127)</f>
        <v>0</v>
      </c>
      <c r="L128" s="562">
        <f t="shared" ref="L128:AB128" si="29">IF(K105*K31*20%+L105*L31*80%&lt;L127,K105*K31*20%+L105*L31*80%,L127)</f>
        <v>0</v>
      </c>
      <c r="M128" s="562">
        <f t="shared" si="29"/>
        <v>0</v>
      </c>
      <c r="N128" s="562">
        <f t="shared" si="29"/>
        <v>0</v>
      </c>
      <c r="O128" s="562">
        <f t="shared" si="29"/>
        <v>0</v>
      </c>
      <c r="P128" s="562">
        <f t="shared" si="29"/>
        <v>0</v>
      </c>
      <c r="Q128" s="562">
        <f t="shared" si="29"/>
        <v>0</v>
      </c>
      <c r="R128" s="562">
        <f t="shared" si="29"/>
        <v>0</v>
      </c>
      <c r="S128" s="562">
        <f t="shared" si="29"/>
        <v>0</v>
      </c>
      <c r="T128" s="562">
        <f t="shared" si="29"/>
        <v>0</v>
      </c>
      <c r="U128" s="562">
        <f t="shared" si="29"/>
        <v>0</v>
      </c>
      <c r="V128" s="562">
        <f t="shared" si="29"/>
        <v>0</v>
      </c>
      <c r="W128" s="562">
        <f t="shared" si="29"/>
        <v>0</v>
      </c>
      <c r="X128" s="562">
        <f t="shared" si="29"/>
        <v>0</v>
      </c>
      <c r="Y128" s="562">
        <f t="shared" si="29"/>
        <v>0</v>
      </c>
      <c r="Z128" s="562">
        <f t="shared" si="29"/>
        <v>0</v>
      </c>
      <c r="AA128" s="562">
        <f t="shared" si="29"/>
        <v>0</v>
      </c>
      <c r="AB128" s="562">
        <f t="shared" si="29"/>
        <v>0</v>
      </c>
    </row>
    <row r="129" spans="1:28" ht="15.75" thickBot="1" x14ac:dyDescent="0.3">
      <c r="A129" s="447" t="s">
        <v>325</v>
      </c>
      <c r="B129" s="596" t="s">
        <v>334</v>
      </c>
      <c r="C129" s="597"/>
      <c r="D129" s="20"/>
      <c r="E129" s="418"/>
      <c r="F129" s="140"/>
      <c r="G129" s="51"/>
      <c r="H129" s="451">
        <f ca="1">SUM(K129:AB129)/15</f>
        <v>0</v>
      </c>
      <c r="I129" s="439">
        <f ca="1">NPV($E$96,K129:AB129)*'Hulpberekeningen 1'!$P$32</f>
        <v>0</v>
      </c>
      <c r="J129" s="24"/>
      <c r="K129" s="605">
        <f ca="1">IF(K110&lt;$E$46,0,
IF('Overzicht MSK toets'!$E$56*K31*80%+K128&lt;K127,'Overzicht MSK toets'!$E$56*K31*80%,K127-K128))</f>
        <v>0</v>
      </c>
      <c r="L129" s="605">
        <f ca="1">IF(L110&lt;$E$46,0,
IF(L110=$E$46,IF('Overzicht MSK toets'!$E$56*(L31+L36)*80%+L128&lt;L127,'Overzicht MSK toets'!$E$56*(L31+L36)*80%,L127-L128),
IF(L110&gt;$E$46,IF('Overzicht MSK toets'!$E$56*K31*20%+(L31+L36)*80%&lt;L127,'Overzicht MSK toets'!$E$56*(K31*20%+(L31+L36)*80%),L127))))</f>
        <v>0</v>
      </c>
      <c r="M129" s="605">
        <f ca="1">IF(M110&lt;$E$46,0,
IF(M110=$E$46,IF('Overzicht MSK toets'!$E$56*(M31+M36)*80%+M128&lt;M127,'Overzicht MSK toets'!$E$56*(M31+M36)*80%,M127-M128),
IF(M110&gt;$E$46,IF('Overzicht MSK toets'!$E$56*(L31*20%+L35*100%+(M31+M36)*80%)&lt;M127,'Overzicht MSK toets'!$E$56*(L31*20%+L35*100%+(M31+M36)*80%),M127))))</f>
        <v>0</v>
      </c>
      <c r="N129" s="605">
        <f ca="1">IF(N110&lt;$E$46,0,
IF(N110=$E$46,IF('Overzicht MSK toets'!$E$56*(N31+N36)*80%+N128&lt;N127,'Overzicht MSK toets'!$E$56*(N31+N36)*80%,N127-N128),
IF(N110&gt;$E$46,IF('Overzicht MSK toets'!$E$56*(M31*20%+M35*100%+(N31+N36)*80%)&lt;N127,'Overzicht MSK toets'!$E$56*(M31*20%+M35*100%+(N31+N36)*80%),N127))))</f>
        <v>0</v>
      </c>
      <c r="O129" s="605">
        <f ca="1">IF(O110&lt;$E$46,0,
IF(O110=$E$46,IF('Overzicht MSK toets'!$E$56*(O31+O36)*80%+O128&lt;O127,'Overzicht MSK toets'!$E$56*(O31+O36)*80%,O127-O128),
IF(O110&gt;$E$46,IF('Overzicht MSK toets'!$E$56*(N31*20%+N35*100%+(O31+O36)*80%)&lt;O127,'Overzicht MSK toets'!$E$56*(N31*20%+N35*100%+(O31+O36)*80%),O127))))</f>
        <v>0</v>
      </c>
      <c r="P129" s="605">
        <f ca="1">IF(P110&lt;$E$46,0,
IF(P110=$E$46,IF('Overzicht MSK toets'!$E$56*(P31+P36)*80%+P128&lt;P127,'Overzicht MSK toets'!$E$56*(P31+P36)*80%,P127-P128),
IF(P110&gt;$E$46,IF('Overzicht MSK toets'!$E$56*(O31*20%+O35*100%+(P31+P36)*80%)&lt;P127,'Overzicht MSK toets'!$E$56*(O31*20%+O35*100%+(P31+P36)*80%),P127))))</f>
        <v>0</v>
      </c>
      <c r="Q129" s="605">
        <f ca="1">IF(Q110&lt;$E$46,0,
IF(Q110=$E$46,IF('Overzicht MSK toets'!$E$56*(Q31+Q36)*80%+Q128&lt;Q127,'Overzicht MSK toets'!$E$56*(Q31+Q36)*80%,Q127-Q128),
IF(Q110&gt;$E$46,IF('Overzicht MSK toets'!$E$56*(P31*20%+P35*100%+(Q31+Q36)*80%)&lt;Q127,'Overzicht MSK toets'!$E$56*(P31*20%+P35*100%+(Q31+Q36)*80%),Q127))))</f>
        <v>0</v>
      </c>
      <c r="R129" s="605">
        <f ca="1">IF(R110&lt;$E$46,0,
IF(R110=$E$46,IF('Overzicht MSK toets'!$E$56*(R31+R36)*80%+R128&lt;R127,'Overzicht MSK toets'!$E$56*(R31+R36)*80%,R127-R128),
IF(R110&gt;$E$46,IF('Overzicht MSK toets'!$E$56*(Q31*20%+Q35*100%+(R31+R36)*80%)&lt;R127,'Overzicht MSK toets'!$E$56*(Q31*20%+Q35*100%+(R31+R36)*80%),R127))))</f>
        <v>0</v>
      </c>
      <c r="S129" s="605">
        <f ca="1">IF(S110&lt;$E$46,0,
IF(S110=$E$46,IF('Overzicht MSK toets'!$E$56*(S31+S36)*80%+S128&lt;S127,'Overzicht MSK toets'!$E$56*(S31+S36)*80%,S127-S128),
IF(S110&gt;$E$46,IF('Overzicht MSK toets'!$E$56*(R31*20%+R35*100%+(S31+S36)*80%)&lt;S127,'Overzicht MSK toets'!$E$56*(R31*20%+R35*100%+(S31+S36)*80%),S127))))</f>
        <v>0</v>
      </c>
      <c r="T129" s="605">
        <f ca="1">IF(T110&lt;$E$46,0,
IF(T110=$E$46,IF('Overzicht MSK toets'!$E$56*(T31+T36)*80%+T128&lt;T127,'Overzicht MSK toets'!$E$56*(T31+T36)*80%,T127-T128),
IF(T110&gt;$E$46,IF('Overzicht MSK toets'!$E$56*(S31*20%+S35*100%+(T31+T36)*80%)&lt;T127,'Overzicht MSK toets'!$E$56*(S31*20%+S35*100%+(T31+T36)*80%),T127))))</f>
        <v>0</v>
      </c>
      <c r="U129" s="605">
        <f ca="1">IF(U110&lt;$E$46,0,
IF(U110=$E$46,IF('Overzicht MSK toets'!$E$56*(U31+U36)*80%+U128&lt;U127,'Overzicht MSK toets'!$E$56*(U31+U36)*80%,U127-U128),
IF(U110&gt;$E$46,IF('Overzicht MSK toets'!$E$56*(T31*20%+T35*100%+(U31+U36)*80%)&lt;U127,'Overzicht MSK toets'!$E$56*(T31*20%+T35*100%+(U31+U36)*80%),U127))))</f>
        <v>0</v>
      </c>
      <c r="V129" s="605">
        <f ca="1">IF(V110&lt;$E$46,0,
IF(V110=$E$46,IF('Overzicht MSK toets'!$E$56*(V31+V36)*80%+V128&lt;V127,'Overzicht MSK toets'!$E$56*(V31+V36)*80%,V127-V128),
IF(V110&gt;$E$46,IF('Overzicht MSK toets'!$E$56*(U31*20%+U35*100%+(V31+V36)*80%)&lt;V127,'Overzicht MSK toets'!$E$56*(U31*20%+U35*100%+(V31+V36)*80%),V127))))</f>
        <v>0</v>
      </c>
      <c r="W129" s="605">
        <f ca="1">IF(W110&lt;$E$46,0,
IF(W110=$E$46,IF('Overzicht MSK toets'!$E$56*(W31+W36)*80%+W128&lt;W127,'Overzicht MSK toets'!$E$56*(W31+W36)*80%,W127-W128),
IF(W110&gt;$E$46,IF('Overzicht MSK toets'!$E$56*(V31*20%+V35*100%+(W31+W36)*80%)&lt;W127,'Overzicht MSK toets'!$E$56*(V31*20%+V35*100%+(W31+W36)*80%),W127))))</f>
        <v>0</v>
      </c>
      <c r="X129" s="605">
        <f ca="1">IF(X110&lt;$E$46,0,
IF(X110=$E$46,IF('Overzicht MSK toets'!$E$56*(X31+X36)*80%+X128&lt;X127,'Overzicht MSK toets'!$E$56*(X31+X36)*80%,X127-X128),
IF(X110&gt;$E$46,IF('Overzicht MSK toets'!$E$56*(W31*20%+W35*100%+(X31+X36)*80%)&lt;X127,'Overzicht MSK toets'!$E$56*(W31*20%+W35*100%+(X31+X36)*80%),X127))))</f>
        <v>0</v>
      </c>
      <c r="Y129" s="605">
        <f ca="1">IF(Y110&lt;$E$46,0,
IF(Y110=$E$46,IF('Overzicht MSK toets'!$E$56*(Y31+Y36)*80%+Y128&lt;Y127,'Overzicht MSK toets'!$E$56*(Y31+Y36)*80%,Y127-Y128),
IF(Y110&gt;$E$46,IF('Overzicht MSK toets'!$E$56*(X31*20%+X35*100%+(Y31+Y36)*80%)&lt;Y127,'Overzicht MSK toets'!$E$56*(X31*20%+X35*100%+(Y31+Y36)*80%),Y127))))</f>
        <v>0</v>
      </c>
      <c r="Z129" s="605">
        <f ca="1">IF(Z110&lt;$E$46,0,
IF(Z110=$E$46,IF('Overzicht MSK toets'!$E$56*(Z31+Z36)*80%+Z128&lt;Z127,'Overzicht MSK toets'!$E$56*(Z31+Z36)*80%,Z127-Z128),
IF(Z110&gt;$E$46,IF('Overzicht MSK toets'!$E$56*(Y31*20%+Y35*100%+(Z31+Z36)*80%)&lt;Z127,'Overzicht MSK toets'!$E$56*(Y31*20%+Y35*100%+(Z31+Z36)*80%),Z127))))</f>
        <v>0</v>
      </c>
      <c r="AA129" s="605">
        <f ca="1">IF(AA110&lt;$E$46,0,
IF(AA110=$E$46,IF('Overzicht MSK toets'!$E$56*(AA31+AA36)*80%+AA128&lt;AA127,'Overzicht MSK toets'!$E$56*(AA31+AA36)*80%,AA127-AA128),
IF(AA110&gt;$E$46,IF('Overzicht MSK toets'!$E$56*(Z31*20%+Z35*100%+(AA31+AA36)*80%)&lt;AA127,'Overzicht MSK toets'!$E$56*(Z31*20%+Z35*100%+(AA31+AA36)*80%),AA127))))</f>
        <v>0</v>
      </c>
      <c r="AB129" s="605">
        <f ca="1">IF(AB110&lt;$E$46,0,
IF(AB110=$E$46,IF('Overzicht MSK toets'!$E$56*(AB31+AB36)*80%+AB128&lt;AB127,'Overzicht MSK toets'!$E$56*(AB31+AB36)*80%,AB127-AB128),
IF(AB110&gt;$E$46,IF('Overzicht MSK toets'!$E$56*(AA31*20%+AA35*100%+(AB31+AB36)*80%)&lt;AB127,'Overzicht MSK toets'!$E$56*(AA31*20%+AA35*100%+(AB31+AB36)*80%),AB127))))</f>
        <v>0</v>
      </c>
    </row>
    <row r="130" spans="1:28" s="3" customFormat="1" ht="15.75" thickBot="1" x14ac:dyDescent="0.3">
      <c r="A130" s="447" t="s">
        <v>326</v>
      </c>
      <c r="B130" s="596" t="s">
        <v>324</v>
      </c>
      <c r="C130" s="597"/>
      <c r="D130" s="24"/>
      <c r="E130" s="139"/>
      <c r="F130" s="140"/>
      <c r="G130" s="51"/>
      <c r="H130" s="451">
        <f ca="1">SUM(K130:AB130)/15</f>
        <v>0</v>
      </c>
      <c r="I130" s="439">
        <f ca="1">NPV($E$96,K130:AB130)*'Hulpberekeningen 1'!$P$32</f>
        <v>0</v>
      </c>
      <c r="J130" s="24"/>
      <c r="K130" s="563">
        <f t="shared" ref="K130:AB130" ca="1" si="30">K127-K128-K129</f>
        <v>0</v>
      </c>
      <c r="L130" s="563">
        <f t="shared" ca="1" si="30"/>
        <v>0</v>
      </c>
      <c r="M130" s="563">
        <f t="shared" ca="1" si="30"/>
        <v>0</v>
      </c>
      <c r="N130" s="563">
        <f t="shared" ca="1" si="30"/>
        <v>0</v>
      </c>
      <c r="O130" s="563">
        <f t="shared" ca="1" si="30"/>
        <v>0</v>
      </c>
      <c r="P130" s="563">
        <f t="shared" ca="1" si="30"/>
        <v>0</v>
      </c>
      <c r="Q130" s="563">
        <f t="shared" ca="1" si="30"/>
        <v>0</v>
      </c>
      <c r="R130" s="563">
        <f t="shared" ca="1" si="30"/>
        <v>0</v>
      </c>
      <c r="S130" s="563">
        <f t="shared" ca="1" si="30"/>
        <v>0</v>
      </c>
      <c r="T130" s="563">
        <f t="shared" ca="1" si="30"/>
        <v>0</v>
      </c>
      <c r="U130" s="563">
        <f t="shared" ca="1" si="30"/>
        <v>0</v>
      </c>
      <c r="V130" s="563">
        <f t="shared" ca="1" si="30"/>
        <v>0</v>
      </c>
      <c r="W130" s="563">
        <f t="shared" ca="1" si="30"/>
        <v>0</v>
      </c>
      <c r="X130" s="563">
        <f t="shared" ca="1" si="30"/>
        <v>0</v>
      </c>
      <c r="Y130" s="563">
        <f t="shared" ca="1" si="30"/>
        <v>0</v>
      </c>
      <c r="Z130" s="563">
        <f t="shared" ca="1" si="30"/>
        <v>0</v>
      </c>
      <c r="AA130" s="563">
        <f t="shared" ca="1" si="30"/>
        <v>0</v>
      </c>
      <c r="AB130" s="563">
        <f t="shared" ca="1" si="30"/>
        <v>0</v>
      </c>
    </row>
    <row r="131" spans="1:28" ht="15.75" thickBot="1" x14ac:dyDescent="0.3">
      <c r="A131" s="131"/>
      <c r="B131" s="476"/>
      <c r="C131" s="69"/>
      <c r="D131" s="20"/>
      <c r="E131" s="139"/>
      <c r="F131" s="50"/>
      <c r="G131" s="51"/>
      <c r="H131" s="452"/>
      <c r="I131" s="453"/>
      <c r="J131" s="24"/>
      <c r="K131" s="544"/>
      <c r="L131" s="544"/>
      <c r="M131" s="544"/>
      <c r="N131" s="544"/>
      <c r="O131" s="544"/>
      <c r="P131" s="544"/>
      <c r="Q131" s="544"/>
      <c r="R131" s="544"/>
      <c r="S131" s="544"/>
      <c r="T131" s="544"/>
      <c r="U131" s="544"/>
      <c r="V131" s="544"/>
      <c r="W131" s="544"/>
      <c r="X131" s="544"/>
      <c r="Y131" s="544"/>
      <c r="Z131" s="544"/>
      <c r="AA131" s="544"/>
      <c r="AB131" s="544"/>
    </row>
    <row r="132" spans="1:28" ht="15.75" thickBot="1" x14ac:dyDescent="0.3">
      <c r="A132" s="137" t="s">
        <v>311</v>
      </c>
      <c r="B132" s="591" t="s">
        <v>69</v>
      </c>
      <c r="C132" s="594"/>
      <c r="D132" s="20"/>
      <c r="E132" s="805" t="s">
        <v>68</v>
      </c>
      <c r="F132" s="49"/>
      <c r="G132" s="34" t="s">
        <v>11</v>
      </c>
      <c r="H132" s="454">
        <f>AVERAGE(K132:Z132)</f>
        <v>0</v>
      </c>
      <c r="I132" s="453"/>
      <c r="J132" s="24"/>
      <c r="K132" s="564">
        <f t="shared" ref="K132:AB132" si="31">K113</f>
        <v>0</v>
      </c>
      <c r="L132" s="564">
        <f t="shared" si="31"/>
        <v>0</v>
      </c>
      <c r="M132" s="564">
        <f t="shared" si="31"/>
        <v>0</v>
      </c>
      <c r="N132" s="564">
        <f t="shared" si="31"/>
        <v>0</v>
      </c>
      <c r="O132" s="564">
        <f t="shared" si="31"/>
        <v>0</v>
      </c>
      <c r="P132" s="564">
        <f t="shared" si="31"/>
        <v>0</v>
      </c>
      <c r="Q132" s="564">
        <f t="shared" si="31"/>
        <v>0</v>
      </c>
      <c r="R132" s="564">
        <f t="shared" si="31"/>
        <v>0</v>
      </c>
      <c r="S132" s="564">
        <f t="shared" si="31"/>
        <v>0</v>
      </c>
      <c r="T132" s="564">
        <f t="shared" si="31"/>
        <v>0</v>
      </c>
      <c r="U132" s="564">
        <f t="shared" si="31"/>
        <v>0</v>
      </c>
      <c r="V132" s="564">
        <f t="shared" si="31"/>
        <v>0</v>
      </c>
      <c r="W132" s="564">
        <f t="shared" si="31"/>
        <v>0</v>
      </c>
      <c r="X132" s="564">
        <f t="shared" si="31"/>
        <v>0</v>
      </c>
      <c r="Y132" s="564">
        <f t="shared" si="31"/>
        <v>0</v>
      </c>
      <c r="Z132" s="564">
        <f t="shared" si="31"/>
        <v>0</v>
      </c>
      <c r="AA132" s="564">
        <f t="shared" si="31"/>
        <v>0</v>
      </c>
      <c r="AB132" s="565">
        <f t="shared" si="31"/>
        <v>0</v>
      </c>
    </row>
    <row r="133" spans="1:28" ht="15.75" thickBot="1" x14ac:dyDescent="0.3">
      <c r="A133" s="137" t="s">
        <v>312</v>
      </c>
      <c r="B133" s="591" t="s">
        <v>70</v>
      </c>
      <c r="C133" s="594"/>
      <c r="D133" s="20"/>
      <c r="E133" s="138"/>
      <c r="F133" s="49"/>
      <c r="G133" s="34" t="s">
        <v>11</v>
      </c>
      <c r="H133" s="454">
        <f>AVERAGE(K133:Z133)</f>
        <v>0</v>
      </c>
      <c r="I133" s="453"/>
      <c r="J133" s="24"/>
      <c r="K133" s="564">
        <f t="shared" ref="K133:AB133" si="32">+K111-K132</f>
        <v>0</v>
      </c>
      <c r="L133" s="564">
        <f t="shared" si="32"/>
        <v>0</v>
      </c>
      <c r="M133" s="564">
        <f t="shared" si="32"/>
        <v>0</v>
      </c>
      <c r="N133" s="564">
        <f t="shared" si="32"/>
        <v>0</v>
      </c>
      <c r="O133" s="564">
        <f t="shared" si="32"/>
        <v>0</v>
      </c>
      <c r="P133" s="564">
        <f t="shared" si="32"/>
        <v>0</v>
      </c>
      <c r="Q133" s="564">
        <f t="shared" si="32"/>
        <v>0</v>
      </c>
      <c r="R133" s="564">
        <f t="shared" si="32"/>
        <v>0</v>
      </c>
      <c r="S133" s="564">
        <f t="shared" si="32"/>
        <v>0</v>
      </c>
      <c r="T133" s="564">
        <f t="shared" si="32"/>
        <v>0</v>
      </c>
      <c r="U133" s="564">
        <f t="shared" si="32"/>
        <v>0</v>
      </c>
      <c r="V133" s="564">
        <f t="shared" si="32"/>
        <v>0</v>
      </c>
      <c r="W133" s="564">
        <f t="shared" si="32"/>
        <v>0</v>
      </c>
      <c r="X133" s="564">
        <f t="shared" si="32"/>
        <v>0</v>
      </c>
      <c r="Y133" s="564">
        <f t="shared" si="32"/>
        <v>0</v>
      </c>
      <c r="Z133" s="564">
        <f t="shared" si="32"/>
        <v>0</v>
      </c>
      <c r="AA133" s="564">
        <f t="shared" si="32"/>
        <v>0</v>
      </c>
      <c r="AB133" s="565">
        <f t="shared" si="32"/>
        <v>0</v>
      </c>
    </row>
    <row r="134" spans="1:28" s="3" customFormat="1" ht="15.75" thickBot="1" x14ac:dyDescent="0.3">
      <c r="A134" s="175"/>
      <c r="B134" s="591" t="s">
        <v>358</v>
      </c>
      <c r="C134" s="595"/>
      <c r="D134" s="24"/>
      <c r="E134" s="138"/>
      <c r="F134" s="135"/>
      <c r="G134" s="34"/>
      <c r="H134" s="454"/>
      <c r="I134" s="453"/>
      <c r="J134" s="24"/>
      <c r="K134" s="564">
        <f>K133*(K32*80%)</f>
        <v>0</v>
      </c>
      <c r="L134" s="564">
        <f t="shared" ref="L134:AB134" si="33">L133*(L32*80%)+(K32*20%)*K133</f>
        <v>0</v>
      </c>
      <c r="M134" s="564">
        <f t="shared" si="33"/>
        <v>0</v>
      </c>
      <c r="N134" s="564">
        <f t="shared" si="33"/>
        <v>0</v>
      </c>
      <c r="O134" s="564">
        <f t="shared" si="33"/>
        <v>0</v>
      </c>
      <c r="P134" s="564">
        <f t="shared" si="33"/>
        <v>0</v>
      </c>
      <c r="Q134" s="564">
        <f t="shared" si="33"/>
        <v>0</v>
      </c>
      <c r="R134" s="564">
        <f t="shared" si="33"/>
        <v>0</v>
      </c>
      <c r="S134" s="564">
        <f t="shared" si="33"/>
        <v>0</v>
      </c>
      <c r="T134" s="564">
        <f t="shared" si="33"/>
        <v>0</v>
      </c>
      <c r="U134" s="564">
        <f t="shared" si="33"/>
        <v>0</v>
      </c>
      <c r="V134" s="564">
        <f t="shared" si="33"/>
        <v>0</v>
      </c>
      <c r="W134" s="564">
        <f t="shared" si="33"/>
        <v>0</v>
      </c>
      <c r="X134" s="564">
        <f t="shared" si="33"/>
        <v>0</v>
      </c>
      <c r="Y134" s="564">
        <f t="shared" si="33"/>
        <v>0</v>
      </c>
      <c r="Z134" s="564">
        <f t="shared" si="33"/>
        <v>0</v>
      </c>
      <c r="AA134" s="564">
        <f t="shared" si="33"/>
        <v>0</v>
      </c>
      <c r="AB134" s="566">
        <f t="shared" si="33"/>
        <v>0</v>
      </c>
    </row>
    <row r="135" spans="1:28" ht="15.75" thickBot="1" x14ac:dyDescent="0.3">
      <c r="A135" s="137" t="s">
        <v>76</v>
      </c>
      <c r="B135" s="591" t="s">
        <v>359</v>
      </c>
      <c r="C135" s="595"/>
      <c r="D135" s="20"/>
      <c r="E135" s="139"/>
      <c r="F135" s="140"/>
      <c r="G135" s="34"/>
      <c r="H135" s="454">
        <f>SUM($K135:$AB135)/$E$18</f>
        <v>0</v>
      </c>
      <c r="I135" s="455">
        <f>NPV($E$96,K135:AB135)*'Hulpberekeningen 1'!$P$32</f>
        <v>0</v>
      </c>
      <c r="J135" s="24"/>
      <c r="K135" s="567">
        <v>0</v>
      </c>
      <c r="L135" s="567">
        <v>0</v>
      </c>
      <c r="M135" s="567">
        <f t="shared" ref="M135:AB135" si="34">L37*L133</f>
        <v>0</v>
      </c>
      <c r="N135" s="567">
        <f t="shared" si="34"/>
        <v>0</v>
      </c>
      <c r="O135" s="567">
        <f t="shared" si="34"/>
        <v>0</v>
      </c>
      <c r="P135" s="567">
        <f t="shared" si="34"/>
        <v>0</v>
      </c>
      <c r="Q135" s="567">
        <f t="shared" si="34"/>
        <v>0</v>
      </c>
      <c r="R135" s="567">
        <f t="shared" si="34"/>
        <v>0</v>
      </c>
      <c r="S135" s="567">
        <f t="shared" si="34"/>
        <v>0</v>
      </c>
      <c r="T135" s="567">
        <f t="shared" si="34"/>
        <v>0</v>
      </c>
      <c r="U135" s="567">
        <f t="shared" si="34"/>
        <v>0</v>
      </c>
      <c r="V135" s="567">
        <f t="shared" si="34"/>
        <v>0</v>
      </c>
      <c r="W135" s="567">
        <f t="shared" si="34"/>
        <v>0</v>
      </c>
      <c r="X135" s="567">
        <f t="shared" si="34"/>
        <v>0</v>
      </c>
      <c r="Y135" s="567">
        <f t="shared" si="34"/>
        <v>0</v>
      </c>
      <c r="Z135" s="567">
        <f t="shared" si="34"/>
        <v>0</v>
      </c>
      <c r="AA135" s="567">
        <f t="shared" si="34"/>
        <v>0</v>
      </c>
      <c r="AB135" s="567">
        <f t="shared" si="34"/>
        <v>0</v>
      </c>
    </row>
    <row r="136" spans="1:28" ht="15.75" thickBot="1" x14ac:dyDescent="0.3">
      <c r="A136" s="137" t="s">
        <v>313</v>
      </c>
      <c r="B136" s="591" t="s">
        <v>360</v>
      </c>
      <c r="C136" s="595"/>
      <c r="D136" s="20"/>
      <c r="E136" s="139"/>
      <c r="F136" s="140"/>
      <c r="G136" s="34"/>
      <c r="H136" s="450">
        <f>SUM($K136:$AB136)/$E$18</f>
        <v>0</v>
      </c>
      <c r="I136" s="455">
        <f>NPV($E$96,K136:AB136)*'Hulpberekeningen 1'!$P$32</f>
        <v>0</v>
      </c>
      <c r="J136" s="24"/>
      <c r="K136" s="567">
        <v>0</v>
      </c>
      <c r="L136" s="567">
        <f>L38*L123*80%</f>
        <v>0</v>
      </c>
      <c r="M136" s="567">
        <f t="shared" ref="M136:AB136" si="35">M38*M123*80%+L38*L123*20%</f>
        <v>0</v>
      </c>
      <c r="N136" s="567">
        <f t="shared" si="35"/>
        <v>0</v>
      </c>
      <c r="O136" s="567">
        <f t="shared" si="35"/>
        <v>0</v>
      </c>
      <c r="P136" s="567">
        <f t="shared" si="35"/>
        <v>0</v>
      </c>
      <c r="Q136" s="567">
        <f t="shared" si="35"/>
        <v>0</v>
      </c>
      <c r="R136" s="567">
        <f t="shared" si="35"/>
        <v>0</v>
      </c>
      <c r="S136" s="567">
        <f t="shared" si="35"/>
        <v>0</v>
      </c>
      <c r="T136" s="567">
        <f t="shared" si="35"/>
        <v>0</v>
      </c>
      <c r="U136" s="567">
        <f t="shared" si="35"/>
        <v>0</v>
      </c>
      <c r="V136" s="567">
        <f t="shared" si="35"/>
        <v>0</v>
      </c>
      <c r="W136" s="567">
        <f t="shared" si="35"/>
        <v>0</v>
      </c>
      <c r="X136" s="567">
        <f t="shared" si="35"/>
        <v>0</v>
      </c>
      <c r="Y136" s="567">
        <f t="shared" si="35"/>
        <v>0</v>
      </c>
      <c r="Z136" s="567">
        <f t="shared" si="35"/>
        <v>0</v>
      </c>
      <c r="AA136" s="567">
        <f t="shared" si="35"/>
        <v>0</v>
      </c>
      <c r="AB136" s="567">
        <f t="shared" si="35"/>
        <v>0</v>
      </c>
    </row>
    <row r="137" spans="1:28" ht="15.75" thickBot="1" x14ac:dyDescent="0.3">
      <c r="A137" s="131">
        <v>55</v>
      </c>
      <c r="B137" s="591" t="s">
        <v>357</v>
      </c>
      <c r="C137" s="595"/>
      <c r="D137" s="20"/>
      <c r="E137" s="139"/>
      <c r="F137" s="140"/>
      <c r="G137" s="34" t="s">
        <v>11</v>
      </c>
      <c r="H137" s="454">
        <f>SUM($K137:$AB137)/$E$18</f>
        <v>0</v>
      </c>
      <c r="I137" s="455">
        <f>NPV($E$96,K137:AB137)*'Hulpberekeningen 1'!$P$32</f>
        <v>0</v>
      </c>
      <c r="J137" s="24"/>
      <c r="K137" s="567">
        <f>SUM(K134:K136)</f>
        <v>0</v>
      </c>
      <c r="L137" s="567">
        <f t="shared" ref="L137:AB137" si="36">SUM(L134:L136)</f>
        <v>0</v>
      </c>
      <c r="M137" s="567">
        <f t="shared" si="36"/>
        <v>0</v>
      </c>
      <c r="N137" s="567">
        <f t="shared" si="36"/>
        <v>0</v>
      </c>
      <c r="O137" s="567">
        <f t="shared" si="36"/>
        <v>0</v>
      </c>
      <c r="P137" s="567">
        <f t="shared" si="36"/>
        <v>0</v>
      </c>
      <c r="Q137" s="567">
        <f t="shared" si="36"/>
        <v>0</v>
      </c>
      <c r="R137" s="567">
        <f t="shared" si="36"/>
        <v>0</v>
      </c>
      <c r="S137" s="567">
        <f t="shared" si="36"/>
        <v>0</v>
      </c>
      <c r="T137" s="567">
        <f t="shared" si="36"/>
        <v>0</v>
      </c>
      <c r="U137" s="567">
        <f t="shared" si="36"/>
        <v>0</v>
      </c>
      <c r="V137" s="567">
        <f t="shared" si="36"/>
        <v>0</v>
      </c>
      <c r="W137" s="567">
        <f t="shared" si="36"/>
        <v>0</v>
      </c>
      <c r="X137" s="567">
        <f t="shared" si="36"/>
        <v>0</v>
      </c>
      <c r="Y137" s="567">
        <f t="shared" si="36"/>
        <v>0</v>
      </c>
      <c r="Z137" s="567">
        <f t="shared" si="36"/>
        <v>0</v>
      </c>
      <c r="AA137" s="567">
        <f t="shared" si="36"/>
        <v>0</v>
      </c>
      <c r="AB137" s="567">
        <f t="shared" si="36"/>
        <v>0</v>
      </c>
    </row>
    <row r="138" spans="1:28" s="3" customFormat="1" ht="15.75" thickBot="1" x14ac:dyDescent="0.3">
      <c r="A138" s="175"/>
      <c r="B138" s="591" t="s">
        <v>338</v>
      </c>
      <c r="C138" s="594"/>
      <c r="D138" s="24"/>
      <c r="E138" s="139"/>
      <c r="F138" s="140"/>
      <c r="G138" s="34"/>
      <c r="H138" s="450">
        <f>SUM($K138:$AB138)/$E$18</f>
        <v>0</v>
      </c>
      <c r="I138" s="455">
        <f>NPV($E$96,K138:AB138)*'Hulpberekeningen 1'!$P$32</f>
        <v>0</v>
      </c>
      <c r="J138" s="24"/>
      <c r="K138" s="567">
        <f>IF(K116*K32*80%&lt;K137,K116*K32*80%,K137)</f>
        <v>0</v>
      </c>
      <c r="L138" s="567">
        <f t="shared" ref="L138:AB138" si="37">IF(K116*K32*20%+L116*L32*80%&lt;L137,K116*K32*20%+L116*L32*80%,L137)</f>
        <v>0</v>
      </c>
      <c r="M138" s="567">
        <f t="shared" si="37"/>
        <v>0</v>
      </c>
      <c r="N138" s="567">
        <f t="shared" si="37"/>
        <v>0</v>
      </c>
      <c r="O138" s="567">
        <f t="shared" si="37"/>
        <v>0</v>
      </c>
      <c r="P138" s="567">
        <f t="shared" si="37"/>
        <v>0</v>
      </c>
      <c r="Q138" s="567">
        <f t="shared" si="37"/>
        <v>0</v>
      </c>
      <c r="R138" s="567">
        <f t="shared" si="37"/>
        <v>0</v>
      </c>
      <c r="S138" s="567">
        <f t="shared" si="37"/>
        <v>0</v>
      </c>
      <c r="T138" s="567">
        <f t="shared" si="37"/>
        <v>0</v>
      </c>
      <c r="U138" s="567">
        <f t="shared" si="37"/>
        <v>0</v>
      </c>
      <c r="V138" s="567">
        <f t="shared" si="37"/>
        <v>0</v>
      </c>
      <c r="W138" s="567">
        <f t="shared" si="37"/>
        <v>0</v>
      </c>
      <c r="X138" s="567">
        <f t="shared" si="37"/>
        <v>0</v>
      </c>
      <c r="Y138" s="567">
        <f t="shared" si="37"/>
        <v>0</v>
      </c>
      <c r="Z138" s="567">
        <f t="shared" si="37"/>
        <v>0</v>
      </c>
      <c r="AA138" s="567">
        <f t="shared" si="37"/>
        <v>0</v>
      </c>
      <c r="AB138" s="567">
        <f t="shared" si="37"/>
        <v>0</v>
      </c>
    </row>
    <row r="139" spans="1:28" ht="15.75" thickBot="1" x14ac:dyDescent="0.3">
      <c r="A139" s="449" t="s">
        <v>325</v>
      </c>
      <c r="B139" s="591" t="s">
        <v>334</v>
      </c>
      <c r="C139" s="594"/>
      <c r="D139" s="20"/>
      <c r="E139" s="418"/>
      <c r="F139" s="140"/>
      <c r="G139" s="51"/>
      <c r="H139" s="451">
        <f ca="1">SUM(K139:AB139)/15</f>
        <v>0</v>
      </c>
      <c r="I139" s="455">
        <f ca="1">NPV($E$96,K139:AB139)*'Hulpberekeningen 1'!$P$32</f>
        <v>0</v>
      </c>
      <c r="J139" s="24"/>
      <c r="K139" s="606">
        <f ca="1">IF(K110&lt;$E$46,0,
IF('Overzicht MSK toets'!$E$56*K32*80%+K138&lt;K137,'Overzicht MSK toets'!$E$56*K32*80%,K137-K138))</f>
        <v>0</v>
      </c>
      <c r="L139" s="606">
        <f ca="1">IF(L110&lt;$E$46,0,
IF(L110=$E$46,IF('Overzicht MSK toets'!$E$56*(L32+L38)*80%+L138&lt;L137,'Overzicht MSK toets'!$E$56*(L32+L38)*80%,L137-L138),
IF(L110&gt;$E$46,IF('Overzicht MSK toets'!$E$56*(K32*20%+(L32+L38)*80%)&lt;L137,'Overzicht MSK toets'!$E$56*(K32*20%+(L32+L38)*80%),L137))))</f>
        <v>0</v>
      </c>
      <c r="M139" s="606">
        <f ca="1">IF(M110&lt;$E$46,0,
IF(M110=$E$46,IF('Overzicht MSK toets'!$E$56*(M32+M38)*80%+M138&lt;M137,'Overzicht MSK toets'!$E$56*(M32+M38)*80%,M137-M138),
IF(M110&gt;$E$46,IF('Overzicht MSK toets'!$E$56*(L32*20%+L37*100%+M32*80%)&lt;M137,'Overzicht MSK toets'!$E$56*(L32*20%+L37*100%+M32*80%),M137))))</f>
        <v>0</v>
      </c>
      <c r="N139" s="606">
        <f ca="1">IF(N110&lt;$E$46,0,
IF(N110=$E$46,IF('Overzicht MSK toets'!$E$56*(N32+N38)*80%+N138&lt;N137,'Overzicht MSK toets'!$E$56*(N32+N38)*80%,N137-N138),
IF(N110&gt;$E$46,IF('Overzicht MSK toets'!$E$56*(M32*20%+M37*100%+N32*80%)&lt;N137,'Overzicht MSK toets'!$E$56*(M32*20%+M37*100%+N32*80%),N137))))</f>
        <v>0</v>
      </c>
      <c r="O139" s="606">
        <f ca="1">IF(O110&lt;$E$46,0,
IF(O110=$E$46,IF('Overzicht MSK toets'!$E$56*(O32+O38)*80%+O138&lt;O137,'Overzicht MSK toets'!$E$56*(O32+O38)*80%,O137-O138),
IF(O110&gt;$E$46,IF('Overzicht MSK toets'!$E$56*(N32*20%+N37*100%+O32*80%)&lt;O137,'Overzicht MSK toets'!$E$56*(N32*20%+N37*100%+O32*80%),O137))))</f>
        <v>0</v>
      </c>
      <c r="P139" s="606">
        <f ca="1">IF(P110&lt;$E$46,0,
IF(P110=$E$46,IF('Overzicht MSK toets'!$E$56*(P32+P38)*80%+P138&lt;P137,'Overzicht MSK toets'!$E$56*(P32+P38)*80%,P137-P138),
IF(P110&gt;$E$46,IF('Overzicht MSK toets'!$E$56*(O32*20%+O37*100%+P32*80%)&lt;P137,'Overzicht MSK toets'!$E$56*(O32*20%+O37*100%+P32*80%),P137))))</f>
        <v>0</v>
      </c>
      <c r="Q139" s="606">
        <f ca="1">IF(Q110&lt;$E$46,0,
IF(Q110=$E$46,IF('Overzicht MSK toets'!$E$56*(Q32+Q38)*80%+Q138&lt;Q137,'Overzicht MSK toets'!$E$56*(Q32+Q38)*80%,Q137-Q138),
IF(Q110&gt;$E$46,IF('Overzicht MSK toets'!$E$56*(P32*20%+P37*100%+Q32*80%)&lt;Q137,'Overzicht MSK toets'!$E$56*(P32*20%+P37*100%+Q32*80%),Q137))))</f>
        <v>0</v>
      </c>
      <c r="R139" s="606">
        <f ca="1">IF(R110&lt;$E$46,0,
IF(R110=$E$46,IF('Overzicht MSK toets'!$E$56*(R32+R38)*80%+R138&lt;R137,'Overzicht MSK toets'!$E$56*(R32+R38)*80%,R137-R138),
IF(R110&gt;$E$46,IF('Overzicht MSK toets'!$E$56*(Q32*20%+Q37*100%+R32*80%)&lt;R137,'Overzicht MSK toets'!$E$56*(Q32*20%+Q37*100%+R32*80%),R137))))</f>
        <v>0</v>
      </c>
      <c r="S139" s="606">
        <f ca="1">IF(S110&lt;$E$46,0,
IF(S110=$E$46,IF('Overzicht MSK toets'!$E$56*(S32+S38)*80%+S138&lt;S137,'Overzicht MSK toets'!$E$56*(S32+S38)*80%,S137-S138),
IF(S110&gt;$E$46,IF('Overzicht MSK toets'!$E$56*(R32*20%+R37*100%+S32*80%)&lt;S137,'Overzicht MSK toets'!$E$56*(R32*20%+R37*100%+S32*80%),S137))))</f>
        <v>0</v>
      </c>
      <c r="T139" s="606">
        <f ca="1">IF(T110&lt;$E$46,0,
IF(T110=$E$46,IF('Overzicht MSK toets'!$E$56*(T32+T38)*80%+T138&lt;T137,'Overzicht MSK toets'!$E$56*(T32+T38)*80%,T137-T138),
IF(T110&gt;$E$46,IF('Overzicht MSK toets'!$E$56*(S32*20%+S37*100%+T32*80%)&lt;T137,'Overzicht MSK toets'!$E$56*(S32*20%+S37*100%+T32*80%),T137))))</f>
        <v>0</v>
      </c>
      <c r="U139" s="606">
        <f ca="1">IF(U110&lt;$E$46,0,
IF(U110=$E$46,IF('Overzicht MSK toets'!$E$56*(U32+U38)*80%+U138&lt;U137,'Overzicht MSK toets'!$E$56*(U32+U38)*80%,U137-U138),
IF(U110&gt;$E$46,IF('Overzicht MSK toets'!$E$56*(T32*20%+T37*100%+U32*80%)&lt;U137,'Overzicht MSK toets'!$E$56*(T32*20%+T37*100%+U32*80%),U137))))</f>
        <v>0</v>
      </c>
      <c r="V139" s="606">
        <f ca="1">IF(V110&lt;$E$46,0,
IF(V110=$E$46,IF('Overzicht MSK toets'!$E$56*(V32+V38)*80%+V138&lt;V137,'Overzicht MSK toets'!$E$56*(V32+V38)*80%,V137-V138),
IF(V110&gt;$E$46,IF('Overzicht MSK toets'!$E$56*(U32*20%+U37*100%+V32*80%)&lt;V137,'Overzicht MSK toets'!$E$56*(U32*20%+U37*100%+V32*80%),V137))))</f>
        <v>0</v>
      </c>
      <c r="W139" s="606">
        <f ca="1">IF(W110&lt;$E$46,0,
IF(W110=$E$46,IF('Overzicht MSK toets'!$E$56*(W32+W38)*80%+W138&lt;W137,'Overzicht MSK toets'!$E$56*(W32+W38)*80%,W137-W138),
IF(W110&gt;$E$46,IF('Overzicht MSK toets'!$E$56*(V32*20%+V37*100%+W32*80%)&lt;W137,'Overzicht MSK toets'!$E$56*(V32*20%+V37*100%+W32*80%),W137))))</f>
        <v>0</v>
      </c>
      <c r="X139" s="606">
        <f ca="1">IF(X110&lt;$E$46,0,
IF(X110=$E$46,IF('Overzicht MSK toets'!$E$56*(X32+X38)*80%+X138&lt;X137,'Overzicht MSK toets'!$E$56*(X32+X38)*80%,X137-X138),
IF(X110&gt;$E$46,IF('Overzicht MSK toets'!$E$56*(W32*20%+W37*100%+X32*80%)&lt;X137,'Overzicht MSK toets'!$E$56*(W32*20%+W37*100%+X32*80%),X137))))</f>
        <v>0</v>
      </c>
      <c r="Y139" s="606">
        <f ca="1">IF(Y110&lt;$E$46,0,
IF(Y110=$E$46,IF('Overzicht MSK toets'!$E$56*(Y32+Y38)*80%+Y138&lt;Y137,'Overzicht MSK toets'!$E$56*(Y32+Y38)*80%,Y137-Y138),
IF(Y110&gt;$E$46,IF('Overzicht MSK toets'!$E$56*(X32*20%+X37*100%+Y32*80%)&lt;Y137,'Overzicht MSK toets'!$E$56*(X32*20%+X37*100%+Y32*80%),Y137))))</f>
        <v>0</v>
      </c>
      <c r="Z139" s="606">
        <f ca="1">IF(Z110&lt;$E$46,0,
IF(Z110=$E$46,IF('Overzicht MSK toets'!$E$56*(Z32+Z38)*80%+Z138&lt;Z137,'Overzicht MSK toets'!$E$56*(Z32+Z38)*80%,Z137-Z138),
IF(Z110&gt;$E$46,IF('Overzicht MSK toets'!$E$56*(Y32*20%+Y37*100%+Z32*80%)&lt;Z137,'Overzicht MSK toets'!$E$56*(Y32*20%+Y37*100%+Z32*80%),Z137))))</f>
        <v>0</v>
      </c>
      <c r="AA139" s="606">
        <f ca="1">IF(AA110&lt;$E$46,0,
IF(AA110=$E$46,IF('Overzicht MSK toets'!$E$56*(AA32+AA38)*80%+AA138&lt;AA137,'Overzicht MSK toets'!$E$56*(AA32+AA38)*80%,AA137-AA138),
IF(AA110&gt;$E$46,IF('Overzicht MSK toets'!$E$56*(Z32*20%+Z37*100%+AA32*80%)&lt;AA137,'Overzicht MSK toets'!$E$56*(Z32*20%+Z37*100%+AA32*80%),AA137))))</f>
        <v>0</v>
      </c>
      <c r="AB139" s="606">
        <f ca="1">IF(AB110&lt;$E$46,0,
IF(AB110=$E$46,IF('Overzicht MSK toets'!$E$56*(AB32+AB38)*80%+AB138&lt;AB137,'Overzicht MSK toets'!$E$56*(AB32+AB38)*80%,AB137-AB138),
IF(AB110&gt;$E$46,IF('Overzicht MSK toets'!$E$56*(AA32*20%+AA37*100%+AB32*80%)&lt;AB137,'Overzicht MSK toets'!$E$56*(AA32*20%+AA37*100%+AB32*80%),AB137))))</f>
        <v>0</v>
      </c>
    </row>
    <row r="140" spans="1:28" s="3" customFormat="1" ht="15.75" thickBot="1" x14ac:dyDescent="0.3">
      <c r="A140" s="449" t="s">
        <v>326</v>
      </c>
      <c r="B140" s="591" t="s">
        <v>324</v>
      </c>
      <c r="C140" s="594"/>
      <c r="D140" s="24"/>
      <c r="E140" s="139"/>
      <c r="F140" s="140"/>
      <c r="G140" s="51"/>
      <c r="H140" s="451">
        <f ca="1">SUM(K140:AB140)/15</f>
        <v>0</v>
      </c>
      <c r="I140" s="455">
        <f ca="1">NPV($E$96,K140:AB140)*'Hulpberekeningen 1'!$P$32</f>
        <v>0</v>
      </c>
      <c r="J140" s="24"/>
      <c r="K140" s="567">
        <f t="shared" ref="K140:AB140" ca="1" si="38">K137-K138-K139</f>
        <v>0</v>
      </c>
      <c r="L140" s="567">
        <f t="shared" ca="1" si="38"/>
        <v>0</v>
      </c>
      <c r="M140" s="567">
        <f t="shared" ca="1" si="38"/>
        <v>0</v>
      </c>
      <c r="N140" s="567">
        <f t="shared" ca="1" si="38"/>
        <v>0</v>
      </c>
      <c r="O140" s="567">
        <f t="shared" ca="1" si="38"/>
        <v>0</v>
      </c>
      <c r="P140" s="567">
        <f t="shared" ca="1" si="38"/>
        <v>0</v>
      </c>
      <c r="Q140" s="567">
        <f t="shared" ca="1" si="38"/>
        <v>0</v>
      </c>
      <c r="R140" s="567">
        <f t="shared" ca="1" si="38"/>
        <v>0</v>
      </c>
      <c r="S140" s="567">
        <f t="shared" ca="1" si="38"/>
        <v>0</v>
      </c>
      <c r="T140" s="567">
        <f t="shared" ca="1" si="38"/>
        <v>0</v>
      </c>
      <c r="U140" s="567">
        <f t="shared" ca="1" si="38"/>
        <v>0</v>
      </c>
      <c r="V140" s="567">
        <f t="shared" ca="1" si="38"/>
        <v>0</v>
      </c>
      <c r="W140" s="567">
        <f t="shared" ca="1" si="38"/>
        <v>0</v>
      </c>
      <c r="X140" s="567">
        <f t="shared" ca="1" si="38"/>
        <v>0</v>
      </c>
      <c r="Y140" s="567">
        <f t="shared" ca="1" si="38"/>
        <v>0</v>
      </c>
      <c r="Z140" s="567">
        <f t="shared" ca="1" si="38"/>
        <v>0</v>
      </c>
      <c r="AA140" s="567">
        <f t="shared" ca="1" si="38"/>
        <v>0</v>
      </c>
      <c r="AB140" s="567">
        <f t="shared" ca="1" si="38"/>
        <v>0</v>
      </c>
    </row>
    <row r="141" spans="1:28" s="3" customFormat="1" ht="15" x14ac:dyDescent="0.25">
      <c r="A141" s="414"/>
      <c r="B141" s="448" t="s">
        <v>340</v>
      </c>
      <c r="C141" s="53"/>
      <c r="D141" s="24"/>
      <c r="E141" s="139"/>
      <c r="F141" s="50"/>
      <c r="G141" s="51"/>
      <c r="H141" s="456"/>
      <c r="I141" s="457">
        <f>SUM(I127:I127)+SUM(I137:I137)</f>
        <v>0</v>
      </c>
      <c r="J141" s="24"/>
      <c r="K141" s="413"/>
      <c r="L141" s="413"/>
      <c r="M141" s="413"/>
      <c r="N141" s="413"/>
      <c r="O141" s="413"/>
      <c r="P141" s="413"/>
      <c r="Q141" s="413"/>
      <c r="R141" s="413"/>
      <c r="S141" s="413"/>
      <c r="T141" s="413"/>
      <c r="U141" s="413"/>
      <c r="V141" s="413"/>
      <c r="W141" s="413"/>
      <c r="X141" s="413"/>
      <c r="Y141" s="413"/>
      <c r="Z141" s="413"/>
      <c r="AA141" s="413"/>
      <c r="AB141" s="413"/>
    </row>
    <row r="142" spans="1:28" s="3" customFormat="1" ht="15" x14ac:dyDescent="0.25">
      <c r="A142" s="414"/>
      <c r="B142" s="448" t="s">
        <v>341</v>
      </c>
      <c r="C142" s="53"/>
      <c r="D142" s="24"/>
      <c r="E142" s="139"/>
      <c r="F142" s="50"/>
      <c r="G142" s="51"/>
      <c r="H142" s="456"/>
      <c r="I142" s="457">
        <f ca="1">I128+I129+I138+I139</f>
        <v>0</v>
      </c>
      <c r="J142" s="24"/>
      <c r="K142" s="413"/>
      <c r="L142" s="413"/>
      <c r="M142" s="413"/>
      <c r="N142" s="413"/>
      <c r="O142" s="413"/>
      <c r="P142" s="413"/>
      <c r="Q142" s="413"/>
      <c r="R142" s="413"/>
      <c r="S142" s="413"/>
      <c r="T142" s="413"/>
      <c r="U142" s="413"/>
      <c r="V142" s="413"/>
      <c r="W142" s="413"/>
      <c r="X142" s="413"/>
      <c r="Y142" s="413"/>
      <c r="Z142" s="413"/>
      <c r="AA142" s="413"/>
      <c r="AB142" s="413"/>
    </row>
    <row r="143" spans="1:28" s="3" customFormat="1" ht="15" x14ac:dyDescent="0.25">
      <c r="A143" s="809" t="s">
        <v>328</v>
      </c>
      <c r="B143" s="448" t="s">
        <v>342</v>
      </c>
      <c r="C143" s="53"/>
      <c r="D143" s="24"/>
      <c r="E143" s="139"/>
      <c r="F143" s="50"/>
      <c r="G143" s="51"/>
      <c r="H143" s="452"/>
      <c r="I143" s="458">
        <f ca="1">I141-I142</f>
        <v>0</v>
      </c>
      <c r="J143" s="24"/>
      <c r="K143" s="141"/>
      <c r="L143" s="141"/>
      <c r="M143" s="141"/>
      <c r="N143" s="141"/>
      <c r="O143" s="141"/>
      <c r="P143" s="141"/>
      <c r="Q143" s="141"/>
      <c r="R143" s="141"/>
      <c r="S143" s="141"/>
      <c r="T143" s="141"/>
      <c r="U143" s="141"/>
      <c r="V143" s="141"/>
      <c r="W143" s="141"/>
      <c r="X143" s="141"/>
      <c r="Y143" s="141"/>
      <c r="Z143" s="141"/>
      <c r="AA143" s="141"/>
      <c r="AB143" s="141"/>
    </row>
    <row r="144" spans="1:28" s="3" customFormat="1" ht="15" x14ac:dyDescent="0.25">
      <c r="A144" s="415"/>
      <c r="B144" s="448" t="s">
        <v>343</v>
      </c>
      <c r="C144" s="53"/>
      <c r="D144" s="24"/>
      <c r="E144" s="139"/>
      <c r="F144" s="50"/>
      <c r="G144" s="51"/>
      <c r="H144" s="23"/>
      <c r="I144" s="458">
        <f ca="1">SUM(K130:AB130)+SUM(K140:AB140)</f>
        <v>0</v>
      </c>
      <c r="J144" s="24"/>
      <c r="K144" s="141"/>
      <c r="L144" s="141"/>
      <c r="M144" s="141"/>
      <c r="N144" s="141"/>
      <c r="O144" s="141"/>
      <c r="P144" s="141"/>
      <c r="Q144" s="141"/>
      <c r="R144" s="141"/>
      <c r="S144" s="141"/>
      <c r="T144" s="141"/>
      <c r="U144" s="141"/>
      <c r="V144" s="141"/>
      <c r="W144" s="141"/>
      <c r="X144" s="141"/>
      <c r="Y144" s="141"/>
      <c r="Z144" s="141"/>
      <c r="AA144" s="141"/>
      <c r="AB144" s="141"/>
    </row>
    <row r="145" spans="1:28" ht="15.75" x14ac:dyDescent="0.25">
      <c r="A145" s="77" t="s">
        <v>71</v>
      </c>
      <c r="B145" s="142"/>
      <c r="C145" s="142"/>
      <c r="D145" s="20"/>
      <c r="E145" s="143"/>
      <c r="G145" s="81"/>
      <c r="I145" s="50"/>
      <c r="J145" s="23"/>
      <c r="K145" s="28" t="s">
        <v>72</v>
      </c>
      <c r="L145" s="23"/>
      <c r="M145" s="23"/>
      <c r="N145" s="23"/>
      <c r="O145" s="23"/>
      <c r="P145" s="23"/>
      <c r="Q145" s="23"/>
      <c r="R145" s="23"/>
      <c r="S145" s="23"/>
      <c r="T145" s="23"/>
      <c r="U145" s="23"/>
      <c r="V145" s="23"/>
      <c r="W145" s="23"/>
      <c r="X145" s="23"/>
      <c r="Y145" s="23"/>
      <c r="Z145" s="23"/>
      <c r="AA145" s="23"/>
      <c r="AB145" s="23"/>
    </row>
    <row r="146" spans="1:28" ht="15.75" hidden="1" x14ac:dyDescent="0.25">
      <c r="A146" s="77"/>
      <c r="B146" s="143"/>
      <c r="C146" s="144"/>
      <c r="D146" s="20"/>
      <c r="E146" s="35"/>
      <c r="F146" s="145"/>
      <c r="G146" s="81"/>
      <c r="I146" s="50"/>
      <c r="J146" s="23"/>
      <c r="K146" s="30">
        <v>1</v>
      </c>
      <c r="L146" s="30">
        <v>2</v>
      </c>
      <c r="M146" s="106">
        <v>3</v>
      </c>
      <c r="N146" s="106">
        <v>4</v>
      </c>
      <c r="O146" s="106">
        <v>5</v>
      </c>
      <c r="P146" s="106">
        <v>6</v>
      </c>
      <c r="Q146" s="106">
        <v>7</v>
      </c>
      <c r="R146" s="106">
        <v>8</v>
      </c>
      <c r="S146" s="106">
        <v>9</v>
      </c>
      <c r="T146" s="106">
        <v>10</v>
      </c>
      <c r="U146" s="106">
        <v>11</v>
      </c>
      <c r="V146" s="106">
        <v>12</v>
      </c>
      <c r="W146" s="106">
        <v>13</v>
      </c>
      <c r="X146" s="146">
        <v>14</v>
      </c>
      <c r="Y146" s="146">
        <v>15</v>
      </c>
      <c r="Z146" s="146">
        <v>16</v>
      </c>
      <c r="AA146" s="146"/>
      <c r="AB146" s="146"/>
    </row>
    <row r="147" spans="1:28" ht="15" hidden="1" x14ac:dyDescent="0.25">
      <c r="D147" s="20"/>
      <c r="E147" s="147"/>
      <c r="G147" s="81"/>
      <c r="I147" s="23"/>
      <c r="J147" s="23"/>
      <c r="K147" s="30"/>
      <c r="L147" s="30"/>
      <c r="M147" s="106"/>
      <c r="N147" s="106"/>
      <c r="O147" s="106"/>
      <c r="P147" s="106"/>
      <c r="Q147" s="106"/>
      <c r="R147" s="106"/>
      <c r="S147" s="106"/>
      <c r="T147" s="106"/>
      <c r="U147" s="106"/>
      <c r="V147" s="106"/>
      <c r="W147" s="106"/>
      <c r="X147" s="146"/>
      <c r="Y147" s="146"/>
      <c r="Z147" s="146"/>
      <c r="AA147" s="146"/>
      <c r="AB147" s="146"/>
    </row>
    <row r="148" spans="1:28" ht="15.75" thickBot="1" x14ac:dyDescent="0.3">
      <c r="A148" s="148"/>
      <c r="B148" s="54" t="s">
        <v>73</v>
      </c>
      <c r="C148" s="54"/>
      <c r="D148" s="20"/>
      <c r="E148" s="147"/>
      <c r="G148" s="81"/>
      <c r="I148" s="23"/>
      <c r="J148" s="23"/>
      <c r="K148" s="30">
        <f>K18</f>
        <v>1900</v>
      </c>
      <c r="L148" s="30">
        <f t="shared" ref="L148:Z148" si="39">+K148+1</f>
        <v>1901</v>
      </c>
      <c r="M148" s="30">
        <f t="shared" si="39"/>
        <v>1902</v>
      </c>
      <c r="N148" s="30">
        <f t="shared" si="39"/>
        <v>1903</v>
      </c>
      <c r="O148" s="30">
        <f t="shared" si="39"/>
        <v>1904</v>
      </c>
      <c r="P148" s="30">
        <f t="shared" si="39"/>
        <v>1905</v>
      </c>
      <c r="Q148" s="30">
        <f t="shared" si="39"/>
        <v>1906</v>
      </c>
      <c r="R148" s="30">
        <f t="shared" si="39"/>
        <v>1907</v>
      </c>
      <c r="S148" s="30">
        <f t="shared" si="39"/>
        <v>1908</v>
      </c>
      <c r="T148" s="30">
        <f t="shared" si="39"/>
        <v>1909</v>
      </c>
      <c r="U148" s="30">
        <f t="shared" si="39"/>
        <v>1910</v>
      </c>
      <c r="V148" s="30">
        <f t="shared" si="39"/>
        <v>1911</v>
      </c>
      <c r="W148" s="30">
        <f t="shared" si="39"/>
        <v>1912</v>
      </c>
      <c r="X148" s="30">
        <f t="shared" si="39"/>
        <v>1913</v>
      </c>
      <c r="Y148" s="30">
        <f t="shared" si="39"/>
        <v>1914</v>
      </c>
      <c r="Z148" s="30">
        <f t="shared" si="39"/>
        <v>1915</v>
      </c>
      <c r="AA148" s="30">
        <f t="shared" ref="AA148" si="40">+Z148+1</f>
        <v>1916</v>
      </c>
      <c r="AB148" s="461"/>
    </row>
    <row r="149" spans="1:28" ht="15.75" thickBot="1" x14ac:dyDescent="0.3">
      <c r="A149" s="1">
        <v>56</v>
      </c>
      <c r="B149" s="31" t="s">
        <v>74</v>
      </c>
      <c r="C149" s="53"/>
      <c r="D149" s="20"/>
      <c r="E149" s="147"/>
      <c r="F149" s="49"/>
      <c r="G149" s="34" t="s">
        <v>11</v>
      </c>
      <c r="H149" s="149"/>
      <c r="I149" s="35"/>
      <c r="J149" s="23"/>
      <c r="K149" s="150">
        <f t="shared" ref="K149:AA149" si="41">K26</f>
        <v>900</v>
      </c>
      <c r="L149" s="150">
        <f t="shared" si="41"/>
        <v>900</v>
      </c>
      <c r="M149" s="150">
        <f t="shared" si="41"/>
        <v>900</v>
      </c>
      <c r="N149" s="150">
        <f t="shared" si="41"/>
        <v>900</v>
      </c>
      <c r="O149" s="150">
        <f t="shared" si="41"/>
        <v>900</v>
      </c>
      <c r="P149" s="150">
        <f t="shared" si="41"/>
        <v>900</v>
      </c>
      <c r="Q149" s="150">
        <f t="shared" si="41"/>
        <v>900</v>
      </c>
      <c r="R149" s="150">
        <f t="shared" si="41"/>
        <v>900</v>
      </c>
      <c r="S149" s="150">
        <f t="shared" si="41"/>
        <v>900</v>
      </c>
      <c r="T149" s="150">
        <f t="shared" si="41"/>
        <v>900</v>
      </c>
      <c r="U149" s="150">
        <f t="shared" si="41"/>
        <v>900</v>
      </c>
      <c r="V149" s="150">
        <f t="shared" si="41"/>
        <v>900</v>
      </c>
      <c r="W149" s="150">
        <f t="shared" si="41"/>
        <v>900</v>
      </c>
      <c r="X149" s="150">
        <f t="shared" si="41"/>
        <v>900</v>
      </c>
      <c r="Y149" s="150">
        <f t="shared" si="41"/>
        <v>900</v>
      </c>
      <c r="Z149" s="150">
        <f t="shared" si="41"/>
        <v>0</v>
      </c>
      <c r="AA149" s="154">
        <f t="shared" si="41"/>
        <v>0</v>
      </c>
      <c r="AB149" s="462"/>
    </row>
    <row r="150" spans="1:28" ht="15" x14ac:dyDescent="0.25">
      <c r="B150" s="69"/>
      <c r="C150" s="69"/>
      <c r="D150" s="20"/>
      <c r="G150" s="81"/>
      <c r="I150" s="23"/>
      <c r="J150" s="23"/>
      <c r="K150" s="28"/>
      <c r="L150" s="23"/>
      <c r="M150" s="23"/>
      <c r="N150" s="23"/>
      <c r="O150" s="23"/>
      <c r="P150" s="23"/>
      <c r="Q150" s="23"/>
      <c r="R150" s="23"/>
      <c r="S150" s="23"/>
      <c r="T150" s="23"/>
      <c r="U150" s="23"/>
      <c r="V150" s="23"/>
      <c r="W150" s="23"/>
      <c r="X150" s="23"/>
      <c r="Y150" s="23"/>
      <c r="Z150" s="23"/>
      <c r="AA150" s="23"/>
      <c r="AB150" s="443"/>
    </row>
    <row r="151" spans="1:28" ht="15.75" thickBot="1" x14ac:dyDescent="0.3">
      <c r="B151" s="16" t="s">
        <v>75</v>
      </c>
      <c r="C151" s="16"/>
      <c r="D151" s="20"/>
      <c r="F151" s="63"/>
      <c r="G151" s="83"/>
      <c r="H151" s="68"/>
      <c r="I151" s="23"/>
      <c r="J151" s="23"/>
      <c r="K151" s="30"/>
      <c r="L151" s="30"/>
      <c r="M151" s="30"/>
      <c r="N151" s="30"/>
      <c r="O151" s="30"/>
      <c r="P151" s="30"/>
      <c r="Q151" s="30"/>
      <c r="R151" s="30"/>
      <c r="S151" s="30"/>
      <c r="T151" s="30"/>
      <c r="U151" s="30"/>
      <c r="V151" s="30"/>
      <c r="W151" s="30"/>
      <c r="X151" s="30"/>
      <c r="Y151" s="30"/>
      <c r="Z151" s="30"/>
      <c r="AA151" s="30"/>
      <c r="AB151" s="461"/>
    </row>
    <row r="152" spans="1:28" ht="15.75" thickBot="1" x14ac:dyDescent="0.3">
      <c r="A152" s="151">
        <v>57</v>
      </c>
      <c r="B152" s="601" t="s">
        <v>406</v>
      </c>
      <c r="C152" s="602"/>
      <c r="D152" s="24"/>
      <c r="E152" s="805" t="s">
        <v>21</v>
      </c>
      <c r="F152" s="69"/>
      <c r="G152" s="153"/>
      <c r="H152" s="454">
        <f>AVERAGE(K152:Z152)</f>
        <v>0</v>
      </c>
      <c r="I152" s="23"/>
      <c r="J152" s="23"/>
      <c r="K152" s="569">
        <f t="shared" ref="K152:AA152" si="42">K122</f>
        <v>0</v>
      </c>
      <c r="L152" s="569">
        <f t="shared" si="42"/>
        <v>0</v>
      </c>
      <c r="M152" s="569">
        <f t="shared" si="42"/>
        <v>0</v>
      </c>
      <c r="N152" s="569">
        <f t="shared" si="42"/>
        <v>0</v>
      </c>
      <c r="O152" s="569">
        <f t="shared" si="42"/>
        <v>0</v>
      </c>
      <c r="P152" s="569">
        <f t="shared" si="42"/>
        <v>0</v>
      </c>
      <c r="Q152" s="569">
        <f t="shared" si="42"/>
        <v>0</v>
      </c>
      <c r="R152" s="569">
        <f t="shared" si="42"/>
        <v>0</v>
      </c>
      <c r="S152" s="569">
        <f t="shared" si="42"/>
        <v>0</v>
      </c>
      <c r="T152" s="569">
        <f t="shared" si="42"/>
        <v>0</v>
      </c>
      <c r="U152" s="569">
        <f t="shared" si="42"/>
        <v>0</v>
      </c>
      <c r="V152" s="569">
        <f t="shared" si="42"/>
        <v>0</v>
      </c>
      <c r="W152" s="569">
        <f t="shared" si="42"/>
        <v>0</v>
      </c>
      <c r="X152" s="569">
        <f t="shared" si="42"/>
        <v>0</v>
      </c>
      <c r="Y152" s="569">
        <f t="shared" si="42"/>
        <v>0</v>
      </c>
      <c r="Z152" s="569">
        <f t="shared" si="42"/>
        <v>0</v>
      </c>
      <c r="AA152" s="569">
        <f t="shared" si="42"/>
        <v>0</v>
      </c>
      <c r="AB152" s="462"/>
    </row>
    <row r="153" spans="1:28" s="23" customFormat="1" ht="15.75" thickBot="1" x14ac:dyDescent="0.3">
      <c r="A153" s="151" t="s">
        <v>314</v>
      </c>
      <c r="B153" s="603" t="s">
        <v>407</v>
      </c>
      <c r="C153" s="604"/>
      <c r="D153" s="24"/>
      <c r="E153" s="806" t="s">
        <v>68</v>
      </c>
      <c r="F153" s="69"/>
      <c r="G153" s="153"/>
      <c r="H153" s="454">
        <f>AVERAGE(K153:Z153)</f>
        <v>0</v>
      </c>
      <c r="K153" s="570">
        <f t="shared" ref="K153:AA153" si="43">K132</f>
        <v>0</v>
      </c>
      <c r="L153" s="570">
        <f t="shared" si="43"/>
        <v>0</v>
      </c>
      <c r="M153" s="570">
        <f t="shared" si="43"/>
        <v>0</v>
      </c>
      <c r="N153" s="570">
        <f t="shared" si="43"/>
        <v>0</v>
      </c>
      <c r="O153" s="570">
        <f t="shared" si="43"/>
        <v>0</v>
      </c>
      <c r="P153" s="570">
        <f t="shared" si="43"/>
        <v>0</v>
      </c>
      <c r="Q153" s="570">
        <f t="shared" si="43"/>
        <v>0</v>
      </c>
      <c r="R153" s="570">
        <f t="shared" si="43"/>
        <v>0</v>
      </c>
      <c r="S153" s="570">
        <f t="shared" si="43"/>
        <v>0</v>
      </c>
      <c r="T153" s="570">
        <f t="shared" si="43"/>
        <v>0</v>
      </c>
      <c r="U153" s="570">
        <f t="shared" si="43"/>
        <v>0</v>
      </c>
      <c r="V153" s="570">
        <f t="shared" si="43"/>
        <v>0</v>
      </c>
      <c r="W153" s="570">
        <f t="shared" si="43"/>
        <v>0</v>
      </c>
      <c r="X153" s="570">
        <f t="shared" si="43"/>
        <v>0</v>
      </c>
      <c r="Y153" s="570">
        <f t="shared" si="43"/>
        <v>0</v>
      </c>
      <c r="Z153" s="570">
        <f t="shared" si="43"/>
        <v>0</v>
      </c>
      <c r="AA153" s="570">
        <f t="shared" si="43"/>
        <v>0</v>
      </c>
      <c r="AB153" s="462"/>
    </row>
    <row r="154" spans="1:28" ht="15.75" thickBot="1" x14ac:dyDescent="0.3">
      <c r="A154" s="131">
        <v>58</v>
      </c>
      <c r="B154" s="31"/>
      <c r="C154" s="32"/>
      <c r="D154" s="20"/>
      <c r="E154" s="155"/>
      <c r="F154" s="49"/>
      <c r="G154" s="34" t="s">
        <v>11</v>
      </c>
      <c r="H154" s="132"/>
      <c r="I154" s="23"/>
      <c r="J154" s="23"/>
      <c r="K154" s="154"/>
      <c r="L154" s="154"/>
      <c r="M154" s="154"/>
      <c r="N154" s="154"/>
      <c r="O154" s="154"/>
      <c r="P154" s="154"/>
      <c r="Q154" s="154"/>
      <c r="R154" s="154"/>
      <c r="S154" s="154"/>
      <c r="T154" s="154"/>
      <c r="U154" s="154"/>
      <c r="V154" s="154"/>
      <c r="W154" s="154"/>
      <c r="X154" s="154"/>
      <c r="Y154" s="154"/>
      <c r="Z154" s="154"/>
      <c r="AA154" s="154"/>
      <c r="AB154" s="462"/>
    </row>
    <row r="155" spans="1:28" ht="15" x14ac:dyDescent="0.25">
      <c r="B155" s="28"/>
      <c r="C155" s="28"/>
      <c r="D155" s="20"/>
      <c r="E155" s="23"/>
      <c r="G155" s="81"/>
      <c r="H155" s="63"/>
      <c r="I155" s="28"/>
      <c r="J155" s="23"/>
      <c r="K155" s="30"/>
      <c r="L155" s="30"/>
      <c r="M155" s="30"/>
      <c r="N155" s="30"/>
      <c r="O155" s="30"/>
      <c r="P155" s="30"/>
      <c r="Q155" s="30"/>
      <c r="R155" s="30"/>
      <c r="S155" s="30"/>
      <c r="T155" s="30"/>
      <c r="U155" s="30"/>
      <c r="V155" s="30"/>
      <c r="W155" s="30"/>
      <c r="X155" s="30"/>
      <c r="Y155" s="30"/>
      <c r="Z155" s="30"/>
      <c r="AA155" s="30"/>
      <c r="AB155" s="461"/>
    </row>
    <row r="156" spans="1:28" ht="15.75" thickBot="1" x14ac:dyDescent="0.3">
      <c r="B156" s="28" t="s">
        <v>77</v>
      </c>
      <c r="C156" s="28"/>
      <c r="D156" s="20"/>
      <c r="E156" s="23"/>
      <c r="F156" s="63"/>
      <c r="G156" s="83"/>
      <c r="I156" s="23"/>
      <c r="J156" s="23"/>
      <c r="K156" s="30"/>
      <c r="L156" s="30"/>
      <c r="M156" s="30"/>
      <c r="N156" s="30"/>
      <c r="O156" s="30"/>
      <c r="P156" s="30"/>
      <c r="Q156" s="30"/>
      <c r="R156" s="30"/>
      <c r="S156" s="30"/>
      <c r="T156" s="30"/>
      <c r="U156" s="30"/>
      <c r="V156" s="30"/>
      <c r="W156" s="30"/>
      <c r="X156" s="30"/>
      <c r="Y156" s="30"/>
      <c r="Z156" s="30"/>
      <c r="AA156" s="30"/>
      <c r="AB156" s="461"/>
    </row>
    <row r="157" spans="1:28" ht="15.75" thickBot="1" x14ac:dyDescent="0.3">
      <c r="A157" s="156">
        <v>59</v>
      </c>
      <c r="B157" s="601" t="s">
        <v>408</v>
      </c>
      <c r="C157" s="597"/>
      <c r="D157" s="20"/>
      <c r="E157" s="805" t="s">
        <v>21</v>
      </c>
      <c r="F157" s="63"/>
      <c r="G157" s="34" t="s">
        <v>11</v>
      </c>
      <c r="H157" s="454">
        <f>SUM($K157:$AB157)/$E$18</f>
        <v>0</v>
      </c>
      <c r="I157" s="304">
        <f>NPV($E$96,K157:AA157)*'Hulpberekeningen 1'!$P$32</f>
        <v>0</v>
      </c>
      <c r="J157" s="127"/>
      <c r="K157" s="571">
        <f t="shared" ref="K157:AA157" si="44">K27*K152</f>
        <v>0</v>
      </c>
      <c r="L157" s="571">
        <f t="shared" si="44"/>
        <v>0</v>
      </c>
      <c r="M157" s="571">
        <f t="shared" si="44"/>
        <v>0</v>
      </c>
      <c r="N157" s="571">
        <f t="shared" si="44"/>
        <v>0</v>
      </c>
      <c r="O157" s="571">
        <f t="shared" si="44"/>
        <v>0</v>
      </c>
      <c r="P157" s="571">
        <f t="shared" si="44"/>
        <v>0</v>
      </c>
      <c r="Q157" s="571">
        <f t="shared" si="44"/>
        <v>0</v>
      </c>
      <c r="R157" s="571">
        <f t="shared" si="44"/>
        <v>0</v>
      </c>
      <c r="S157" s="571">
        <f t="shared" si="44"/>
        <v>0</v>
      </c>
      <c r="T157" s="571">
        <f t="shared" si="44"/>
        <v>0</v>
      </c>
      <c r="U157" s="571">
        <f t="shared" si="44"/>
        <v>0</v>
      </c>
      <c r="V157" s="571">
        <f t="shared" si="44"/>
        <v>0</v>
      </c>
      <c r="W157" s="571">
        <f t="shared" si="44"/>
        <v>0</v>
      </c>
      <c r="X157" s="571">
        <f t="shared" si="44"/>
        <v>0</v>
      </c>
      <c r="Y157" s="571">
        <f t="shared" si="44"/>
        <v>0</v>
      </c>
      <c r="Z157" s="571">
        <f t="shared" si="44"/>
        <v>0</v>
      </c>
      <c r="AA157" s="571">
        <f t="shared" si="44"/>
        <v>0</v>
      </c>
      <c r="AB157" s="462"/>
    </row>
    <row r="158" spans="1:28" ht="15.75" thickBot="1" x14ac:dyDescent="0.3">
      <c r="A158" s="156">
        <v>60</v>
      </c>
      <c r="B158" s="603" t="s">
        <v>409</v>
      </c>
      <c r="C158" s="594"/>
      <c r="D158" s="20"/>
      <c r="E158" s="805" t="s">
        <v>68</v>
      </c>
      <c r="F158" s="63"/>
      <c r="G158" s="83"/>
      <c r="H158" s="454">
        <f>SUM($K158:$AB158)/$E$18</f>
        <v>0</v>
      </c>
      <c r="I158" s="304">
        <f>NPV($E$96,K158:AA158)*'Hulpberekeningen 1'!$P$32</f>
        <v>0</v>
      </c>
      <c r="J158" s="23"/>
      <c r="K158" s="568">
        <f t="shared" ref="K158:AA158" si="45">K28*K153</f>
        <v>0</v>
      </c>
      <c r="L158" s="568">
        <f t="shared" si="45"/>
        <v>0</v>
      </c>
      <c r="M158" s="568">
        <f t="shared" si="45"/>
        <v>0</v>
      </c>
      <c r="N158" s="568">
        <f t="shared" si="45"/>
        <v>0</v>
      </c>
      <c r="O158" s="568">
        <f t="shared" si="45"/>
        <v>0</v>
      </c>
      <c r="P158" s="568">
        <f t="shared" si="45"/>
        <v>0</v>
      </c>
      <c r="Q158" s="568">
        <f t="shared" si="45"/>
        <v>0</v>
      </c>
      <c r="R158" s="568">
        <f t="shared" si="45"/>
        <v>0</v>
      </c>
      <c r="S158" s="568">
        <f t="shared" si="45"/>
        <v>0</v>
      </c>
      <c r="T158" s="568">
        <f t="shared" si="45"/>
        <v>0</v>
      </c>
      <c r="U158" s="568">
        <f t="shared" si="45"/>
        <v>0</v>
      </c>
      <c r="V158" s="568">
        <f t="shared" si="45"/>
        <v>0</v>
      </c>
      <c r="W158" s="568">
        <f t="shared" si="45"/>
        <v>0</v>
      </c>
      <c r="X158" s="568">
        <f t="shared" si="45"/>
        <v>0</v>
      </c>
      <c r="Y158" s="568">
        <f t="shared" si="45"/>
        <v>0</v>
      </c>
      <c r="Z158" s="568">
        <f t="shared" si="45"/>
        <v>0</v>
      </c>
      <c r="AA158" s="568">
        <f t="shared" si="45"/>
        <v>0</v>
      </c>
      <c r="AB158" s="462"/>
    </row>
    <row r="159" spans="1:28" ht="15.75" thickBot="1" x14ac:dyDescent="0.3">
      <c r="A159" s="157"/>
      <c r="B159" s="16" t="s">
        <v>78</v>
      </c>
      <c r="C159" s="16"/>
      <c r="D159" s="20"/>
      <c r="E159" s="23"/>
      <c r="F159" s="23"/>
      <c r="G159" s="51"/>
      <c r="H159" s="23"/>
      <c r="I159" s="304"/>
      <c r="J159" s="23"/>
      <c r="K159" s="48"/>
      <c r="L159" s="48"/>
      <c r="AB159" s="332"/>
    </row>
    <row r="160" spans="1:28" ht="15.75" thickBot="1" x14ac:dyDescent="0.3">
      <c r="A160" s="156">
        <v>61</v>
      </c>
      <c r="B160" s="31" t="s">
        <v>79</v>
      </c>
      <c r="C160" s="32"/>
      <c r="D160" s="20"/>
      <c r="E160" s="155"/>
      <c r="F160" s="49"/>
      <c r="G160" s="34" t="s">
        <v>11</v>
      </c>
      <c r="H160" s="454">
        <f>SUM($K160:$AB160)/$E$18</f>
        <v>17571.851791729048</v>
      </c>
      <c r="I160" s="304">
        <f>NPV($E$96,K160:AA160)*'Hulpberekeningen 1'!$P$32</f>
        <v>263577.77687593573</v>
      </c>
      <c r="J160" s="23"/>
      <c r="K160" s="305" cm="1">
        <f t="array" ref="K160">IF(YEAR($E$43)&gt;K18,0,
IF(AND(YEAR($E$43)=K18,$E$43&gt;$E$44),(1-(MONTH($E$43)-1)/12)*SUMPRODUCT((Stamblad!$A$3:$A$20=Invoerblad!$E$14)*(Stamblad!$B$2:$I$2=LEFT(Invoerblad!$E$13,5))*Stamblad!$B$3:$I$20)*$E$16,
'Hulpberekeningen 1'!E24*SUMPRODUCT((Stamblad!$A$3:$A$20=Invoerblad!$E$14)*(Stamblad!$B$2:$I$2=LEFT(Invoerblad!$E$13,5))*Stamblad!$B$3:$I$20)*$E$16))</f>
        <v>15800</v>
      </c>
      <c r="L160" s="305" cm="1">
        <f t="array" ref="L160">IF(YEAR($E$43)&gt;L18,0,
IF(AND(YEAR($E$43)=L18,$E$43&gt;$E$44),(1-(MONTH($E$43)-1)/12)*SUMPRODUCT((Stamblad!$A$3:$A$20=Invoerblad!$E$14)*(Stamblad!$B$2:$I$2=LEFT(Invoerblad!$E$13,5))*Stamblad!$B$3:$I$20)*$E$16*POWER(1+SUMPRODUCT((Stamblad!$B$82:$I$82=LEFT(Invoerblad!$E$13,5))*Stamblad!$B$89:$I$89),1),
'Hulpberekeningen 1'!F24*SUMPRODUCT((Stamblad!$A$3:$A$20=Invoerblad!$E$14)*(Stamblad!$B$2:$I$2=LEFT(Invoerblad!$E$13,5))*Stamblad!$B$3:$I$20)*$E$16*POWER(1+SUMPRODUCT((Stamblad!$B$82:$I$82=LEFT(Invoerblad!$E$13,5))*Stamblad!$B$89:$I$89),1)))</f>
        <v>16036.999999999998</v>
      </c>
      <c r="M160" s="305" cm="1">
        <f t="array" ref="M160">IF(YEAR($E$43)&gt;M18,0,
IF(AND(YEAR($E$43)=M18,$E$43&gt;$E$44),(1-(MONTH($E$43)-1)/12)*SUMPRODUCT((Stamblad!$A$3:$A$20=Invoerblad!$E$14)*(Stamblad!$B$2:$I$2=LEFT(Invoerblad!$E$13,5))*Stamblad!$B$3:$I$20)*$E$16*POWER(1+SUMPRODUCT((Stamblad!$B$82:$I$82=LEFT(Invoerblad!$E$13,5))*Stamblad!$B$89:$I$89),2),
'Hulpberekeningen 1'!G24*SUMPRODUCT((Stamblad!$A$3:$A$20=Invoerblad!$E$14)*(Stamblad!$B$2:$I$2=LEFT(Invoerblad!$E$13,5))*Stamblad!$B$3:$I$20)*$E$16*POWER(1+SUMPRODUCT((Stamblad!$B$82:$I$82=LEFT(Invoerblad!$E$13,5))*Stamblad!$B$89:$I$89),2)))</f>
        <v>16277.554999999995</v>
      </c>
      <c r="N160" s="305" cm="1">
        <f t="array" ref="N160">SUMPRODUCT((Stamblad!$A$3:$A$20=Invoerblad!$E$14)*(Stamblad!$B$2:$I$2=LEFT(Invoerblad!$E$13,5))*Stamblad!$B$3:$I$20)*$E$16*POWER(1+SUMPRODUCT((Stamblad!$B$82:$I$82=LEFT(Invoerblad!$E$13,5))*Stamblad!$B$89:$I$89),3)</f>
        <v>16521.718324999994</v>
      </c>
      <c r="O160" s="305" cm="1">
        <f t="array" ref="O160">SUMPRODUCT((Stamblad!$A$3:$A$20=Invoerblad!$E$14)*(Stamblad!$B$2:$I$2=LEFT(Invoerblad!$E$13,5))*Stamblad!$B$3:$I$20)*$E$16*POWER(1+SUMPRODUCT((Stamblad!$B$82:$I$82=LEFT(Invoerblad!$E$13,5))*Stamblad!$B$89:$I$89),4)</f>
        <v>16769.544099874991</v>
      </c>
      <c r="P160" s="305" cm="1">
        <f t="array" ref="P160">SUMPRODUCT((Stamblad!$A$3:$A$20=Invoerblad!$E$14)*(Stamblad!$B$2:$I$2=LEFT(Invoerblad!$E$13,5))*Stamblad!$B$3:$I$20)*$E$16*POWER(1+SUMPRODUCT((Stamblad!$B$82:$I$82=LEFT(Invoerblad!$E$13,5))*Stamblad!$B$89:$I$89),5)</f>
        <v>17021.087261373115</v>
      </c>
      <c r="Q160" s="305" cm="1">
        <f t="array" ref="Q160">SUMPRODUCT((Stamblad!$A$3:$A$20=Invoerblad!$E$14)*(Stamblad!$B$2:$I$2=LEFT(Invoerblad!$E$13,5))*Stamblad!$B$3:$I$20)*$E$16*POWER(1+SUMPRODUCT((Stamblad!$B$82:$I$82=LEFT(Invoerblad!$E$13,5))*Stamblad!$B$89:$I$89),6)</f>
        <v>17276.403570293707</v>
      </c>
      <c r="R160" s="305" cm="1">
        <f t="array" ref="R160">SUMPRODUCT((Stamblad!$A$3:$A$20=Invoerblad!$E$14)*(Stamblad!$B$2:$I$2=LEFT(Invoerblad!$E$13,5))*Stamblad!$B$3:$I$20)*$E$16*POWER(1+SUMPRODUCT((Stamblad!$B$82:$I$82=LEFT(Invoerblad!$E$13,5))*Stamblad!$B$89:$I$89),7)</f>
        <v>17535.54962384811</v>
      </c>
      <c r="S160" s="305" cm="1">
        <f t="array" ref="S160">SUMPRODUCT((Stamblad!$A$3:$A$20=Invoerblad!$E$14)*(Stamblad!$B$2:$I$2=LEFT(Invoerblad!$E$13,5))*Stamblad!$B$3:$I$20)*$E$16*POWER(1+SUMPRODUCT((Stamblad!$B$82:$I$82=LEFT(Invoerblad!$E$13,5))*Stamblad!$B$89:$I$89),8)</f>
        <v>17798.582868205831</v>
      </c>
      <c r="T160" s="305" cm="1">
        <f t="array" ref="T160">SUMPRODUCT((Stamblad!$A$3:$A$20=Invoerblad!$E$14)*(Stamblad!$B$2:$I$2=LEFT(Invoerblad!$E$13,5))*Stamblad!$B$3:$I$20)*$E$16*POWER(1+SUMPRODUCT((Stamblad!$B$82:$I$82=LEFT(Invoerblad!$E$13,5))*Stamblad!$B$89:$I$89),9)</f>
        <v>18065.561611228914</v>
      </c>
      <c r="U160" s="305" cm="1">
        <f t="array" ref="U160">SUMPRODUCT((Stamblad!$A$3:$A$20=Invoerblad!$E$14)*(Stamblad!$B$2:$I$2=LEFT(Invoerblad!$E$13,5))*Stamblad!$B$3:$I$20)*$E$16*POWER(1+SUMPRODUCT((Stamblad!$B$82:$I$82=LEFT(Invoerblad!$E$13,5))*Stamblad!$B$89:$I$89),10)</f>
        <v>18336.545035397347</v>
      </c>
      <c r="V160" s="305" cm="1">
        <f t="array" ref="V160">SUMPRODUCT((Stamblad!$A$3:$A$20=Invoerblad!$E$14)*(Stamblad!$B$2:$I$2=LEFT(Invoerblad!$E$13,5))*Stamblad!$B$3:$I$20)*$E$16*POWER(1+SUMPRODUCT((Stamblad!$B$82:$I$82=LEFT(Invoerblad!$E$13,5))*Stamblad!$B$89:$I$89),11)</f>
        <v>18611.593210928306</v>
      </c>
      <c r="W160" s="305" cm="1">
        <f t="array" ref="W160">SUMPRODUCT((Stamblad!$A$3:$A$20=Invoerblad!$E$14)*(Stamblad!$B$2:$I$2=LEFT(Invoerblad!$E$13,5))*Stamblad!$B$3:$I$20)*$E$16*POWER(1+SUMPRODUCT((Stamblad!$B$82:$I$82=LEFT(Invoerblad!$E$13,5))*Stamblad!$B$89:$I$89),12)</f>
        <v>18890.767109092227</v>
      </c>
      <c r="X160" s="305" cm="1">
        <f t="array" ref="X160">SUMPRODUCT((Stamblad!$A$3:$A$20=Invoerblad!$E$14)*(Stamblad!$B$2:$I$2=LEFT(Invoerblad!$E$13,5))*Stamblad!$B$3:$I$20)*$E$16*POWER(1+SUMPRODUCT((Stamblad!$B$82:$I$82=LEFT(Invoerblad!$E$13,5))*Stamblad!$B$89:$I$89),13)</f>
        <v>19174.128615728609</v>
      </c>
      <c r="Y160" s="305" cm="1">
        <f t="array" ref="Y160">SUMPRODUCT((Stamblad!$A$3:$A$20=Invoerblad!$E$14)*(Stamblad!$B$2:$I$2=LEFT(Invoerblad!$E$13,5))*Stamblad!$B$3:$I$20)*$E$16*POWER(1+SUMPRODUCT((Stamblad!$B$82:$I$82=LEFT(Invoerblad!$E$13,5))*Stamblad!$B$89:$I$89),14)</f>
        <v>19461.74054496453</v>
      </c>
      <c r="Z160" s="305" cm="1">
        <f t="array" ref="Z160">SUMPRODUCT((Stamblad!$A$3:$A$20=Invoerblad!$E$14)*(Stamblad!$B$2:$I$2=LEFT(Invoerblad!$E$13,5))*Stamblad!$B$3:$I$20)*$E$16*(Z19/$E$19)*POWER(1+SUMPRODUCT((Stamblad!$B$82:$I$82=LEFT(Invoerblad!$E$13,5))*Stamblad!$B$89:$I$89),15)</f>
        <v>0</v>
      </c>
      <c r="AA160" s="305" cm="1">
        <f t="array" ref="AA160">SUMPRODUCT((Stamblad!$A$3:$A$20=Invoerblad!$E$14)*(Stamblad!$B$2:$I$2=LEFT(Invoerblad!$E$13,5))*Stamblad!$B$3:$I$20)*$E$16*(AA19/$E$19)*POWER(1+SUMPRODUCT((Stamblad!$B$82:$I$82=LEFT(Invoerblad!$E$13,5))*Stamblad!$B$89:$I$89),16)</f>
        <v>0</v>
      </c>
      <c r="AB160" s="463"/>
    </row>
    <row r="161" spans="1:28" ht="15.75" thickBot="1" x14ac:dyDescent="0.3">
      <c r="A161" s="156">
        <v>62</v>
      </c>
      <c r="B161" s="31" t="s">
        <v>80</v>
      </c>
      <c r="C161" s="32"/>
      <c r="D161" s="20"/>
      <c r="E161" s="155"/>
      <c r="F161" s="49"/>
      <c r="G161" s="34" t="s">
        <v>11</v>
      </c>
      <c r="H161" s="454">
        <f>SUM($K161:$AB161)/$E$18</f>
        <v>1901.7637065732072</v>
      </c>
      <c r="I161" s="304">
        <f>NPV($E$96,K161:AA161)*'Hulpberekeningen 1'!$P$32</f>
        <v>28526.455598598106</v>
      </c>
      <c r="J161" s="23"/>
      <c r="K161" s="305">
        <f>SUMPRODUCT((Stamblad!$A$23:$A$40=Invoerblad!$E$14)*(Stamblad!$B$22:$I$22=LEFT(Invoerblad!$E$13,5))*Stamblad!$B$23:$I$40)*K149</f>
        <v>1710</v>
      </c>
      <c r="L161" s="305" cm="1">
        <f t="array" ref="L161">SUMPRODUCT((Stamblad!$A$23:$A$40=Invoerblad!$E$14)*(Stamblad!$B$22:$I$22=LEFT(Invoerblad!$E$13,5))*Stamblad!$B$23:$I$40)*L149*POWER(1+SUMPRODUCT((Stamblad!$B$82:$I$82=LEFT(Invoerblad!$E$13,5))*Stamblad!$B$89:$I$89),1)</f>
        <v>1735.6499999999999</v>
      </c>
      <c r="M161" s="305" cm="1">
        <f t="array" ref="M161">SUMPRODUCT((Stamblad!$A$23:$A$40=Invoerblad!$E$14)*(Stamblad!$B$22:$I$22=LEFT(Invoerblad!$E$13,5))*Stamblad!$B$23:$I$40)*M149*POWER(1+SUMPRODUCT((Stamblad!$B$82:$I$82=LEFT(Invoerblad!$E$13,5))*Stamblad!$B$89:$I$89),2)</f>
        <v>1761.6847499999994</v>
      </c>
      <c r="N161" s="305" cm="1">
        <f t="array" ref="N161">SUMPRODUCT((Stamblad!$A$23:$A$40=Invoerblad!$E$14)*(Stamblad!$B$22:$I$22=LEFT(Invoerblad!$E$13,5))*Stamblad!$B$23:$I$40)*N149*POWER(1+SUMPRODUCT((Stamblad!$B$82:$I$82=LEFT(Invoerblad!$E$13,5))*Stamblad!$B$89:$I$89),3)</f>
        <v>1788.1100212499994</v>
      </c>
      <c r="O161" s="305" cm="1">
        <f t="array" ref="O161">SUMPRODUCT((Stamblad!$A$23:$A$40=Invoerblad!$E$14)*(Stamblad!$B$22:$I$22=LEFT(Invoerblad!$E$13,5))*Stamblad!$B$23:$I$40)*O149*POWER(1+SUMPRODUCT((Stamblad!$B$82:$I$82=LEFT(Invoerblad!$E$13,5))*Stamblad!$B$89:$I$89),4)</f>
        <v>1814.9316715687489</v>
      </c>
      <c r="P161" s="305" cm="1">
        <f t="array" ref="P161">SUMPRODUCT((Stamblad!$A$23:$A$40=Invoerblad!$E$14)*(Stamblad!$B$22:$I$22=LEFT(Invoerblad!$E$13,5))*Stamblad!$B$23:$I$40)*P149*POWER(1+SUMPRODUCT((Stamblad!$B$82:$I$82=LEFT(Invoerblad!$E$13,5))*Stamblad!$B$89:$I$89),5)</f>
        <v>1842.1556466422801</v>
      </c>
      <c r="Q161" s="305" cm="1">
        <f t="array" ref="Q161">SUMPRODUCT((Stamblad!$A$23:$A$40=Invoerblad!$E$14)*(Stamblad!$B$22:$I$22=LEFT(Invoerblad!$E$13,5))*Stamblad!$B$23:$I$40)*Q149*POWER(1+SUMPRODUCT((Stamblad!$B$82:$I$82=LEFT(Invoerblad!$E$13,5))*Stamblad!$B$89:$I$89),6)</f>
        <v>1869.7879813419138</v>
      </c>
      <c r="R161" s="305" cm="1">
        <f t="array" ref="R161">SUMPRODUCT((Stamblad!$A$23:$A$40=Invoerblad!$E$14)*(Stamblad!$B$22:$I$22=LEFT(Invoerblad!$E$13,5))*Stamblad!$B$23:$I$40)*R149*POWER(1+SUMPRODUCT((Stamblad!$B$82:$I$82=LEFT(Invoerblad!$E$13,5))*Stamblad!$B$89:$I$89),7)</f>
        <v>1897.8348010620423</v>
      </c>
      <c r="S161" s="305" cm="1">
        <f t="array" ref="S161">SUMPRODUCT((Stamblad!$A$23:$A$40=Invoerblad!$E$14)*(Stamblad!$B$22:$I$22=LEFT(Invoerblad!$E$13,5))*Stamblad!$B$23:$I$40)*S149*POWER(1+SUMPRODUCT((Stamblad!$B$82:$I$82=LEFT(Invoerblad!$E$13,5))*Stamblad!$B$89:$I$89),8)</f>
        <v>1926.3023230779727</v>
      </c>
      <c r="T161" s="305" cm="1">
        <f t="array" ref="T161">SUMPRODUCT((Stamblad!$A$23:$A$40=Invoerblad!$E$14)*(Stamblad!$B$22:$I$22=LEFT(Invoerblad!$E$13,5))*Stamblad!$B$23:$I$40)*T149*POWER(1+SUMPRODUCT((Stamblad!$B$82:$I$82=LEFT(Invoerblad!$E$13,5))*Stamblad!$B$89:$I$89),9)</f>
        <v>1955.196857924142</v>
      </c>
      <c r="U161" s="305" cm="1">
        <f t="array" ref="U161">SUMPRODUCT((Stamblad!$A$23:$A$40=Invoerblad!$E$14)*(Stamblad!$B$22:$I$22=LEFT(Invoerblad!$E$13,5))*Stamblad!$B$23:$I$40)*U149*POWER(1+SUMPRODUCT((Stamblad!$B$82:$I$82=LEFT(Invoerblad!$E$13,5))*Stamblad!$B$89:$I$89),10)</f>
        <v>1984.524810793004</v>
      </c>
      <c r="V161" s="305" cm="1">
        <f t="array" ref="V161">SUMPRODUCT((Stamblad!$A$23:$A$40=Invoerblad!$E$14)*(Stamblad!$B$22:$I$22=LEFT(Invoerblad!$E$13,5))*Stamblad!$B$23:$I$40)*V149*POWER(1+SUMPRODUCT((Stamblad!$B$82:$I$82=LEFT(Invoerblad!$E$13,5))*Stamblad!$B$89:$I$89),11)</f>
        <v>2014.2926829548987</v>
      </c>
      <c r="W161" s="305" cm="1">
        <f t="array" ref="W161">SUMPRODUCT((Stamblad!$A$23:$A$40=Invoerblad!$E$14)*(Stamblad!$B$22:$I$22=LEFT(Invoerblad!$E$13,5))*Stamblad!$B$23:$I$40)*W149*POWER(1+SUMPRODUCT((Stamblad!$B$82:$I$82=LEFT(Invoerblad!$E$13,5))*Stamblad!$B$89:$I$89),12)</f>
        <v>2044.5070731992218</v>
      </c>
      <c r="X161" s="305" cm="1">
        <f t="array" ref="X161">SUMPRODUCT((Stamblad!$A$23:$A$40=Invoerblad!$E$14)*(Stamblad!$B$22:$I$22=LEFT(Invoerblad!$E$13,5))*Stamblad!$B$23:$I$40)*X149*POWER(1+SUMPRODUCT((Stamblad!$B$82:$I$82=LEFT(Invoerblad!$E$13,5))*Stamblad!$B$89:$I$89),13)</f>
        <v>2075.1746792972099</v>
      </c>
      <c r="Y161" s="305" cm="1">
        <f t="array" ref="Y161">SUMPRODUCT((Stamblad!$A$23:$A$40=Invoerblad!$E$14)*(Stamblad!$B$22:$I$22=LEFT(Invoerblad!$E$13,5))*Stamblad!$B$23:$I$40)*Y149*POWER(1+SUMPRODUCT((Stamblad!$B$82:$I$82=LEFT(Invoerblad!$E$13,5))*Stamblad!$B$89:$I$89),14)</f>
        <v>2106.3022994866678</v>
      </c>
      <c r="Z161" s="305" cm="1">
        <f t="array" ref="Z161">SUMPRODUCT((Stamblad!$A$23:$A$40=Invoerblad!$E$14)*(Stamblad!$B$22:$I$22=LEFT(Invoerblad!$E$13,5))*Stamblad!$B$23:$I$40)*Z149*POWER(1+SUMPRODUCT((Stamblad!$B$82:$I$82=LEFT(Invoerblad!$E$13,5))*Stamblad!$B$89:$I$89),15)</f>
        <v>0</v>
      </c>
      <c r="AA161" s="305" cm="1">
        <f t="array" ref="AA161">SUMPRODUCT((Stamblad!$A$23:$A$40=Invoerblad!$E$14)*(Stamblad!$B$22:$I$22=LEFT(Invoerblad!$E$13,5))*Stamblad!$B$23:$I$40)*AA149*POWER(1+SUMPRODUCT((Stamblad!$B$82:$I$82=LEFT(Invoerblad!$E$13,5))*Stamblad!$B$89:$I$89),16)</f>
        <v>0</v>
      </c>
      <c r="AB161" s="463"/>
    </row>
    <row r="162" spans="1:28" s="3" customFormat="1" ht="15.75" thickBot="1" x14ac:dyDescent="0.3">
      <c r="A162" s="156">
        <v>63</v>
      </c>
      <c r="B162" s="152" t="s">
        <v>257</v>
      </c>
      <c r="C162" s="53"/>
      <c r="D162" s="24"/>
      <c r="E162" s="158"/>
      <c r="F162" s="135"/>
      <c r="G162" s="34" t="s">
        <v>11</v>
      </c>
      <c r="H162" s="478"/>
      <c r="I162" s="304">
        <f>NPV($E$96,K162:AA162)*'Hulpberekeningen 1'!$P$32</f>
        <v>20025.131935808935</v>
      </c>
      <c r="J162" s="23"/>
      <c r="K162" s="305"/>
      <c r="L162" s="305"/>
      <c r="M162" s="305"/>
      <c r="N162" s="305"/>
      <c r="O162" s="305"/>
      <c r="P162" s="305"/>
      <c r="Q162" s="305"/>
      <c r="R162" s="305"/>
      <c r="S162" s="305"/>
      <c r="T162" s="305"/>
      <c r="U162" s="305"/>
      <c r="V162" s="305" cm="1">
        <f t="array" ref="V162">SUMPRODUCT((Stamblad!$A$43:$A$60=Invoerblad!$E$14)*(Stamblad!$B$42:$H$42=LEFT(Invoerblad!$E$13,5))*Stamblad!$B$43:$H$60)*$E$16*'Hulpberekeningen 1'!P24*POWER(1+SUMPRODUCT((Stamblad!$B$82:$I$82=LEFT(Invoerblad!$E$13,5))*Stamblad!$B$89:$I$89),11)</f>
        <v>20025.131935808935</v>
      </c>
      <c r="W162" s="305"/>
      <c r="X162" s="305"/>
      <c r="Y162" s="305"/>
      <c r="Z162" s="305"/>
      <c r="AA162" s="305"/>
      <c r="AB162" s="463"/>
    </row>
    <row r="163" spans="1:28" ht="15.75" thickBot="1" x14ac:dyDescent="0.3">
      <c r="A163" s="156">
        <v>64</v>
      </c>
      <c r="B163" s="31"/>
      <c r="C163" s="32"/>
      <c r="D163" s="20"/>
      <c r="E163" s="155"/>
      <c r="F163" s="49"/>
      <c r="G163" s="34" t="s">
        <v>11</v>
      </c>
      <c r="H163" s="23"/>
      <c r="I163" s="154">
        <f>NPV($E$96,K163:AA163)*'Hulpberekeningen 1'!$P$32</f>
        <v>0</v>
      </c>
      <c r="J163" s="23"/>
      <c r="K163" s="159"/>
      <c r="L163" s="159"/>
      <c r="M163" s="159"/>
      <c r="N163" s="159"/>
      <c r="O163" s="159"/>
      <c r="P163" s="159"/>
      <c r="Q163" s="159"/>
      <c r="R163" s="159"/>
      <c r="S163" s="159"/>
      <c r="T163" s="159"/>
      <c r="U163" s="159"/>
      <c r="V163" s="159"/>
      <c r="W163" s="159"/>
      <c r="X163" s="159"/>
      <c r="Y163" s="159"/>
      <c r="Z163" s="159"/>
      <c r="AA163" s="159"/>
      <c r="AB163" s="464"/>
    </row>
    <row r="164" spans="1:28" ht="15.75" customHeight="1" x14ac:dyDescent="0.25">
      <c r="B164" s="69"/>
      <c r="C164" s="69"/>
      <c r="D164" s="69"/>
      <c r="E164" s="147"/>
      <c r="F164" s="23"/>
      <c r="G164" s="51"/>
      <c r="H164" s="23"/>
      <c r="I164" s="23"/>
      <c r="J164" s="23"/>
      <c r="K164" s="23"/>
      <c r="L164" s="24"/>
      <c r="AB164" s="332"/>
    </row>
    <row r="165" spans="1:28" ht="15.75" thickBot="1" x14ac:dyDescent="0.3">
      <c r="B165" s="477" t="s">
        <v>389</v>
      </c>
      <c r="C165" s="69"/>
      <c r="D165" s="69"/>
      <c r="E165" s="147"/>
      <c r="F165" s="23"/>
      <c r="G165" s="51"/>
      <c r="H165" s="23"/>
      <c r="I165" s="23"/>
      <c r="J165" s="23"/>
      <c r="K165" s="23"/>
      <c r="L165" s="24"/>
      <c r="M165" s="160"/>
      <c r="AB165" s="332"/>
    </row>
    <row r="166" spans="1:28" ht="15.75" thickBot="1" x14ac:dyDescent="0.3">
      <c r="B166" s="675" t="str">
        <f ca="1">IF(ROUND('Overzicht MSK toets'!E56,3)&gt;=Invoerblad!E100,"Uitbetaalde subsidie (nominaal in euro/jaar en totaal NCW)","N.v.t.")</f>
        <v>Uitbetaalde subsidie (nominaal in euro/jaar en totaal NCW)</v>
      </c>
      <c r="C166" s="527"/>
      <c r="E166" s="323"/>
      <c r="F166" s="23"/>
      <c r="G166" s="51"/>
      <c r="H166" s="23"/>
      <c r="I166" s="556">
        <f ca="1">IF(ROUND('Overzicht MSK toets'!E56,3)&gt;=Invoerblad!E100,NPV($E$96,K166:AA166)*'Hulpberekeningen 1'!$P$32,"N.v.t.")</f>
        <v>0</v>
      </c>
      <c r="J166" s="24"/>
      <c r="K166" s="305">
        <f ca="1">K130+K140</f>
        <v>0</v>
      </c>
      <c r="L166" s="305">
        <f t="shared" ref="L166:AA166" ca="1" si="46">L130+L140</f>
        <v>0</v>
      </c>
      <c r="M166" s="305">
        <f t="shared" ca="1" si="46"/>
        <v>0</v>
      </c>
      <c r="N166" s="305">
        <f t="shared" ca="1" si="46"/>
        <v>0</v>
      </c>
      <c r="O166" s="305">
        <f t="shared" ca="1" si="46"/>
        <v>0</v>
      </c>
      <c r="P166" s="305">
        <f t="shared" ca="1" si="46"/>
        <v>0</v>
      </c>
      <c r="Q166" s="305">
        <f t="shared" ca="1" si="46"/>
        <v>0</v>
      </c>
      <c r="R166" s="305">
        <f t="shared" ca="1" si="46"/>
        <v>0</v>
      </c>
      <c r="S166" s="305">
        <f t="shared" ca="1" si="46"/>
        <v>0</v>
      </c>
      <c r="T166" s="305">
        <f t="shared" ca="1" si="46"/>
        <v>0</v>
      </c>
      <c r="U166" s="305">
        <f t="shared" ca="1" si="46"/>
        <v>0</v>
      </c>
      <c r="V166" s="305">
        <f t="shared" ca="1" si="46"/>
        <v>0</v>
      </c>
      <c r="W166" s="305">
        <f t="shared" ca="1" si="46"/>
        <v>0</v>
      </c>
      <c r="X166" s="305">
        <f t="shared" ca="1" si="46"/>
        <v>0</v>
      </c>
      <c r="Y166" s="305">
        <f t="shared" ca="1" si="46"/>
        <v>0</v>
      </c>
      <c r="Z166" s="305">
        <f t="shared" ca="1" si="46"/>
        <v>0</v>
      </c>
      <c r="AA166" s="305">
        <f t="shared" ca="1" si="46"/>
        <v>0</v>
      </c>
      <c r="AB166" s="332"/>
    </row>
    <row r="167" spans="1:28" ht="15.75" thickBot="1" x14ac:dyDescent="0.3">
      <c r="B167" s="320" t="str">
        <f ca="1">IF(ROUND('Overzicht MSK toets'!E56,3)&gt;=Invoerblad!E100,"Toegestane SDE-inkomsten (NCW)","N.v.t.")</f>
        <v>Toegestane SDE-inkomsten (NCW)</v>
      </c>
      <c r="C167" s="528"/>
      <c r="F167" s="23"/>
      <c r="G167" s="51"/>
      <c r="H167" s="23"/>
      <c r="I167" s="556">
        <f ca="1">IF(ROUND('Overzicht MSK toets'!E56,3)&gt;=Invoerblad!E100,'Overzicht MSK toets'!E60,"N.v.t.")</f>
        <v>0</v>
      </c>
      <c r="J167" s="24"/>
      <c r="K167" s="7"/>
      <c r="L167" s="7"/>
      <c r="M167" s="7"/>
      <c r="N167" s="7"/>
      <c r="O167" s="7"/>
      <c r="P167" s="7"/>
      <c r="T167" s="139"/>
      <c r="AB167" s="332"/>
    </row>
    <row r="168" spans="1:28" ht="15.75" thickBot="1" x14ac:dyDescent="0.3">
      <c r="B168" s="320" t="str">
        <f ca="1">IF(ROUND('Overzicht MSK toets'!E56,3)&gt;=Invoerblad!E100,"Teveel uitbetaalde subsidie (NCW)","N.v.t.")</f>
        <v>Teveel uitbetaalde subsidie (NCW)</v>
      </c>
      <c r="C168" s="528"/>
      <c r="E168" s="161"/>
      <c r="F168" s="23"/>
      <c r="G168" s="51"/>
      <c r="H168" s="23"/>
      <c r="I168" s="556">
        <f ca="1">IF(ROUND('Overzicht MSK toets'!E56,3)&gt;=Invoerblad!E100,I166-I167,"N.v.t.")</f>
        <v>0</v>
      </c>
      <c r="J168" s="24"/>
      <c r="K168" s="162"/>
      <c r="L168" s="7"/>
      <c r="M168" s="7"/>
      <c r="N168" s="7"/>
      <c r="O168" s="7"/>
      <c r="P168" s="7"/>
      <c r="T168" s="139"/>
      <c r="AB168" s="332"/>
    </row>
    <row r="169" spans="1:28" s="3" customFormat="1" ht="15.75" thickBot="1" x14ac:dyDescent="0.3">
      <c r="A169" s="136"/>
      <c r="B169" s="320" t="str">
        <f ca="1">IF(ROUND('Overzicht MSK toets'!E56,3)&gt;=Invoerblad!E100,"Maand midden van bouwperiode voor berekening netto contante waarde (NCW)","N.v.t.")</f>
        <v>Maand midden van bouwperiode voor berekening netto contante waarde (NCW)</v>
      </c>
      <c r="C169" s="528"/>
      <c r="E169" s="161"/>
      <c r="F169" s="23"/>
      <c r="G169" s="51"/>
      <c r="H169" s="23"/>
      <c r="I169" s="677">
        <f>E45</f>
        <v>0</v>
      </c>
      <c r="J169" s="24"/>
      <c r="K169" s="607" t="str">
        <f>IF(AND(ISEVEN(E54)=FALSE,E54&gt;12),"Berekening midden bouwtijd wordt bij oneven aantal maanden bouwtijd &gt; 12 afgerond naar eerste dag van de volgende maand","")</f>
        <v/>
      </c>
      <c r="L169" s="557"/>
      <c r="M169" s="557"/>
      <c r="N169" s="7"/>
      <c r="O169" s="7"/>
      <c r="P169" s="7"/>
      <c r="T169" s="139"/>
      <c r="AB169" s="332"/>
    </row>
    <row r="170" spans="1:28" s="3" customFormat="1" ht="15.75" thickBot="1" x14ac:dyDescent="0.3">
      <c r="A170" s="136"/>
      <c r="B170" s="320" t="str">
        <f ca="1">IF(ROUND('Overzicht MSK toets'!E56,3)&gt;=Invoerblad!E100,"Maand waarin wordt teruggevorderd","N.v.t.")</f>
        <v>Maand waarin wordt teruggevorderd</v>
      </c>
      <c r="C170" s="528"/>
      <c r="E170" s="619"/>
      <c r="G170" s="51"/>
      <c r="I170" s="678">
        <v>44562</v>
      </c>
      <c r="J170" s="24"/>
      <c r="K170" s="162"/>
      <c r="L170" s="7"/>
      <c r="M170" s="7"/>
      <c r="N170" s="7"/>
      <c r="O170" s="7"/>
      <c r="P170" s="7"/>
      <c r="T170" s="139"/>
      <c r="AB170" s="332"/>
    </row>
    <row r="171" spans="1:28" s="3" customFormat="1" ht="15.75" thickBot="1" x14ac:dyDescent="0.3">
      <c r="A171" s="136"/>
      <c r="B171" s="320" t="str">
        <f ca="1">IF(ROUND('Overzicht MSK toets'!E56,3)&gt;=Invoerblad!E100,"Indexatieperiode tussen NCW en terugvordering (maanden)","N.v.t.")</f>
        <v>Indexatieperiode tussen NCW en terugvordering (maanden)</v>
      </c>
      <c r="C171" s="528"/>
      <c r="D171" s="331"/>
      <c r="E171" s="618"/>
      <c r="F171" s="23"/>
      <c r="G171" s="51"/>
      <c r="H171" s="23"/>
      <c r="I171" s="679">
        <f ca="1">IF(ROUND('Overzicht MSK toets'!E56,3)&gt;=Invoerblad!E100,DATEDIF(I169,I170,"m"),"N.v.t.")</f>
        <v>1464</v>
      </c>
      <c r="J171" s="24"/>
      <c r="K171" s="553"/>
      <c r="L171" s="7"/>
      <c r="M171" s="7"/>
      <c r="N171" s="7"/>
      <c r="O171" s="7"/>
      <c r="P171" s="7"/>
      <c r="T171" s="139"/>
      <c r="AB171" s="332"/>
    </row>
    <row r="172" spans="1:28" ht="15.75" thickBot="1" x14ac:dyDescent="0.3">
      <c r="B172" s="676" t="str">
        <f ca="1">IF(ROUND('Overzicht MSK toets'!E56,3)&gt;=Invoerblad!E100,"Subsidie geïndexeerd naar maand van terugvordering","N.v.t.")</f>
        <v>Subsidie geïndexeerd naar maand van terugvordering</v>
      </c>
      <c r="C172" s="526"/>
      <c r="E172" s="621"/>
      <c r="F172" s="23"/>
      <c r="G172" s="51"/>
      <c r="H172" s="23"/>
      <c r="I172" s="556">
        <f ca="1">IF(ROUND('Overzicht MSK toets'!E56,3)&gt;=Invoerblad!E100,I168*POWER(1+E96,I171/12),"N.v.t.")</f>
        <v>0</v>
      </c>
      <c r="J172" s="24"/>
      <c r="K172" s="555" t="s">
        <v>41</v>
      </c>
      <c r="AB172" s="332"/>
    </row>
    <row r="173" spans="1:28" ht="15.75" customHeight="1" thickBot="1" x14ac:dyDescent="0.3">
      <c r="B173" s="320" t="str">
        <f ca="1">IF(ROUND('Overzicht MSK toets'!E56,3)&gt;=Invoerblad!E100,"Terug te vorderen bedrag (gemaximeerd op nominaal uitbetaalde subsidie)","N.v.t.")</f>
        <v>Terug te vorderen bedrag (gemaximeerd op nominaal uitbetaalde subsidie)</v>
      </c>
      <c r="C173" s="526"/>
      <c r="E173" s="7"/>
      <c r="F173" s="23"/>
      <c r="G173" s="51"/>
      <c r="H173" s="23"/>
      <c r="I173" s="680">
        <f ca="1">IF(ROUND('Overzicht MSK toets'!E56,3)&gt;=Invoerblad!E100,MIN(I172,SUM(K166:AA166)),"N.v.t.")</f>
        <v>0</v>
      </c>
      <c r="J173" s="24"/>
      <c r="AB173" s="332"/>
    </row>
    <row r="174" spans="1:28" s="3" customFormat="1" ht="15" x14ac:dyDescent="0.25">
      <c r="A174" s="136"/>
      <c r="E174" s="7"/>
      <c r="F174" s="23"/>
      <c r="G174" s="51"/>
      <c r="H174" s="23"/>
      <c r="I174" s="156"/>
      <c r="J174" s="24"/>
      <c r="AB174" s="332"/>
    </row>
    <row r="175" spans="1:28" x14ac:dyDescent="0.2">
      <c r="AB175" s="332"/>
    </row>
    <row r="176" spans="1:28" x14ac:dyDescent="0.2">
      <c r="K176" s="139"/>
    </row>
    <row r="177" spans="2:13" x14ac:dyDescent="0.2">
      <c r="B177" s="368" t="str">
        <f>"Categorieën "&amp;LEFT($E$13,5)&amp;""</f>
        <v>Categorieën SDE21</v>
      </c>
      <c r="K177" s="139"/>
    </row>
    <row r="178" spans="2:13" x14ac:dyDescent="0.2">
      <c r="B178" s="369" t="str">
        <f>IF(LEFT($E$13,5)="SDE20",Stamblad!A93,IF(LEFT($E$13,5)="SDE21",Stamblad!A101,IF(LEFT($E$13,5)="SDE22",Stamblad!A110,IF(LEFT($E$13,5)="SDE23",Stamblad!A122,""))))</f>
        <v>Zon PV ≥ 15 kWp en &lt; 1 MWp gebouwgebonden</v>
      </c>
      <c r="K178" s="139"/>
    </row>
    <row r="179" spans="2:13" x14ac:dyDescent="0.2">
      <c r="B179" s="369" t="str">
        <f>IF(LEFT($E$13,5)="SDE20",Stamblad!A94,IF(LEFT($E$13,5)="SDE21",Stamblad!A102,IF(LEFT($E$13,5)="SDE22",Stamblad!A111,IF(LEFT($E$13,5)="SDE23",Stamblad!A123,""))))</f>
        <v>Zon PV ≥ 15 kWp en &lt; 1 MWp op land/drijvend</v>
      </c>
      <c r="K179" s="616"/>
    </row>
    <row r="180" spans="2:13" ht="15" x14ac:dyDescent="0.25">
      <c r="B180" s="369" t="str">
        <f>IF(LEFT($E$13,5)="SDE20",Stamblad!A95,IF(LEFT($E$13,5)="SDE21",Stamblad!A103,IF(LEFT($E$13,5)="SDE22",Stamblad!A112,IF(LEFT($E$13,5)="SDE23",Stamblad!A124,""))))</f>
        <v>Zon PV ≥ 1 MWp gebouwgebonden</v>
      </c>
      <c r="E180" s="9"/>
      <c r="I180" s="554"/>
    </row>
    <row r="181" spans="2:13" x14ac:dyDescent="0.2">
      <c r="B181" s="369" t="str">
        <f>IF(LEFT($E$13,5)="SDE20",Stamblad!A96,IF(LEFT($E$13,5)="SDE21",Stamblad!A104,IF(LEFT($E$13,5)="SDE22",Stamblad!A113,IF(LEFT($E$13,5)="SDE23",Stamblad!A125,""))))</f>
        <v>Zon PV ≥ 1 MWp op land</v>
      </c>
      <c r="E181" s="9"/>
      <c r="I181" s="161"/>
    </row>
    <row r="182" spans="2:13" x14ac:dyDescent="0.2">
      <c r="B182" s="369" t="str">
        <f>IF(LEFT($E$13,5)="SDE20",Stamblad!A97,IF(LEFT($E$13,5)="SDE21",Stamblad!A105,IF(LEFT($E$13,5)="SDE22",Stamblad!A114,IF(LEFT($E$13,5)="SDE23",Stamblad!A126,""))))</f>
        <v xml:space="preserve">Zon-PV ≥ 1 MWp zonvolgend op land </v>
      </c>
      <c r="E182" s="9"/>
      <c r="M182" s="529"/>
    </row>
    <row r="183" spans="2:13" x14ac:dyDescent="0.2">
      <c r="B183" s="369" t="str">
        <f>IF(LEFT($E$13,5)="SDE20",Stamblad!A98,IF(LEFT($E$13,5)="SDE21",Stamblad!A106,IF(LEFT($E$13,5)="SDE22",Stamblad!A115,IF(LEFT($E$13,5)="SDE23",Stamblad!A127,""))))</f>
        <v>Zon-PV ≥ 1 MWp drijvend</v>
      </c>
      <c r="E183" s="9"/>
    </row>
    <row r="184" spans="2:13" x14ac:dyDescent="0.2">
      <c r="B184" s="369" t="str">
        <f>IF(LEFT($E$13,5)="SDE21",Stamblad!A107,IF(LEFT($E$13,5)="SDE22",Stamblad!A116,IF(LEFT($E$13,5)="SDE23",Stamblad!A128,"")))</f>
        <v xml:space="preserve">Zon-PV ≥ 1 MWp zonvolgend drijvend </v>
      </c>
      <c r="E184" s="9"/>
    </row>
    <row r="185" spans="2:13" x14ac:dyDescent="0.2">
      <c r="B185" s="369" t="str">
        <f>IF(LEFT($E$13,5)="SDE22",Stamblad!A117,IF(LEFT($E$13,5)="SDE23",Stamblad!A129,""))</f>
        <v/>
      </c>
      <c r="E185" s="9"/>
    </row>
    <row r="186" spans="2:13" x14ac:dyDescent="0.2">
      <c r="B186" s="369" t="str">
        <f>IF(LEFT($E$13,5)="SDE22",Stamblad!A118,IF(LEFT($E$13,5)="SDE23",Stamblad!A130,""))</f>
        <v/>
      </c>
      <c r="E186" s="9"/>
    </row>
    <row r="187" spans="2:13" x14ac:dyDescent="0.2">
      <c r="B187" s="369" t="str">
        <f>IF(LEFT($E$13,5)="SDE22",Stamblad!A119,IF(LEFT($E$13,5)="SDE23",Stamblad!A131,""))</f>
        <v/>
      </c>
      <c r="E187" s="9"/>
    </row>
    <row r="188" spans="2:13" x14ac:dyDescent="0.2">
      <c r="B188" s="360"/>
      <c r="E188" s="9"/>
    </row>
    <row r="189" spans="2:13" x14ac:dyDescent="0.2">
      <c r="B189" s="360"/>
      <c r="E189" s="9"/>
    </row>
    <row r="190" spans="2:13" x14ac:dyDescent="0.2">
      <c r="B190" s="360"/>
      <c r="E190" s="9"/>
    </row>
    <row r="191" spans="2:13" x14ac:dyDescent="0.2">
      <c r="E191" s="9"/>
    </row>
    <row r="192" spans="2:13" x14ac:dyDescent="0.2">
      <c r="E192" s="9"/>
    </row>
    <row r="193" spans="2:5" x14ac:dyDescent="0.2">
      <c r="E193" s="9"/>
    </row>
    <row r="194" spans="2:5" x14ac:dyDescent="0.2">
      <c r="B194" s="163"/>
      <c r="E194" s="9"/>
    </row>
    <row r="195" spans="2:5" x14ac:dyDescent="0.2">
      <c r="B195" s="164"/>
      <c r="E195" s="9"/>
    </row>
    <row r="196" spans="2:5" x14ac:dyDescent="0.2">
      <c r="B196" s="164"/>
      <c r="E196" s="9"/>
    </row>
    <row r="197" spans="2:5" x14ac:dyDescent="0.2">
      <c r="B197" s="164"/>
      <c r="E197" s="9"/>
    </row>
    <row r="198" spans="2:5" x14ac:dyDescent="0.2">
      <c r="B198" s="164"/>
      <c r="E198" s="9"/>
    </row>
    <row r="199" spans="2:5" x14ac:dyDescent="0.2">
      <c r="B199" s="164"/>
      <c r="E199" s="9"/>
    </row>
    <row r="200" spans="2:5" x14ac:dyDescent="0.2">
      <c r="B200" s="164"/>
    </row>
    <row r="201" spans="2:5" x14ac:dyDescent="0.2">
      <c r="B201" s="164"/>
    </row>
    <row r="202" spans="2:5" x14ac:dyDescent="0.2"/>
    <row r="203" spans="2:5" x14ac:dyDescent="0.2"/>
    <row r="204" spans="2:5" x14ac:dyDescent="0.2"/>
    <row r="205" spans="2:5" x14ac:dyDescent="0.2"/>
    <row r="206" spans="2:5" x14ac:dyDescent="0.2"/>
    <row r="207" spans="2:5" x14ac:dyDescent="0.2"/>
    <row r="208" spans="2:5"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sheetData>
  <mergeCells count="3">
    <mergeCell ref="A3:E6"/>
    <mergeCell ref="B45:C45"/>
    <mergeCell ref="B46:C46"/>
  </mergeCells>
  <conditionalFormatting sqref="K102:AB102">
    <cfRule type="expression" dxfId="1" priority="2">
      <formula>K102 &gt;$E$100</formula>
    </cfRule>
  </conditionalFormatting>
  <conditionalFormatting sqref="K113:AB113">
    <cfRule type="expression" dxfId="0" priority="1">
      <formula>K113&gt;$E$111</formula>
    </cfRule>
  </conditionalFormatting>
  <dataValidations count="10">
    <dataValidation allowBlank="1" showInputMessage="1" showErrorMessage="1" prompt="De onkostenvergoeding OV MEP hoeft niet opgevoerd te worden. Deze dient terugbetaald te worden bij verkrijging van SDE." sqref="E60" xr:uid="{F0846687-A732-4CB8-8B63-241C5860EE15}">
      <formula1>0</formula1>
      <formula2>0</formula2>
    </dataValidation>
    <dataValidation allowBlank="1" showErrorMessage="1" prompt="Let op MIA kan niet in combinatie met EIA op dezelfde voorziening" sqref="E76" xr:uid="{2413515A-9735-40C3-98FF-492E9AFCE831}">
      <formula1>0</formula1>
      <formula2>0</formula2>
    </dataValidation>
    <dataValidation type="decimal" operator="greaterThan" allowBlank="1" showInputMessage="1" showErrorMessage="1" sqref="E16:E17" xr:uid="{FF4594CA-908A-41F7-B285-7E0F04951CF2}">
      <formula1>0</formula1>
      <formula2>0</formula2>
    </dataValidation>
    <dataValidation type="list" allowBlank="1" showInputMessage="1" showErrorMessage="1" sqref="E14" xr:uid="{7BE8370A-6F33-473B-972F-6F8230935723}">
      <formula1>$B$178:$B$190</formula1>
    </dataValidation>
    <dataValidation type="custom" allowBlank="1" showErrorMessage="1" error="draaiuren / vollasturen kunnen niet meer dan 8760 bedragen (zie regel 4)_x000a_" prompt="vul in hoeveel produktie er is in het eerste  kalenderjaar voor dat deel dat in de SDE periode valt." sqref="AB26:AB27 K26:AA28" xr:uid="{CA2EE760-53A6-42CF-BDBC-1726FDD295A5}">
      <formula1>IF(VALUE($E17)=0,0,K26/$E17)&lt;8761</formula1>
      <formula2>0</formula2>
    </dataValidation>
    <dataValidation type="custom" allowBlank="1" showErrorMessage="1" error="draaiuren / vollasturen kunnen niet meer dan 8760 bedragen (zie regel 4)_x000a_" prompt="vul in hoeveel produktie er is in het eerste  kalenderjaar voor dat deel dat in de SDE periode valt." sqref="AB28 K29:AB29" xr:uid="{27E90F14-8713-459D-8AAE-E4CDBD146B49}">
      <formula1>IF(VALUE($E18)=0,0,K28/$E18)&lt;8761</formula1>
      <formula2>0</formula2>
    </dataValidation>
    <dataValidation type="custom" allowBlank="1" showErrorMessage="1" error="de draaiuren / vollasturen kunnen niet hoger zijn dan 8760 per jaar. pas de produktie (regel 5) of het vermogen aan (regel 2)" sqref="AB19:AB25 K25:AA25 Z20:AA22 K19:Y22" xr:uid="{383983D6-DA39-4CCB-8E4F-0EFA5967E431}">
      <formula1>K19&lt;8761</formula1>
      <formula2>0</formula2>
    </dataValidation>
    <dataValidation allowBlank="1" showErrorMessage="1" error="de draaiuren / vollasturen kunnen niet hoger zijn dan 8760 per jaar. pas de produktie (regel 5) of het vermogen aan (regel 2)" sqref="K23:AA24 Z19:AA19" xr:uid="{8CAE5530-0D1B-47A2-9C8B-541E283D15C2}"/>
    <dataValidation type="decimal" operator="greaterThanOrEqual" showInputMessage="1" showErrorMessage="1" error="Invoeren negatieve indexatie is niet mogelijk. Voer de correctiebedragen met de hand in." sqref="I102" xr:uid="{499CBDF2-C9E6-4910-9280-1B3E9BE97F7C}">
      <formula1>0</formula1>
    </dataValidation>
    <dataValidation type="decimal" operator="greaterThanOrEqual" allowBlank="1" showInputMessage="1" showErrorMessage="1" error="Invoeren negatieve indexatie is niet mogelijk. Voer de correctiebedragen met de hand in." sqref="I113" xr:uid="{013B2F79-827D-4FF4-89E3-CD65EA0AC3AE}">
      <formula1>0</formula1>
    </dataValidation>
  </dataValidations>
  <hyperlinks>
    <hyperlink ref="B9" location="Toelichting!A1" display="Lees ook de toelichting." xr:uid="{00000000-0004-0000-0000-000000000000}"/>
    <hyperlink ref="G13" location="Toelichting!A25" display="Info" xr:uid="{00000000-0004-0000-0000-000001000000}"/>
    <hyperlink ref="G16" location="Toelichting!A29" display="Info" xr:uid="{00000000-0004-0000-0000-000002000000}"/>
    <hyperlink ref="G17" location="Toelichting!A29" display="Info" xr:uid="{00000000-0004-0000-0000-000003000000}"/>
    <hyperlink ref="G42" location="Toelichting!A31" display="Info" xr:uid="{00000000-0004-0000-0000-000004000000}"/>
    <hyperlink ref="G43" location="Toelichting!A32" display="Info" xr:uid="{00000000-0004-0000-0000-000005000000}"/>
    <hyperlink ref="G44" location="Toelichting!A33" display="Info" xr:uid="{00000000-0004-0000-0000-000006000000}"/>
    <hyperlink ref="G49" location="Toelichting!A34" display="Info" xr:uid="{00000000-0004-0000-0000-000007000000}"/>
    <hyperlink ref="G53" location="Toelichting!A35" display="Info" xr:uid="{00000000-0004-0000-0000-000008000000}"/>
    <hyperlink ref="G54" location="Toelichting!A45" display="Info" xr:uid="{00000000-0004-0000-0000-000009000000}"/>
    <hyperlink ref="G58" location="Toelichting!A54" display="Info" xr:uid="{00000000-0004-0000-0000-00000A000000}"/>
    <hyperlink ref="G59" location="Toelichting!A54" display="Info" xr:uid="{00000000-0004-0000-0000-00000B000000}"/>
    <hyperlink ref="G60" location="Toelichting!A54" display="Info" xr:uid="{00000000-0004-0000-0000-00000C000000}"/>
    <hyperlink ref="G61" location="Toelichting!A54" display="Info" xr:uid="{00000000-0004-0000-0000-00000D000000}"/>
    <hyperlink ref="G62" location="Toelichting!A54" display="Info" xr:uid="{00000000-0004-0000-0000-00000E000000}"/>
    <hyperlink ref="G67" location="Toelichting!A60" display="Info" xr:uid="{00000000-0004-0000-0000-00000F000000}"/>
    <hyperlink ref="G68" location="Toelichting!A69" display="Info" xr:uid="{00000000-0004-0000-0000-000010000000}"/>
    <hyperlink ref="G69" location="Toelichting!A70" display="Info" xr:uid="{00000000-0004-0000-0000-000011000000}"/>
    <hyperlink ref="G70" location="Toelichting!A72" display="Info" xr:uid="{00000000-0004-0000-0000-000012000000}"/>
    <hyperlink ref="G71" location="Toelichting!A72" display="Info" xr:uid="{00000000-0004-0000-0000-000013000000}"/>
    <hyperlink ref="G73" location="Toelichting!A70" display="Info" xr:uid="{00000000-0004-0000-0000-000014000000}"/>
    <hyperlink ref="G74" location="Toelichting!A76" display="Info" xr:uid="{00000000-0004-0000-0000-000015000000}"/>
    <hyperlink ref="G76" location="Toelichting!A70" display="Info" xr:uid="{00000000-0004-0000-0000-000016000000}"/>
    <hyperlink ref="G77" location="Toelichting!A81" display="Info" xr:uid="{00000000-0004-0000-0000-000017000000}"/>
    <hyperlink ref="G78" location="Toelichting!A82" display="Info" xr:uid="{00000000-0004-0000-0000-000018000000}"/>
    <hyperlink ref="G79" location="Toelichting!A82" display="Info" xr:uid="{00000000-0004-0000-0000-000019000000}"/>
    <hyperlink ref="G84" location="Toelichting!A86" display="Info" xr:uid="{00000000-0004-0000-0000-00001A000000}"/>
    <hyperlink ref="G85" location="Toelichting!A87" display="Info" xr:uid="{00000000-0004-0000-0000-00001B000000}"/>
    <hyperlink ref="G86" location="Toelichting!A89" display="Info" xr:uid="{00000000-0004-0000-0000-00001C000000}"/>
    <hyperlink ref="G87" location="Toelichting!A89" display="Info" xr:uid="{00000000-0004-0000-0000-00001D000000}"/>
    <hyperlink ref="G90" location="Toelichting!A98" display="Info" xr:uid="{00000000-0004-0000-0000-00001E000000}"/>
    <hyperlink ref="G92" location="Toelichting!A98" display="Info" xr:uid="{00000000-0004-0000-0000-00001F000000}"/>
    <hyperlink ref="G93" location="Toelichting!A110" display="Info" xr:uid="{00000000-0004-0000-0000-000020000000}"/>
    <hyperlink ref="G95" location="Toelichting!A111" display="Info" xr:uid="{00000000-0004-0000-0000-000021000000}"/>
    <hyperlink ref="G99" location="Toelichting!A141" display="Info" xr:uid="{00000000-0004-0000-0000-000023000000}"/>
    <hyperlink ref="G110" location="Toelichting!A141" display="Info" xr:uid="{00000000-0004-0000-0000-000024000000}"/>
    <hyperlink ref="G122" location="Toelichting!A142" display="Info" xr:uid="{00000000-0004-0000-0000-000025000000}"/>
    <hyperlink ref="G123" location="Toelichting!A144" display="Info" xr:uid="{00000000-0004-0000-0000-000026000000}"/>
    <hyperlink ref="G127" location="Toelichting!A145" display="Info" xr:uid="{00000000-0004-0000-0000-000027000000}"/>
    <hyperlink ref="G132" location="Toelichting!A142" display="Info" xr:uid="{00000000-0004-0000-0000-000028000000}"/>
    <hyperlink ref="G133" location="Toelichting!A144" display="Info" xr:uid="{00000000-0004-0000-0000-000029000000}"/>
    <hyperlink ref="G137" location="Toelichting!A145" display="Info" xr:uid="{00000000-0004-0000-0000-00002A000000}"/>
    <hyperlink ref="G149" location="Toelichting!A150" display="Info" xr:uid="{00000000-0004-0000-0000-00002B000000}"/>
    <hyperlink ref="G154" location="Toelichting!A152" display="Info" xr:uid="{00000000-0004-0000-0000-00002C000000}"/>
    <hyperlink ref="G157" location="Toelichting!A155" display="Info" xr:uid="{00000000-0004-0000-0000-00002D000000}"/>
    <hyperlink ref="G160" location="Toelichting!A161" display="Info" xr:uid="{00000000-0004-0000-0000-00002E000000}"/>
    <hyperlink ref="G161" location="Toelichting!A162" display="Info" xr:uid="{00000000-0004-0000-0000-00002F000000}"/>
    <hyperlink ref="G96" location="Toelichting!A112" display="Info" xr:uid="{00000000-0004-0000-0000-000022000000}"/>
  </hyperlinks>
  <pageMargins left="0.35416666666666702" right="0.39374999999999999" top="0.43333333333333302" bottom="0.66944444444444395" header="0.51180555555555496" footer="0.51180555555555496"/>
  <pageSetup paperSize="8" scale="29" firstPageNumber="0" orientation="landscape" horizontalDpi="300" verticalDpi="300" r:id="rId1"/>
  <headerFooter>
    <oddHeader>&amp;L&amp;"Calibri"&amp;10&amp;K000000 Vertrouwelijk&amp;1#_x000D_</oddHeader>
    <oddFooter>&amp;L&amp;D,&amp;T,&amp;Z&amp;F,&amp;F,&amp;A</oddFooter>
  </headerFooter>
  <rowBreaks count="1" manualBreakCount="1">
    <brk id="164"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130"/>
  <sheetViews>
    <sheetView showGridLines="0" topLeftCell="B1" zoomScaleNormal="100" workbookViewId="0">
      <selection activeCell="J8" activeCellId="1" sqref="K7:L7 J8:L8"/>
    </sheetView>
  </sheetViews>
  <sheetFormatPr defaultRowHeight="12.75" x14ac:dyDescent="0.2"/>
  <cols>
    <col min="1" max="1" width="20" customWidth="1"/>
    <col min="2" max="2" width="9.33203125" customWidth="1"/>
    <col min="3" max="3" width="39.6640625" customWidth="1"/>
    <col min="4" max="4" width="36" customWidth="1"/>
    <col min="5" max="5" width="22.6640625" customWidth="1"/>
    <col min="6" max="6" width="9.33203125" customWidth="1"/>
    <col min="7" max="7" width="23.6640625" customWidth="1"/>
    <col min="8" max="8" width="13.1640625" customWidth="1"/>
    <col min="9" max="9" width="19.83203125" customWidth="1"/>
    <col min="10" max="10" width="44.6640625" customWidth="1"/>
    <col min="11" max="11" width="20" customWidth="1"/>
    <col min="12" max="12" width="21.83203125" customWidth="1"/>
    <col min="13" max="13" width="15.1640625" customWidth="1"/>
    <col min="14" max="14" width="12.83203125" customWidth="1"/>
    <col min="15" max="17" width="9.33203125" customWidth="1"/>
    <col min="18" max="18" width="37.83203125" customWidth="1"/>
    <col min="19" max="1025" width="9.33203125" customWidth="1"/>
  </cols>
  <sheetData>
    <row r="1" spans="1:34" ht="20.25" x14ac:dyDescent="0.3">
      <c r="A1" s="4" t="s">
        <v>82</v>
      </c>
      <c r="F1" s="165" t="s">
        <v>11</v>
      </c>
      <c r="G1" s="166"/>
    </row>
    <row r="2" spans="1:34" ht="20.25" x14ac:dyDescent="0.3">
      <c r="A2" s="4"/>
      <c r="F2" s="115"/>
      <c r="N2" s="315"/>
    </row>
    <row r="3" spans="1:34" x14ac:dyDescent="0.2">
      <c r="F3" s="115"/>
      <c r="N3" s="315"/>
    </row>
    <row r="4" spans="1:34" x14ac:dyDescent="0.2">
      <c r="F4" s="115"/>
      <c r="N4" s="3"/>
    </row>
    <row r="5" spans="1:34" x14ac:dyDescent="0.2">
      <c r="A5" s="167" t="s">
        <v>83</v>
      </c>
      <c r="B5" s="168"/>
      <c r="C5" s="168"/>
      <c r="D5" s="168"/>
      <c r="E5" s="169"/>
      <c r="F5" s="170"/>
      <c r="H5" s="106" t="s">
        <v>84</v>
      </c>
      <c r="L5" s="139"/>
      <c r="M5" s="139"/>
      <c r="N5" s="313"/>
    </row>
    <row r="6" spans="1:34" x14ac:dyDescent="0.2">
      <c r="A6" s="171"/>
      <c r="B6" s="9"/>
      <c r="C6" s="9"/>
      <c r="D6" s="9"/>
      <c r="E6" s="172"/>
      <c r="F6" s="115"/>
      <c r="L6" s="139"/>
      <c r="M6" s="139"/>
      <c r="N6" s="714"/>
    </row>
    <row r="7" spans="1:34" x14ac:dyDescent="0.2">
      <c r="A7" s="171" t="s">
        <v>85</v>
      </c>
      <c r="B7" s="9" t="s">
        <v>86</v>
      </c>
      <c r="C7" s="9"/>
      <c r="D7" s="48"/>
      <c r="E7" s="172">
        <f>+Invoerblad!E53</f>
        <v>0</v>
      </c>
      <c r="F7" s="115"/>
      <c r="K7" s="811" t="s">
        <v>162</v>
      </c>
      <c r="L7" s="812" t="s">
        <v>491</v>
      </c>
      <c r="M7" s="139"/>
      <c r="N7" s="714"/>
    </row>
    <row r="8" spans="1:34" x14ac:dyDescent="0.2">
      <c r="A8" s="171"/>
      <c r="B8" s="9"/>
      <c r="C8" s="9"/>
      <c r="D8" s="48"/>
      <c r="E8" s="172"/>
      <c r="F8" s="115"/>
      <c r="H8" s="408"/>
      <c r="I8" s="409" t="s">
        <v>172</v>
      </c>
      <c r="J8" s="813" t="s">
        <v>525</v>
      </c>
      <c r="K8" s="811" t="s">
        <v>493</v>
      </c>
      <c r="L8" s="811" t="s">
        <v>492</v>
      </c>
      <c r="N8" s="314"/>
    </row>
    <row r="9" spans="1:34" x14ac:dyDescent="0.2">
      <c r="A9" s="171" t="s">
        <v>88</v>
      </c>
      <c r="B9" s="9" t="s">
        <v>89</v>
      </c>
      <c r="C9" s="9"/>
      <c r="D9" s="48"/>
      <c r="E9" s="172"/>
      <c r="F9" s="115"/>
      <c r="I9" s="409">
        <v>1</v>
      </c>
      <c r="J9" s="48">
        <f>'Hulpberekeningen 3 '!C$6</f>
        <v>0</v>
      </c>
      <c r="K9" s="48">
        <f>+E34</f>
        <v>312129.36441034277</v>
      </c>
      <c r="L9" s="139">
        <f>+K9+D23</f>
        <v>312129.36441034277</v>
      </c>
      <c r="M9" s="139"/>
      <c r="N9" s="316"/>
      <c r="O9" s="316"/>
      <c r="P9" s="316"/>
      <c r="Q9" s="316"/>
      <c r="R9" s="316"/>
      <c r="S9" s="316"/>
      <c r="T9" s="316"/>
      <c r="U9" s="316"/>
      <c r="V9" s="316"/>
      <c r="W9" s="316"/>
      <c r="X9" s="316"/>
      <c r="Y9" s="316"/>
      <c r="Z9" s="316"/>
      <c r="AA9" s="316"/>
      <c r="AB9" s="316"/>
      <c r="AC9" s="316"/>
      <c r="AD9" s="316"/>
      <c r="AE9" s="314"/>
      <c r="AF9" s="314"/>
      <c r="AG9" s="314"/>
      <c r="AH9" s="314"/>
    </row>
    <row r="10" spans="1:34" x14ac:dyDescent="0.2">
      <c r="A10" s="171"/>
      <c r="B10" s="9"/>
      <c r="C10" s="9"/>
      <c r="D10" s="48"/>
      <c r="E10" s="172"/>
      <c r="F10" s="115"/>
      <c r="I10" s="409">
        <v>2</v>
      </c>
      <c r="J10" s="48">
        <f>'Hulpberekeningen 3 '!D$6</f>
        <v>0</v>
      </c>
      <c r="K10" s="48">
        <f t="shared" ref="K10:K26" si="0">+K9</f>
        <v>312129.36441034277</v>
      </c>
      <c r="L10" s="139">
        <f t="shared" ref="L10:L26" si="1">+L9</f>
        <v>312129.36441034277</v>
      </c>
      <c r="M10" s="139"/>
      <c r="N10" s="316"/>
      <c r="O10" s="315"/>
      <c r="P10" s="315"/>
      <c r="Q10" s="315"/>
      <c r="R10" s="315"/>
    </row>
    <row r="11" spans="1:34" x14ac:dyDescent="0.2">
      <c r="A11" s="171"/>
      <c r="B11" s="9"/>
      <c r="C11" s="9" t="s">
        <v>90</v>
      </c>
      <c r="D11" s="48">
        <f>IF(LEFT(Invoerblad!F18,5)="apr09",0,'Rendement geinv. vermogen'!$B$30)</f>
        <v>0</v>
      </c>
      <c r="E11" s="172"/>
      <c r="F11" s="115"/>
      <c r="I11" s="409">
        <v>3</v>
      </c>
      <c r="J11" s="48">
        <f>'Hulpberekeningen 3 '!E$6</f>
        <v>0</v>
      </c>
      <c r="K11" s="48">
        <f t="shared" si="0"/>
        <v>312129.36441034277</v>
      </c>
      <c r="L11" s="139">
        <f t="shared" si="1"/>
        <v>312129.36441034277</v>
      </c>
      <c r="M11" s="139"/>
      <c r="N11" s="316"/>
      <c r="O11" s="315"/>
      <c r="P11" s="315"/>
      <c r="Q11" s="315"/>
      <c r="R11" s="684"/>
      <c r="V11" s="315"/>
    </row>
    <row r="12" spans="1:34" x14ac:dyDescent="0.2">
      <c r="A12" s="171"/>
      <c r="B12" s="9"/>
      <c r="C12" s="9" t="s">
        <v>91</v>
      </c>
      <c r="D12" s="48">
        <f>+Invoerblad!E71</f>
        <v>0</v>
      </c>
      <c r="E12" s="172"/>
      <c r="F12" s="71"/>
      <c r="I12" s="409">
        <v>4</v>
      </c>
      <c r="J12" s="48">
        <f>'Hulpberekeningen 3 '!F$6</f>
        <v>0</v>
      </c>
      <c r="K12" s="48">
        <f t="shared" si="0"/>
        <v>312129.36441034277</v>
      </c>
      <c r="L12" s="139">
        <f t="shared" si="1"/>
        <v>312129.36441034277</v>
      </c>
      <c r="M12" s="139"/>
      <c r="N12" s="316"/>
      <c r="O12" s="315"/>
      <c r="P12" s="315"/>
      <c r="Q12" s="315"/>
      <c r="R12" s="316"/>
      <c r="V12" s="316"/>
    </row>
    <row r="13" spans="1:34" x14ac:dyDescent="0.2">
      <c r="A13" s="171"/>
      <c r="B13" s="9"/>
      <c r="C13" s="9"/>
      <c r="D13" s="173"/>
      <c r="E13" s="172"/>
      <c r="F13" s="115"/>
      <c r="I13" s="409">
        <v>5</v>
      </c>
      <c r="J13" s="48">
        <f>'Hulpberekeningen 3 '!G$6</f>
        <v>0</v>
      </c>
      <c r="K13" s="48">
        <f t="shared" si="0"/>
        <v>312129.36441034277</v>
      </c>
      <c r="L13" s="139">
        <f t="shared" si="1"/>
        <v>312129.36441034277</v>
      </c>
      <c r="M13" s="139"/>
      <c r="N13" s="316"/>
      <c r="V13" s="316"/>
    </row>
    <row r="14" spans="1:34" x14ac:dyDescent="0.2">
      <c r="A14" s="171"/>
      <c r="B14" s="9" t="s">
        <v>92</v>
      </c>
      <c r="C14" s="163" t="s">
        <v>93</v>
      </c>
      <c r="D14" s="157">
        <f>SUM(D11:D12)</f>
        <v>0</v>
      </c>
      <c r="E14" s="172"/>
      <c r="F14" s="115"/>
      <c r="I14" s="409">
        <v>6</v>
      </c>
      <c r="J14" s="48">
        <f>'Hulpberekeningen 3 '!H$6</f>
        <v>0</v>
      </c>
      <c r="K14" s="48">
        <f t="shared" si="0"/>
        <v>312129.36441034277</v>
      </c>
      <c r="L14" s="139">
        <f t="shared" si="1"/>
        <v>312129.36441034277</v>
      </c>
      <c r="M14" s="139"/>
      <c r="N14" s="316"/>
      <c r="R14" s="139"/>
      <c r="V14" s="316"/>
    </row>
    <row r="15" spans="1:34" x14ac:dyDescent="0.2">
      <c r="A15" s="171"/>
      <c r="B15" s="9"/>
      <c r="C15" s="163"/>
      <c r="D15" s="48"/>
      <c r="E15" s="172"/>
      <c r="F15" s="115"/>
      <c r="I15" s="409">
        <v>7</v>
      </c>
      <c r="J15" s="48">
        <f>'Hulpberekeningen 3 '!I$6</f>
        <v>0</v>
      </c>
      <c r="K15" s="48">
        <f t="shared" si="0"/>
        <v>312129.36441034277</v>
      </c>
      <c r="L15" s="139">
        <f t="shared" si="1"/>
        <v>312129.36441034277</v>
      </c>
      <c r="M15" s="139"/>
      <c r="N15" s="316"/>
      <c r="R15" s="139"/>
      <c r="V15" s="316"/>
    </row>
    <row r="16" spans="1:34" x14ac:dyDescent="0.2">
      <c r="A16" s="171"/>
      <c r="B16" s="9"/>
      <c r="C16" s="90" t="str">
        <f>Invoerblad!B58</f>
        <v>…. subsidie (euro's)</v>
      </c>
      <c r="D16" s="48">
        <f>+Invoerblad!E58</f>
        <v>0</v>
      </c>
      <c r="E16" s="172"/>
      <c r="F16" s="115"/>
      <c r="I16" s="409">
        <v>8</v>
      </c>
      <c r="J16" s="48">
        <f>'Hulpberekeningen 3 '!J$6</f>
        <v>0</v>
      </c>
      <c r="K16" s="48">
        <f t="shared" si="0"/>
        <v>312129.36441034277</v>
      </c>
      <c r="L16" s="139">
        <f t="shared" si="1"/>
        <v>312129.36441034277</v>
      </c>
      <c r="M16" s="139"/>
      <c r="N16" s="316"/>
      <c r="R16" s="139"/>
      <c r="V16" s="316"/>
    </row>
    <row r="17" spans="1:22" ht="15" x14ac:dyDescent="0.25">
      <c r="A17" s="171"/>
      <c r="B17" s="9"/>
      <c r="C17" s="69" t="str">
        <f>Invoerblad!B59</f>
        <v>…. subsidie (euro's)</v>
      </c>
      <c r="D17" s="48">
        <f>+Invoerblad!E59</f>
        <v>0</v>
      </c>
      <c r="E17" s="172"/>
      <c r="F17" s="115"/>
      <c r="I17" s="409">
        <v>9</v>
      </c>
      <c r="J17" s="48">
        <f>'Hulpberekeningen 3 '!K$6</f>
        <v>0</v>
      </c>
      <c r="K17" s="48">
        <f t="shared" si="0"/>
        <v>312129.36441034277</v>
      </c>
      <c r="L17" s="139">
        <f t="shared" si="1"/>
        <v>312129.36441034277</v>
      </c>
      <c r="M17" s="139"/>
      <c r="N17" s="316"/>
      <c r="R17" s="139"/>
      <c r="V17" s="316"/>
    </row>
    <row r="18" spans="1:22" ht="15" x14ac:dyDescent="0.25">
      <c r="A18" s="171"/>
      <c r="B18" s="9"/>
      <c r="C18" s="69" t="str">
        <f>Invoerblad!B60</f>
        <v>…. subsidies (euro's)</v>
      </c>
      <c r="D18" s="48">
        <f>+Invoerblad!E60</f>
        <v>0</v>
      </c>
      <c r="E18" s="172"/>
      <c r="F18" s="115"/>
      <c r="I18" s="409">
        <v>10</v>
      </c>
      <c r="J18" s="48">
        <f>'Hulpberekeningen 3 '!L$6</f>
        <v>0</v>
      </c>
      <c r="K18" s="48">
        <f t="shared" si="0"/>
        <v>312129.36441034277</v>
      </c>
      <c r="L18" s="139">
        <f t="shared" si="1"/>
        <v>312129.36441034277</v>
      </c>
      <c r="M18" s="139"/>
      <c r="N18" s="316"/>
      <c r="R18" s="139"/>
      <c r="V18" s="316"/>
    </row>
    <row r="19" spans="1:22" ht="15" x14ac:dyDescent="0.25">
      <c r="A19" s="171"/>
      <c r="B19" s="9"/>
      <c r="C19" s="69" t="s">
        <v>94</v>
      </c>
      <c r="D19" s="48">
        <f>SUM(Invoerblad!E61)</f>
        <v>0</v>
      </c>
      <c r="E19" s="172"/>
      <c r="F19" s="115"/>
      <c r="I19" s="409">
        <v>11</v>
      </c>
      <c r="J19" s="48">
        <f>'Hulpberekeningen 3 '!M$6</f>
        <v>0</v>
      </c>
      <c r="K19" s="48">
        <f t="shared" si="0"/>
        <v>312129.36441034277</v>
      </c>
      <c r="L19" s="139">
        <f t="shared" si="1"/>
        <v>312129.36441034277</v>
      </c>
      <c r="M19" s="139"/>
      <c r="N19" s="316"/>
      <c r="R19" s="139"/>
      <c r="V19" s="316"/>
    </row>
    <row r="20" spans="1:22" ht="15" x14ac:dyDescent="0.25">
      <c r="A20" s="171"/>
      <c r="B20" s="9"/>
      <c r="C20" s="69" t="s">
        <v>39</v>
      </c>
      <c r="D20" s="48">
        <f>Invoerblad!E62</f>
        <v>0</v>
      </c>
      <c r="E20" s="172"/>
      <c r="F20" s="115"/>
      <c r="I20" s="409">
        <v>12</v>
      </c>
      <c r="J20" s="48">
        <f>'Hulpberekeningen 3 '!N$6</f>
        <v>0</v>
      </c>
      <c r="K20" s="48">
        <f t="shared" si="0"/>
        <v>312129.36441034277</v>
      </c>
      <c r="L20" s="139">
        <f t="shared" si="1"/>
        <v>312129.36441034277</v>
      </c>
      <c r="M20" s="139"/>
      <c r="N20" s="316"/>
      <c r="R20" s="139"/>
      <c r="V20" s="316"/>
    </row>
    <row r="21" spans="1:22" x14ac:dyDescent="0.2">
      <c r="A21" s="171"/>
      <c r="B21" s="9"/>
      <c r="C21" s="9" t="s">
        <v>95</v>
      </c>
      <c r="D21" s="48">
        <f>+Invoerblad!E79</f>
        <v>0</v>
      </c>
      <c r="E21" s="172"/>
      <c r="F21" s="115"/>
      <c r="I21" s="409">
        <v>13</v>
      </c>
      <c r="J21" s="48">
        <f>'Hulpberekeningen 3 '!O$6</f>
        <v>0</v>
      </c>
      <c r="K21" s="48">
        <f t="shared" si="0"/>
        <v>312129.36441034277</v>
      </c>
      <c r="L21" s="139">
        <f t="shared" si="1"/>
        <v>312129.36441034277</v>
      </c>
      <c r="M21" s="139"/>
      <c r="N21" s="316"/>
      <c r="R21" s="139"/>
      <c r="V21" s="316"/>
    </row>
    <row r="22" spans="1:22" x14ac:dyDescent="0.2">
      <c r="A22" s="171"/>
      <c r="B22" s="9"/>
      <c r="C22" s="9" t="s">
        <v>96</v>
      </c>
      <c r="D22" s="173">
        <f>+Invoerblad!E74</f>
        <v>0</v>
      </c>
      <c r="E22" s="172"/>
      <c r="F22" s="174"/>
      <c r="I22" s="409">
        <v>14</v>
      </c>
      <c r="J22" s="48">
        <f>'Hulpberekeningen 3 '!P$6</f>
        <v>0</v>
      </c>
      <c r="K22" s="48">
        <f t="shared" si="0"/>
        <v>312129.36441034277</v>
      </c>
      <c r="L22" s="139">
        <f t="shared" si="1"/>
        <v>312129.36441034277</v>
      </c>
      <c r="M22" s="139"/>
      <c r="N22" s="316"/>
      <c r="V22" s="316"/>
    </row>
    <row r="23" spans="1:22" x14ac:dyDescent="0.2">
      <c r="A23" s="171"/>
      <c r="B23" s="9" t="s">
        <v>97</v>
      </c>
      <c r="C23" s="175" t="s">
        <v>93</v>
      </c>
      <c r="D23" s="157">
        <f>SUM(D16:D22)</f>
        <v>0</v>
      </c>
      <c r="E23" s="172"/>
      <c r="F23" s="174"/>
      <c r="I23" s="409">
        <v>15</v>
      </c>
      <c r="J23" s="48">
        <f>'Hulpberekeningen 3 '!Q$6</f>
        <v>0</v>
      </c>
      <c r="K23" s="48">
        <f t="shared" si="0"/>
        <v>312129.36441034277</v>
      </c>
      <c r="L23" s="139">
        <f t="shared" si="1"/>
        <v>312129.36441034277</v>
      </c>
      <c r="M23" s="139"/>
      <c r="N23" s="316"/>
      <c r="R23" s="48"/>
      <c r="V23" s="316"/>
    </row>
    <row r="24" spans="1:22" x14ac:dyDescent="0.2">
      <c r="A24" s="171"/>
      <c r="B24" s="9" t="s">
        <v>98</v>
      </c>
      <c r="C24" s="175"/>
      <c r="D24" s="157"/>
      <c r="E24" s="172">
        <f>+D23+D14</f>
        <v>0</v>
      </c>
      <c r="F24" s="115"/>
      <c r="I24" s="409">
        <v>16</v>
      </c>
      <c r="J24" s="48">
        <f>'Hulpberekeningen 3 '!R$6</f>
        <v>0</v>
      </c>
      <c r="K24" s="48">
        <f t="shared" si="0"/>
        <v>312129.36441034277</v>
      </c>
      <c r="L24" s="139">
        <f t="shared" si="1"/>
        <v>312129.36441034277</v>
      </c>
      <c r="M24" s="139"/>
      <c r="N24" s="316"/>
      <c r="R24" s="139"/>
      <c r="V24" s="316"/>
    </row>
    <row r="25" spans="1:22" x14ac:dyDescent="0.2">
      <c r="A25" s="171"/>
      <c r="B25" s="9"/>
      <c r="C25" s="9"/>
      <c r="D25" s="48"/>
      <c r="E25" s="172"/>
      <c r="F25" s="115"/>
      <c r="I25" s="409">
        <v>17</v>
      </c>
      <c r="J25" s="48">
        <f>'Hulpberekeningen 3 '!S$6</f>
        <v>0</v>
      </c>
      <c r="K25" s="48">
        <f t="shared" si="0"/>
        <v>312129.36441034277</v>
      </c>
      <c r="L25" s="139">
        <f t="shared" si="1"/>
        <v>312129.36441034277</v>
      </c>
      <c r="M25" s="139"/>
      <c r="N25" s="316"/>
      <c r="Q25" s="176"/>
      <c r="R25" s="48"/>
      <c r="V25" s="316"/>
    </row>
    <row r="26" spans="1:22" x14ac:dyDescent="0.2">
      <c r="A26" s="171" t="s">
        <v>99</v>
      </c>
      <c r="B26" s="90" t="s">
        <v>100</v>
      </c>
      <c r="C26" s="90"/>
      <c r="D26" s="157"/>
      <c r="E26" s="172">
        <f>+E7-E24</f>
        <v>0</v>
      </c>
      <c r="F26" s="115"/>
      <c r="I26" s="409">
        <v>18</v>
      </c>
      <c r="J26" s="48">
        <f>'Hulpberekeningen 3 '!T$6</f>
        <v>0</v>
      </c>
      <c r="K26" s="48">
        <f t="shared" si="0"/>
        <v>312129.36441034277</v>
      </c>
      <c r="L26" s="139">
        <f t="shared" si="1"/>
        <v>312129.36441034277</v>
      </c>
      <c r="M26" s="139"/>
      <c r="N26" s="313"/>
      <c r="V26" s="316"/>
    </row>
    <row r="27" spans="1:22" x14ac:dyDescent="0.2">
      <c r="A27" s="171"/>
      <c r="B27" s="9"/>
      <c r="C27" s="9"/>
      <c r="D27" s="48"/>
      <c r="E27" s="172"/>
      <c r="F27" s="115"/>
      <c r="J27" s="48"/>
      <c r="K27" s="48"/>
      <c r="L27" s="139"/>
      <c r="M27" s="139"/>
      <c r="N27" s="3"/>
      <c r="V27" s="316"/>
    </row>
    <row r="28" spans="1:22" ht="15" x14ac:dyDescent="0.25">
      <c r="A28" s="171" t="s">
        <v>101</v>
      </c>
      <c r="B28" s="9" t="s">
        <v>102</v>
      </c>
      <c r="C28" s="9"/>
      <c r="D28" s="48"/>
      <c r="E28" s="172">
        <f>+'Rendement geinv. vermogen'!B21</f>
        <v>0</v>
      </c>
      <c r="F28" s="165" t="s">
        <v>11</v>
      </c>
      <c r="J28" s="48"/>
      <c r="K28" s="48"/>
      <c r="L28" s="139"/>
      <c r="M28" s="139"/>
      <c r="N28" s="313"/>
      <c r="V28" s="316"/>
    </row>
    <row r="29" spans="1:22" x14ac:dyDescent="0.2">
      <c r="A29" s="171"/>
      <c r="B29" s="9"/>
      <c r="C29" s="9"/>
      <c r="D29" s="48"/>
      <c r="E29" s="172"/>
      <c r="V29" s="315"/>
    </row>
    <row r="30" spans="1:22" x14ac:dyDescent="0.2">
      <c r="A30" s="171" t="s">
        <v>103</v>
      </c>
      <c r="B30" s="90" t="s">
        <v>104</v>
      </c>
      <c r="C30" s="9"/>
      <c r="D30" s="48"/>
      <c r="E30" s="172">
        <f>Invoerblad!I157+Invoerblad!I158</f>
        <v>0</v>
      </c>
      <c r="V30" s="315"/>
    </row>
    <row r="31" spans="1:22" x14ac:dyDescent="0.2">
      <c r="A31" s="171"/>
      <c r="B31" s="9"/>
      <c r="C31" s="9"/>
      <c r="D31" s="48"/>
      <c r="E31" s="172"/>
      <c r="V31" s="315"/>
    </row>
    <row r="32" spans="1:22" x14ac:dyDescent="0.2">
      <c r="A32" s="171" t="s">
        <v>87</v>
      </c>
      <c r="B32" s="9" t="s">
        <v>105</v>
      </c>
      <c r="C32" s="9"/>
      <c r="D32" s="48"/>
      <c r="E32" s="177">
        <f>SUM(Invoerblad!I160:I163)</f>
        <v>312129.36441034277</v>
      </c>
    </row>
    <row r="33" spans="1:7" x14ac:dyDescent="0.2">
      <c r="A33" s="171"/>
      <c r="B33" s="9"/>
      <c r="C33" s="9"/>
      <c r="D33" s="48"/>
      <c r="E33" s="172"/>
    </row>
    <row r="34" spans="1:7" x14ac:dyDescent="0.2">
      <c r="A34" s="171" t="s">
        <v>106</v>
      </c>
      <c r="B34" s="9" t="s">
        <v>107</v>
      </c>
      <c r="C34" s="9"/>
      <c r="D34" s="48"/>
      <c r="E34" s="172">
        <f>+E26+E28-E30+E32</f>
        <v>312129.36441034277</v>
      </c>
      <c r="F34" s="115"/>
    </row>
    <row r="35" spans="1:7" x14ac:dyDescent="0.2">
      <c r="A35" s="171"/>
      <c r="B35" s="9"/>
      <c r="C35" s="9"/>
      <c r="D35" s="48"/>
      <c r="E35" s="172"/>
      <c r="F35" s="115"/>
    </row>
    <row r="36" spans="1:7" ht="15" x14ac:dyDescent="0.25">
      <c r="A36" s="171" t="s">
        <v>108</v>
      </c>
      <c r="B36" s="9" t="s">
        <v>109</v>
      </c>
      <c r="C36" s="9"/>
      <c r="D36" s="48"/>
      <c r="E36" s="172">
        <f>Invoerblad!I49+Invoerblad!I127+Invoerblad!I137</f>
        <v>0</v>
      </c>
      <c r="F36" s="165" t="s">
        <v>11</v>
      </c>
    </row>
    <row r="37" spans="1:7" x14ac:dyDescent="0.2">
      <c r="A37" s="171"/>
      <c r="B37" s="9"/>
      <c r="C37" s="9"/>
      <c r="D37" s="48"/>
      <c r="E37" s="172"/>
    </row>
    <row r="38" spans="1:7" x14ac:dyDescent="0.2">
      <c r="A38" s="171" t="s">
        <v>110</v>
      </c>
      <c r="B38" s="46" t="s">
        <v>111</v>
      </c>
      <c r="C38" s="9"/>
      <c r="D38" s="48"/>
      <c r="E38" s="172">
        <f>E34-E36</f>
        <v>312129.36441034277</v>
      </c>
      <c r="F38" s="115"/>
    </row>
    <row r="39" spans="1:7" x14ac:dyDescent="0.2">
      <c r="A39" s="171" t="s">
        <v>112</v>
      </c>
      <c r="B39" s="46" t="s">
        <v>113</v>
      </c>
      <c r="C39" s="9"/>
      <c r="D39" s="48"/>
      <c r="E39" s="172">
        <f>E26+E28-E36</f>
        <v>0</v>
      </c>
      <c r="F39" s="115"/>
    </row>
    <row r="40" spans="1:7" x14ac:dyDescent="0.2">
      <c r="B40" s="46"/>
      <c r="C40" s="9"/>
      <c r="D40" s="48"/>
      <c r="E40" s="178"/>
      <c r="F40" s="115"/>
    </row>
    <row r="41" spans="1:7" x14ac:dyDescent="0.2">
      <c r="A41" s="171" t="s">
        <v>114</v>
      </c>
      <c r="B41" s="46" t="s">
        <v>115</v>
      </c>
      <c r="C41" s="9"/>
      <c r="D41" s="48"/>
      <c r="E41" s="178">
        <f>IF(E38&lt;0,-E38,0)</f>
        <v>0</v>
      </c>
      <c r="F41" s="115"/>
    </row>
    <row r="42" spans="1:7" x14ac:dyDescent="0.2">
      <c r="A42" s="171" t="s">
        <v>116</v>
      </c>
      <c r="B42" s="46" t="s">
        <v>117</v>
      </c>
      <c r="C42" s="9"/>
      <c r="D42" s="48"/>
      <c r="E42" s="178">
        <f>IF(E39&lt;0,-E39,0)</f>
        <v>0</v>
      </c>
      <c r="F42" s="115"/>
    </row>
    <row r="43" spans="1:7" x14ac:dyDescent="0.2">
      <c r="A43" s="179"/>
      <c r="B43" s="180"/>
      <c r="C43" s="180"/>
      <c r="D43" s="173"/>
      <c r="E43" s="181"/>
      <c r="F43" s="115"/>
      <c r="G43" s="71"/>
    </row>
    <row r="44" spans="1:7" x14ac:dyDescent="0.2">
      <c r="D44" s="48"/>
      <c r="E44" s="48"/>
      <c r="F44" s="115"/>
      <c r="G44" s="71"/>
    </row>
    <row r="45" spans="1:7" x14ac:dyDescent="0.2">
      <c r="D45" s="48"/>
      <c r="E45" s="48"/>
      <c r="G45" s="182"/>
    </row>
    <row r="46" spans="1:7" ht="15.75" x14ac:dyDescent="0.25">
      <c r="A46" s="183" t="s">
        <v>118</v>
      </c>
      <c r="B46" s="168"/>
      <c r="C46" s="168"/>
      <c r="D46" s="184"/>
      <c r="E46" s="169"/>
      <c r="F46" s="115"/>
      <c r="G46" s="182"/>
    </row>
    <row r="47" spans="1:7" x14ac:dyDescent="0.2">
      <c r="A47" s="275"/>
      <c r="B47" s="26"/>
      <c r="C47" s="26"/>
      <c r="D47" s="48"/>
      <c r="E47" s="172"/>
      <c r="F47" s="115"/>
      <c r="G47" s="182"/>
    </row>
    <row r="48" spans="1:7" x14ac:dyDescent="0.2">
      <c r="A48" s="185" t="s">
        <v>119</v>
      </c>
      <c r="B48" s="26"/>
      <c r="C48" s="26"/>
      <c r="D48" s="48"/>
      <c r="E48" s="172"/>
      <c r="F48" s="115"/>
      <c r="G48" s="182"/>
    </row>
    <row r="49" spans="1:17" x14ac:dyDescent="0.2">
      <c r="A49" s="186"/>
      <c r="B49" s="26"/>
      <c r="C49" s="26"/>
      <c r="D49" s="48"/>
      <c r="E49" s="172"/>
      <c r="F49" s="115"/>
      <c r="G49" s="182"/>
      <c r="P49" s="3"/>
      <c r="Q49" s="3"/>
    </row>
    <row r="50" spans="1:17" x14ac:dyDescent="0.2">
      <c r="A50" s="186"/>
      <c r="B50" s="26"/>
      <c r="C50" s="26"/>
      <c r="D50" s="48"/>
      <c r="E50" s="172"/>
      <c r="F50" s="115"/>
      <c r="G50" s="182"/>
      <c r="P50" s="3"/>
      <c r="Q50" s="3"/>
    </row>
    <row r="51" spans="1:17" ht="15" x14ac:dyDescent="0.25">
      <c r="A51" s="186" t="s">
        <v>120</v>
      </c>
      <c r="B51" s="46" t="s">
        <v>121</v>
      </c>
      <c r="C51" s="26"/>
      <c r="D51" s="48"/>
      <c r="E51" s="317">
        <f>IF('hulpberekeningen 2'!D66&lt;=10000,0,SMALL('hulpberekeningen 2'!D64:D65,1))</f>
        <v>0</v>
      </c>
      <c r="F51" s="165" t="s">
        <v>11</v>
      </c>
      <c r="G51" s="182"/>
      <c r="P51" s="3"/>
      <c r="Q51" s="3"/>
    </row>
    <row r="52" spans="1:17" s="3" customFormat="1" ht="15" x14ac:dyDescent="0.25">
      <c r="A52" s="186"/>
      <c r="B52" s="46"/>
      <c r="C52" s="26"/>
      <c r="D52" s="48"/>
      <c r="E52" s="178"/>
      <c r="F52" s="165"/>
      <c r="G52" s="182"/>
      <c r="O52" s="139"/>
    </row>
    <row r="53" spans="1:17" x14ac:dyDescent="0.2">
      <c r="A53" s="403" t="s">
        <v>321</v>
      </c>
      <c r="B53" s="431" t="s">
        <v>261</v>
      </c>
      <c r="C53" s="431"/>
      <c r="D53" s="432"/>
      <c r="E53" s="433">
        <f>'hulpberekeningen 2'!A45</f>
        <v>0</v>
      </c>
      <c r="F53" s="187"/>
      <c r="G53" s="182"/>
    </row>
    <row r="54" spans="1:17" ht="15" x14ac:dyDescent="0.25">
      <c r="A54" s="403" t="s">
        <v>322</v>
      </c>
      <c r="B54" s="431" t="str">
        <f>"Begrote productie vanaf kortingsjaar "&amp;E53&amp;" (MWh)"</f>
        <v>Begrote productie vanaf kortingsjaar 0 (MWh)</v>
      </c>
      <c r="C54" s="431"/>
      <c r="D54" s="432"/>
      <c r="E54" s="434">
        <f>'hulpberekeningen 2'!A41</f>
        <v>13500</v>
      </c>
      <c r="F54" s="165" t="s">
        <v>11</v>
      </c>
      <c r="G54" s="182"/>
    </row>
    <row r="55" spans="1:17" ht="15" x14ac:dyDescent="0.25">
      <c r="A55" s="403" t="s">
        <v>323</v>
      </c>
      <c r="B55" s="431" t="str">
        <f>"Totaal NCW productie (uitbetaling) vanaf kortingjaar "&amp;E53&amp;" (MWh)"</f>
        <v>Totaal NCW productie (uitbetaling) vanaf kortingjaar 0 (MWh)</v>
      </c>
      <c r="C55" s="431"/>
      <c r="D55" s="432"/>
      <c r="E55" s="434">
        <f>'hulpberekeningen 2'!A37</f>
        <v>13500</v>
      </c>
      <c r="F55" s="165" t="s">
        <v>11</v>
      </c>
      <c r="G55" s="182"/>
    </row>
    <row r="56" spans="1:17" s="3" customFormat="1" x14ac:dyDescent="0.2">
      <c r="A56" s="403"/>
      <c r="B56" s="435" t="str">
        <f>"MSK-kortingtarief vanaf kortingsjaar "&amp;E53&amp;" (€/MWh)"</f>
        <v>MSK-kortingtarief vanaf kortingsjaar 0 (€/MWh)</v>
      </c>
      <c r="C56" s="435"/>
      <c r="D56" s="432"/>
      <c r="E56" s="657">
        <f ca="1">IF('hulpberekeningen 2'!A49=1,0,'hulpberekeningen 2'!A50)</f>
        <v>0</v>
      </c>
      <c r="F56" s="115"/>
      <c r="G56" s="182"/>
    </row>
    <row r="57" spans="1:17" x14ac:dyDescent="0.2">
      <c r="A57" s="275"/>
      <c r="B57" s="432"/>
      <c r="C57" s="432"/>
      <c r="D57" s="436"/>
      <c r="E57" s="437"/>
      <c r="F57" s="115"/>
      <c r="G57" s="182"/>
    </row>
    <row r="58" spans="1:17" x14ac:dyDescent="0.2">
      <c r="A58" s="407" t="s">
        <v>316</v>
      </c>
      <c r="B58" s="432" t="s">
        <v>264</v>
      </c>
      <c r="C58" s="432"/>
      <c r="D58" s="432"/>
      <c r="E58" s="438">
        <f>Invoerblad!I141</f>
        <v>0</v>
      </c>
      <c r="F58" s="115"/>
      <c r="G58" s="182"/>
    </row>
    <row r="59" spans="1:17" s="3" customFormat="1" x14ac:dyDescent="0.2">
      <c r="A59" s="407" t="s">
        <v>441</v>
      </c>
      <c r="B59" s="432" t="s">
        <v>315</v>
      </c>
      <c r="C59" s="432"/>
      <c r="D59" s="432"/>
      <c r="E59" s="438">
        <f>MIN(E51,E58)</f>
        <v>0</v>
      </c>
      <c r="F59" s="115"/>
      <c r="G59" s="182"/>
    </row>
    <row r="60" spans="1:17" ht="15" x14ac:dyDescent="0.25">
      <c r="A60" s="407" t="s">
        <v>317</v>
      </c>
      <c r="B60" s="432" t="s">
        <v>327</v>
      </c>
      <c r="C60" s="432"/>
      <c r="D60" s="432"/>
      <c r="E60" s="438">
        <f>E58-E59</f>
        <v>0</v>
      </c>
      <c r="F60" s="165" t="s">
        <v>11</v>
      </c>
      <c r="G60" s="182"/>
    </row>
    <row r="61" spans="1:17" s="3" customFormat="1" x14ac:dyDescent="0.2">
      <c r="A61" s="407" t="s">
        <v>259</v>
      </c>
      <c r="B61" s="432" t="s">
        <v>329</v>
      </c>
      <c r="C61" s="432"/>
      <c r="D61" s="432"/>
      <c r="E61" s="438">
        <f ca="1">Invoerblad!I143</f>
        <v>0</v>
      </c>
      <c r="F61" s="115"/>
      <c r="G61" s="182"/>
    </row>
    <row r="62" spans="1:17" s="3" customFormat="1" ht="15" customHeight="1" x14ac:dyDescent="0.25">
      <c r="A62" s="407" t="s">
        <v>445</v>
      </c>
      <c r="B62" s="829" t="s">
        <v>390</v>
      </c>
      <c r="C62" s="830"/>
      <c r="D62" s="830"/>
      <c r="E62" s="438">
        <f ca="1">MIN(E61-E60,E61)</f>
        <v>0</v>
      </c>
      <c r="F62" s="165"/>
      <c r="G62" s="182"/>
    </row>
    <row r="63" spans="1:17" s="3" customFormat="1" ht="15" customHeight="1" x14ac:dyDescent="0.25">
      <c r="A63" s="407" t="s">
        <v>447</v>
      </c>
      <c r="B63" s="435" t="s">
        <v>413</v>
      </c>
      <c r="C63" s="635"/>
      <c r="D63" s="635"/>
      <c r="E63" s="438">
        <f ca="1">Invoerblad!I172</f>
        <v>0</v>
      </c>
      <c r="F63" s="165"/>
      <c r="G63" s="182"/>
    </row>
    <row r="64" spans="1:17" x14ac:dyDescent="0.2">
      <c r="A64" s="404"/>
      <c r="B64" s="405"/>
      <c r="C64" s="405"/>
      <c r="D64" s="405"/>
      <c r="E64" s="406"/>
      <c r="F64" s="115"/>
      <c r="G64" s="182"/>
    </row>
    <row r="65" spans="1:14" s="3" customFormat="1" ht="15.75" x14ac:dyDescent="0.25">
      <c r="A65" s="189"/>
      <c r="B65" s="190"/>
      <c r="C65" s="90"/>
      <c r="D65" s="90"/>
      <c r="E65" s="191"/>
      <c r="F65" s="115"/>
      <c r="G65" s="182"/>
    </row>
    <row r="66" spans="1:14" s="3" customFormat="1" x14ac:dyDescent="0.2">
      <c r="A66" s="115"/>
      <c r="B66" s="182"/>
    </row>
    <row r="67" spans="1:14" ht="15" x14ac:dyDescent="0.25">
      <c r="A67" s="165" t="s">
        <v>11</v>
      </c>
      <c r="B67" s="71"/>
    </row>
    <row r="68" spans="1:14" x14ac:dyDescent="0.2">
      <c r="A68" s="115"/>
      <c r="B68" s="71"/>
      <c r="E68" s="430"/>
    </row>
    <row r="69" spans="1:14" x14ac:dyDescent="0.2">
      <c r="A69" s="115"/>
    </row>
    <row r="70" spans="1:14" x14ac:dyDescent="0.2">
      <c r="B70" s="192"/>
      <c r="C70" s="193"/>
      <c r="D70" s="139"/>
    </row>
    <row r="71" spans="1:14" x14ac:dyDescent="0.2">
      <c r="A71" s="115"/>
      <c r="B71" s="156"/>
      <c r="C71" s="115"/>
    </row>
    <row r="72" spans="1:14" x14ac:dyDescent="0.2">
      <c r="A72" s="115"/>
      <c r="B72" s="156"/>
      <c r="C72" s="115"/>
    </row>
    <row r="73" spans="1:14" x14ac:dyDescent="0.2">
      <c r="A73" s="115"/>
      <c r="B73" s="194"/>
      <c r="C73" s="115"/>
    </row>
    <row r="74" spans="1:14" x14ac:dyDescent="0.2">
      <c r="A74" s="115"/>
      <c r="B74" s="194"/>
      <c r="C74" s="115"/>
    </row>
    <row r="75" spans="1:14" x14ac:dyDescent="0.2">
      <c r="B75" s="194"/>
      <c r="C75" s="115"/>
    </row>
    <row r="76" spans="1:14" x14ac:dyDescent="0.2">
      <c r="B76" s="195"/>
      <c r="C76" s="115"/>
    </row>
    <row r="77" spans="1:14" ht="15.75" x14ac:dyDescent="0.25">
      <c r="B77" s="196"/>
      <c r="C77" s="190"/>
      <c r="D77" s="90"/>
      <c r="E77" s="90"/>
      <c r="F77" s="191"/>
    </row>
    <row r="78" spans="1:14" ht="15.75" x14ac:dyDescent="0.25">
      <c r="B78" s="189"/>
      <c r="C78" s="190"/>
      <c r="D78" s="90"/>
      <c r="E78" s="90"/>
      <c r="F78" s="191"/>
    </row>
    <row r="79" spans="1:14" ht="15.75" hidden="1" x14ac:dyDescent="0.25">
      <c r="E79" s="48"/>
      <c r="G79" s="189"/>
      <c r="H79" s="190"/>
      <c r="I79" s="90"/>
      <c r="J79" s="90"/>
      <c r="K79" s="191"/>
    </row>
    <row r="80" spans="1:14" ht="15.75" x14ac:dyDescent="0.25">
      <c r="E80" s="48"/>
      <c r="G80" s="196"/>
      <c r="H80" s="90"/>
      <c r="I80" s="90"/>
      <c r="J80" s="90"/>
      <c r="K80" s="156"/>
      <c r="L80" s="9"/>
      <c r="M80" s="9"/>
      <c r="N80" s="9"/>
    </row>
    <row r="81" spans="5:14" ht="15.75" x14ac:dyDescent="0.25">
      <c r="E81" s="48"/>
      <c r="G81" s="197"/>
      <c r="H81" s="198"/>
      <c r="I81" s="199"/>
      <c r="J81" s="199"/>
      <c r="K81" s="200"/>
      <c r="L81" s="199"/>
      <c r="M81" s="199"/>
      <c r="N81" s="9"/>
    </row>
    <row r="82" spans="5:14" ht="15.75" hidden="1" x14ac:dyDescent="0.25">
      <c r="E82" s="48"/>
      <c r="G82" s="197"/>
      <c r="H82" s="197"/>
      <c r="I82" s="199"/>
      <c r="J82" s="199"/>
      <c r="K82" s="200"/>
      <c r="L82" s="199"/>
      <c r="M82" s="199"/>
      <c r="N82" s="9"/>
    </row>
    <row r="83" spans="5:14" ht="15.75" x14ac:dyDescent="0.25">
      <c r="E83" s="48"/>
      <c r="G83" s="197"/>
      <c r="H83" s="197"/>
      <c r="I83" s="201"/>
      <c r="J83" s="202"/>
      <c r="K83" s="203"/>
      <c r="L83" s="199"/>
      <c r="M83" s="199"/>
      <c r="N83" s="9"/>
    </row>
    <row r="84" spans="5:14" ht="15.75" x14ac:dyDescent="0.25">
      <c r="E84" s="48"/>
      <c r="G84" s="197"/>
      <c r="H84" s="197"/>
      <c r="I84" s="199"/>
      <c r="J84" s="199"/>
      <c r="K84" s="200"/>
      <c r="L84" s="199"/>
      <c r="M84" s="199"/>
      <c r="N84" s="9"/>
    </row>
    <row r="85" spans="5:14" ht="15.75" x14ac:dyDescent="0.25">
      <c r="E85" s="48"/>
      <c r="G85" s="197"/>
      <c r="H85" s="197"/>
      <c r="I85" s="199"/>
      <c r="J85" s="199"/>
      <c r="K85" s="200"/>
      <c r="L85" s="199"/>
      <c r="M85" s="199"/>
      <c r="N85" s="9"/>
    </row>
    <row r="86" spans="5:14" ht="15.75" x14ac:dyDescent="0.25">
      <c r="E86" s="48"/>
      <c r="G86" s="197"/>
      <c r="H86" s="197"/>
      <c r="I86" s="199"/>
      <c r="J86" s="199"/>
      <c r="K86" s="204"/>
      <c r="L86" s="199"/>
      <c r="M86" s="199"/>
      <c r="N86" s="9"/>
    </row>
    <row r="87" spans="5:14" ht="15.75" x14ac:dyDescent="0.25">
      <c r="E87" s="48"/>
      <c r="G87" s="197"/>
      <c r="H87" s="197"/>
      <c r="I87" s="199"/>
      <c r="J87" s="199"/>
      <c r="K87" s="199"/>
      <c r="L87" s="199"/>
      <c r="M87" s="199"/>
      <c r="N87" s="9"/>
    </row>
    <row r="88" spans="5:14" ht="20.25" customHeight="1" x14ac:dyDescent="0.25">
      <c r="E88" s="48"/>
      <c r="G88" s="197"/>
      <c r="H88" s="197"/>
      <c r="I88" s="199"/>
      <c r="J88" s="199"/>
      <c r="K88" s="199"/>
      <c r="L88" s="199"/>
      <c r="M88" s="199"/>
      <c r="N88" s="9"/>
    </row>
    <row r="89" spans="5:14" ht="17.25" customHeight="1" x14ac:dyDescent="0.25">
      <c r="E89" s="48"/>
      <c r="G89" s="205"/>
      <c r="H89" s="205"/>
      <c r="I89" s="199"/>
      <c r="J89" s="199"/>
      <c r="K89" s="199"/>
      <c r="L89" s="199"/>
      <c r="M89" s="199"/>
      <c r="N89" s="9"/>
    </row>
    <row r="90" spans="5:14" ht="17.25" customHeight="1" x14ac:dyDescent="0.2">
      <c r="E90" s="48"/>
      <c r="G90" s="9"/>
      <c r="H90" s="48"/>
      <c r="I90" s="9"/>
      <c r="J90" s="9"/>
      <c r="K90" s="9"/>
      <c r="L90" s="9"/>
      <c r="M90" s="9"/>
      <c r="N90" s="9"/>
    </row>
    <row r="91" spans="5:14" ht="17.25" customHeight="1" x14ac:dyDescent="0.2">
      <c r="E91" s="48"/>
      <c r="H91" s="48"/>
    </row>
    <row r="92" spans="5:14" ht="17.25" customHeight="1" x14ac:dyDescent="0.2">
      <c r="E92" s="48"/>
      <c r="H92" s="48"/>
    </row>
    <row r="93" spans="5:14" ht="17.25" customHeight="1" x14ac:dyDescent="0.2">
      <c r="E93" s="48"/>
      <c r="H93" s="48"/>
    </row>
    <row r="94" spans="5:14" ht="17.25" customHeight="1" x14ac:dyDescent="0.2">
      <c r="E94" s="48"/>
      <c r="H94" s="48"/>
    </row>
    <row r="95" spans="5:14" ht="17.25" customHeight="1" x14ac:dyDescent="0.2">
      <c r="E95" s="48"/>
      <c r="H95" s="48"/>
    </row>
    <row r="96" spans="5:14" ht="17.25" customHeight="1" x14ac:dyDescent="0.2">
      <c r="E96" s="48"/>
      <c r="H96" s="48"/>
    </row>
    <row r="97" spans="5:5" x14ac:dyDescent="0.2">
      <c r="E97" s="48"/>
    </row>
    <row r="98" spans="5:5" x14ac:dyDescent="0.2">
      <c r="E98" s="48"/>
    </row>
    <row r="99" spans="5:5" x14ac:dyDescent="0.2">
      <c r="E99" s="48"/>
    </row>
    <row r="100" spans="5:5" x14ac:dyDescent="0.2">
      <c r="E100" s="48"/>
    </row>
    <row r="101" spans="5:5" x14ac:dyDescent="0.2">
      <c r="E101" s="48"/>
    </row>
    <row r="102" spans="5:5" x14ac:dyDescent="0.2">
      <c r="E102" s="48"/>
    </row>
    <row r="103" spans="5:5" x14ac:dyDescent="0.2">
      <c r="E103" s="48"/>
    </row>
    <row r="104" spans="5:5" x14ac:dyDescent="0.2">
      <c r="E104" s="48"/>
    </row>
    <row r="105" spans="5:5" x14ac:dyDescent="0.2">
      <c r="E105" s="48"/>
    </row>
    <row r="106" spans="5:5" x14ac:dyDescent="0.2">
      <c r="E106" s="48"/>
    </row>
    <row r="107" spans="5:5" x14ac:dyDescent="0.2">
      <c r="E107" s="48"/>
    </row>
    <row r="108" spans="5:5" x14ac:dyDescent="0.2">
      <c r="E108" s="48"/>
    </row>
    <row r="109" spans="5:5" x14ac:dyDescent="0.2">
      <c r="E109" s="48"/>
    </row>
    <row r="110" spans="5:5" x14ac:dyDescent="0.2">
      <c r="E110" s="48"/>
    </row>
    <row r="111" spans="5:5" x14ac:dyDescent="0.2">
      <c r="E111" s="48"/>
    </row>
    <row r="112" spans="5:5" x14ac:dyDescent="0.2">
      <c r="E112" s="48"/>
    </row>
    <row r="113" spans="5:5" x14ac:dyDescent="0.2">
      <c r="E113" s="48"/>
    </row>
    <row r="114" spans="5:5" x14ac:dyDescent="0.2">
      <c r="E114" s="48"/>
    </row>
    <row r="115" spans="5:5" x14ac:dyDescent="0.2">
      <c r="E115" s="48"/>
    </row>
    <row r="116" spans="5:5" x14ac:dyDescent="0.2">
      <c r="E116" s="48"/>
    </row>
    <row r="117" spans="5:5" x14ac:dyDescent="0.2">
      <c r="E117" s="48"/>
    </row>
    <row r="118" spans="5:5" x14ac:dyDescent="0.2">
      <c r="E118" s="48"/>
    </row>
    <row r="119" spans="5:5" x14ac:dyDescent="0.2">
      <c r="E119" s="48"/>
    </row>
    <row r="120" spans="5:5" x14ac:dyDescent="0.2">
      <c r="E120" s="48"/>
    </row>
    <row r="121" spans="5:5" x14ac:dyDescent="0.2">
      <c r="E121" s="48"/>
    </row>
    <row r="122" spans="5:5" x14ac:dyDescent="0.2">
      <c r="E122" s="48"/>
    </row>
    <row r="123" spans="5:5" x14ac:dyDescent="0.2">
      <c r="E123" s="48"/>
    </row>
    <row r="124" spans="5:5" x14ac:dyDescent="0.2">
      <c r="E124" s="48"/>
    </row>
    <row r="125" spans="5:5" x14ac:dyDescent="0.2">
      <c r="E125" s="48"/>
    </row>
    <row r="126" spans="5:5" x14ac:dyDescent="0.2">
      <c r="E126" s="48"/>
    </row>
    <row r="127" spans="5:5" x14ac:dyDescent="0.2">
      <c r="E127" s="48"/>
    </row>
    <row r="128" spans="5:5" x14ac:dyDescent="0.2">
      <c r="E128" s="48"/>
    </row>
    <row r="129" spans="5:5" x14ac:dyDescent="0.2">
      <c r="E129" s="48"/>
    </row>
    <row r="130" spans="5:5" x14ac:dyDescent="0.2">
      <c r="E130" s="48"/>
    </row>
  </sheetData>
  <mergeCells count="1">
    <mergeCell ref="B62:D62"/>
  </mergeCells>
  <phoneticPr fontId="56" type="noConversion"/>
  <hyperlinks>
    <hyperlink ref="F1" location="Toelichting!A169" display="Info" xr:uid="{00000000-0004-0000-0200-000000000000}"/>
    <hyperlink ref="F28" location="Toelichting!A183" display="Info" xr:uid="{00000000-0004-0000-0200-000001000000}"/>
    <hyperlink ref="F36" location="Toelichting!A187" display="Info" xr:uid="{00000000-0004-0000-0200-000002000000}"/>
    <hyperlink ref="F51" location="Toelichting!A198" display="Info" xr:uid="{00000000-0004-0000-0200-000003000000}"/>
    <hyperlink ref="F54" location="Toelichting!A200" display="Info" xr:uid="{00000000-0004-0000-0200-000004000000}"/>
    <hyperlink ref="F55" location="Toelichting!A201" display="Info" xr:uid="{00000000-0004-0000-0200-000005000000}"/>
    <hyperlink ref="F60" location="Toelichting!A203" display="Info" xr:uid="{00000000-0004-0000-0200-000006000000}"/>
    <hyperlink ref="A67" location="Toelichting!A204" display="Info" xr:uid="{00000000-0004-0000-0200-000007000000}"/>
  </hyperlinks>
  <pageMargins left="0.78749999999999998" right="0.78749999999999998" top="0.196527777777778" bottom="0.196527777777778" header="0.51180555555555496" footer="0.51180555555555496"/>
  <pageSetup paperSize="8" scale="72" firstPageNumber="0" orientation="landscape" horizontalDpi="300" verticalDpi="300" r:id="rId1"/>
  <headerFooter>
    <oddHeader>&amp;L&amp;"Calibri"&amp;10&amp;K000000 Vertrouwelijk&amp;1#_x000D_</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64CD8-7F0B-4BD4-851C-85C3D59D3381}">
  <dimension ref="A1:AB66"/>
  <sheetViews>
    <sheetView topLeftCell="A8" zoomScale="80" zoomScaleNormal="80" workbookViewId="0">
      <selection activeCell="A49" sqref="A49"/>
    </sheetView>
  </sheetViews>
  <sheetFormatPr defaultRowHeight="12.75" x14ac:dyDescent="0.2"/>
  <cols>
    <col min="1" max="1" width="80.83203125" customWidth="1"/>
    <col min="2" max="2" width="12.6640625" style="3" customWidth="1"/>
    <col min="3" max="3" width="25.1640625" customWidth="1"/>
    <col min="4" max="20" width="15.83203125" customWidth="1"/>
    <col min="21" max="21" width="10.5" customWidth="1"/>
  </cols>
  <sheetData>
    <row r="1" spans="1:28" ht="18.75" x14ac:dyDescent="0.3">
      <c r="A1" s="322" t="s">
        <v>380</v>
      </c>
      <c r="B1" s="322"/>
    </row>
    <row r="2" spans="1:28" s="3" customFormat="1" ht="12.75" customHeight="1" x14ac:dyDescent="0.3">
      <c r="A2" s="322"/>
      <c r="B2" s="322"/>
    </row>
    <row r="3" spans="1:28" s="3" customFormat="1" ht="15.75" customHeight="1" x14ac:dyDescent="0.25">
      <c r="A3" s="505" t="s">
        <v>391</v>
      </c>
      <c r="B3" s="505">
        <f>Invoerblad!E16</f>
        <v>1</v>
      </c>
    </row>
    <row r="4" spans="1:28" s="3" customFormat="1" ht="15.75" customHeight="1" x14ac:dyDescent="0.25">
      <c r="A4" s="505" t="s">
        <v>392</v>
      </c>
      <c r="B4" s="505">
        <f>Invoerblad!E17</f>
        <v>1</v>
      </c>
      <c r="D4" s="310">
        <f>Invoerblad!K17</f>
        <v>1</v>
      </c>
      <c r="E4" s="310">
        <f>Invoerblad!L17</f>
        <v>2</v>
      </c>
      <c r="F4" s="310">
        <f>Invoerblad!M17</f>
        <v>3</v>
      </c>
      <c r="G4" s="310">
        <f>Invoerblad!N17</f>
        <v>4</v>
      </c>
      <c r="H4" s="310">
        <f>Invoerblad!O17</f>
        <v>5</v>
      </c>
      <c r="I4" s="310">
        <f>Invoerblad!P17</f>
        <v>6</v>
      </c>
      <c r="J4" s="310">
        <f>Invoerblad!Q17</f>
        <v>7</v>
      </c>
      <c r="K4" s="310">
        <f>Invoerblad!R17</f>
        <v>8</v>
      </c>
      <c r="L4" s="310">
        <f>Invoerblad!S17</f>
        <v>9</v>
      </c>
      <c r="M4" s="310">
        <f>Invoerblad!T17</f>
        <v>10</v>
      </c>
      <c r="N4" s="310">
        <f>Invoerblad!U17</f>
        <v>11</v>
      </c>
      <c r="O4" s="310">
        <f>Invoerblad!V17</f>
        <v>12</v>
      </c>
      <c r="P4" s="310">
        <f>Invoerblad!W17</f>
        <v>13</v>
      </c>
      <c r="Q4" s="310">
        <f>Invoerblad!X17</f>
        <v>14</v>
      </c>
      <c r="R4" s="310">
        <f>Invoerblad!Y17</f>
        <v>15</v>
      </c>
      <c r="S4" s="310">
        <f>Invoerblad!Z17</f>
        <v>16</v>
      </c>
      <c r="T4" s="310">
        <f>Invoerblad!AA17</f>
        <v>17</v>
      </c>
    </row>
    <row r="5" spans="1:28" s="3" customFormat="1" ht="15.75" customHeight="1" thickBot="1" x14ac:dyDescent="0.3">
      <c r="A5" s="505" t="s">
        <v>17</v>
      </c>
      <c r="B5" s="505">
        <f>Invoerblad!E18</f>
        <v>15</v>
      </c>
      <c r="D5" s="310">
        <f>Invoerblad!K18</f>
        <v>1900</v>
      </c>
      <c r="E5" s="310">
        <f>Invoerblad!L18</f>
        <v>1901</v>
      </c>
      <c r="F5" s="310">
        <f>Invoerblad!M18</f>
        <v>1902</v>
      </c>
      <c r="G5" s="310">
        <f>Invoerblad!N18</f>
        <v>1903</v>
      </c>
      <c r="H5" s="310">
        <f>Invoerblad!O18</f>
        <v>1904</v>
      </c>
      <c r="I5" s="310">
        <f>Invoerblad!P18</f>
        <v>1905</v>
      </c>
      <c r="J5" s="310">
        <f>Invoerblad!Q18</f>
        <v>1906</v>
      </c>
      <c r="K5" s="310">
        <f>Invoerblad!R18</f>
        <v>1907</v>
      </c>
      <c r="L5" s="310">
        <f>Invoerblad!S18</f>
        <v>1908</v>
      </c>
      <c r="M5" s="310">
        <f>Invoerblad!T18</f>
        <v>1909</v>
      </c>
      <c r="N5" s="310">
        <f>Invoerblad!U18</f>
        <v>1910</v>
      </c>
      <c r="O5" s="310">
        <f>Invoerblad!V18</f>
        <v>1911</v>
      </c>
      <c r="P5" s="310">
        <f>Invoerblad!W18</f>
        <v>1912</v>
      </c>
      <c r="Q5" s="310">
        <f>Invoerblad!X18</f>
        <v>1913</v>
      </c>
      <c r="R5" s="310">
        <f>Invoerblad!Y18</f>
        <v>1914</v>
      </c>
      <c r="S5" s="310">
        <f>Invoerblad!Z18</f>
        <v>1915</v>
      </c>
      <c r="T5" s="310">
        <f>Invoerblad!AA18</f>
        <v>1916</v>
      </c>
    </row>
    <row r="6" spans="1:28" s="3" customFormat="1" ht="15.75" customHeight="1" thickBot="1" x14ac:dyDescent="0.3">
      <c r="A6" s="505" t="s">
        <v>346</v>
      </c>
      <c r="B6" s="505">
        <f>Invoerblad!E19</f>
        <v>900</v>
      </c>
      <c r="D6" s="530">
        <f>Invoerblad!K19</f>
        <v>900</v>
      </c>
      <c r="E6" s="530">
        <f>Invoerblad!L19</f>
        <v>900</v>
      </c>
      <c r="F6" s="530">
        <f>Invoerblad!M19</f>
        <v>900</v>
      </c>
      <c r="G6" s="530">
        <f>Invoerblad!N19</f>
        <v>900</v>
      </c>
      <c r="H6" s="530">
        <f>Invoerblad!O19</f>
        <v>900</v>
      </c>
      <c r="I6" s="530">
        <f>Invoerblad!P19</f>
        <v>900</v>
      </c>
      <c r="J6" s="530">
        <f>Invoerblad!Q19</f>
        <v>900</v>
      </c>
      <c r="K6" s="530">
        <f>Invoerblad!R19</f>
        <v>900</v>
      </c>
      <c r="L6" s="530">
        <f>Invoerblad!S19</f>
        <v>900</v>
      </c>
      <c r="M6" s="530">
        <f>Invoerblad!T19</f>
        <v>900</v>
      </c>
      <c r="N6" s="530">
        <f>Invoerblad!U19</f>
        <v>900</v>
      </c>
      <c r="O6" s="530">
        <f>Invoerblad!V19</f>
        <v>900</v>
      </c>
      <c r="P6" s="530">
        <f>Invoerblad!W19</f>
        <v>900</v>
      </c>
      <c r="Q6" s="530">
        <f>Invoerblad!X19</f>
        <v>900</v>
      </c>
      <c r="R6" s="530">
        <f>Invoerblad!Y19</f>
        <v>900</v>
      </c>
      <c r="S6" s="530">
        <f>Invoerblad!Z19</f>
        <v>0</v>
      </c>
      <c r="T6" s="530">
        <f>Invoerblad!AA19</f>
        <v>0</v>
      </c>
    </row>
    <row r="7" spans="1:28" s="3" customFormat="1" ht="15.75" customHeight="1" thickBot="1" x14ac:dyDescent="0.3">
      <c r="A7" s="505" t="s">
        <v>344</v>
      </c>
      <c r="B7" s="505">
        <f>Invoerblad!E20</f>
        <v>900</v>
      </c>
      <c r="D7" s="530">
        <f>$B$7*'Hulpberekeningen 1'!E24</f>
        <v>900</v>
      </c>
      <c r="E7" s="530">
        <f>$B$7*'Hulpberekeningen 1'!F24</f>
        <v>900</v>
      </c>
      <c r="F7" s="530">
        <f>$B$7*'Hulpberekeningen 1'!G24</f>
        <v>900</v>
      </c>
      <c r="G7" s="530">
        <f>$B$7*'Hulpberekeningen 1'!H24</f>
        <v>900</v>
      </c>
      <c r="H7" s="530">
        <f>$B$7*'Hulpberekeningen 1'!I24</f>
        <v>900</v>
      </c>
      <c r="I7" s="530">
        <f>$B$7*'Hulpberekeningen 1'!J24</f>
        <v>900</v>
      </c>
      <c r="J7" s="530">
        <f>$B$7*'Hulpberekeningen 1'!K24</f>
        <v>900</v>
      </c>
      <c r="K7" s="530">
        <f>$B$7*'Hulpberekeningen 1'!L24</f>
        <v>900</v>
      </c>
      <c r="L7" s="530">
        <f>$B$7*'Hulpberekeningen 1'!M24</f>
        <v>900</v>
      </c>
      <c r="M7" s="530">
        <f>$B$7*'Hulpberekeningen 1'!N24</f>
        <v>900</v>
      </c>
      <c r="N7" s="530">
        <f>$B$7*'Hulpberekeningen 1'!O24</f>
        <v>900</v>
      </c>
      <c r="O7" s="530">
        <f>$B$7*'Hulpberekeningen 1'!P24</f>
        <v>900</v>
      </c>
      <c r="P7" s="530">
        <f>$B$7*'Hulpberekeningen 1'!Q24</f>
        <v>900</v>
      </c>
      <c r="Q7" s="530">
        <f>$B$7*'Hulpberekeningen 1'!R24</f>
        <v>900</v>
      </c>
      <c r="R7" s="530">
        <f>$B$7*'Hulpberekeningen 1'!S24</f>
        <v>900</v>
      </c>
      <c r="S7" s="530">
        <f>$B$7*'Hulpberekeningen 1'!T24</f>
        <v>0</v>
      </c>
      <c r="T7" s="530">
        <f>$B$7*'Hulpberekeningen 1'!U24</f>
        <v>0</v>
      </c>
    </row>
    <row r="8" spans="1:28" s="3" customFormat="1" ht="15.75" customHeight="1" thickBot="1" x14ac:dyDescent="0.3">
      <c r="A8" s="505" t="s">
        <v>347</v>
      </c>
      <c r="D8" s="530">
        <f>D6*$B$3/$B$4</f>
        <v>900</v>
      </c>
      <c r="E8" s="530">
        <f t="shared" ref="E8:T8" si="0">E6*$B$3/$B$4</f>
        <v>900</v>
      </c>
      <c r="F8" s="530">
        <f t="shared" si="0"/>
        <v>900</v>
      </c>
      <c r="G8" s="530">
        <f t="shared" si="0"/>
        <v>900</v>
      </c>
      <c r="H8" s="530">
        <f t="shared" si="0"/>
        <v>900</v>
      </c>
      <c r="I8" s="530">
        <f t="shared" si="0"/>
        <v>900</v>
      </c>
      <c r="J8" s="530">
        <f t="shared" si="0"/>
        <v>900</v>
      </c>
      <c r="K8" s="530">
        <f t="shared" si="0"/>
        <v>900</v>
      </c>
      <c r="L8" s="530">
        <f t="shared" si="0"/>
        <v>900</v>
      </c>
      <c r="M8" s="530">
        <f t="shared" si="0"/>
        <v>900</v>
      </c>
      <c r="N8" s="530">
        <f t="shared" si="0"/>
        <v>900</v>
      </c>
      <c r="O8" s="530">
        <f t="shared" si="0"/>
        <v>900</v>
      </c>
      <c r="P8" s="530">
        <f t="shared" si="0"/>
        <v>900</v>
      </c>
      <c r="Q8" s="530">
        <f t="shared" si="0"/>
        <v>900</v>
      </c>
      <c r="R8" s="530">
        <f t="shared" si="0"/>
        <v>900</v>
      </c>
      <c r="S8" s="530">
        <f t="shared" si="0"/>
        <v>0</v>
      </c>
      <c r="T8" s="530">
        <f t="shared" si="0"/>
        <v>0</v>
      </c>
    </row>
    <row r="9" spans="1:28" s="3" customFormat="1" ht="15.75" customHeight="1" thickBot="1" x14ac:dyDescent="0.3">
      <c r="A9" s="505" t="s">
        <v>345</v>
      </c>
      <c r="D9" s="530">
        <f>MIN(D7,D6*$B$3/$B$4)</f>
        <v>900</v>
      </c>
      <c r="E9" s="530">
        <f t="shared" ref="E9:T9" si="1">MIN(E7,E6*$B$3/$B$4)</f>
        <v>900</v>
      </c>
      <c r="F9" s="530">
        <f t="shared" si="1"/>
        <v>900</v>
      </c>
      <c r="G9" s="530">
        <f t="shared" si="1"/>
        <v>900</v>
      </c>
      <c r="H9" s="530">
        <f>MIN(H7,H6*$B$3/$B$4)</f>
        <v>900</v>
      </c>
      <c r="I9" s="530">
        <f t="shared" si="1"/>
        <v>900</v>
      </c>
      <c r="J9" s="530">
        <f t="shared" si="1"/>
        <v>900</v>
      </c>
      <c r="K9" s="530">
        <f t="shared" si="1"/>
        <v>900</v>
      </c>
      <c r="L9" s="530">
        <f t="shared" si="1"/>
        <v>900</v>
      </c>
      <c r="M9" s="530">
        <f t="shared" si="1"/>
        <v>900</v>
      </c>
      <c r="N9" s="530">
        <f t="shared" si="1"/>
        <v>900</v>
      </c>
      <c r="O9" s="530">
        <f t="shared" si="1"/>
        <v>900</v>
      </c>
      <c r="P9" s="530">
        <f t="shared" si="1"/>
        <v>900</v>
      </c>
      <c r="Q9" s="530">
        <f t="shared" si="1"/>
        <v>900</v>
      </c>
      <c r="R9" s="530">
        <f t="shared" si="1"/>
        <v>900</v>
      </c>
      <c r="S9" s="530">
        <f t="shared" si="1"/>
        <v>0</v>
      </c>
      <c r="T9" s="530">
        <f t="shared" si="1"/>
        <v>0</v>
      </c>
    </row>
    <row r="10" spans="1:28" s="3" customFormat="1" ht="15.75" customHeight="1" thickBot="1" x14ac:dyDescent="0.3">
      <c r="A10" s="505"/>
      <c r="D10" s="323"/>
      <c r="E10" s="323"/>
      <c r="F10" s="323"/>
      <c r="G10" s="323"/>
      <c r="H10" s="323"/>
      <c r="I10" s="323"/>
      <c r="J10" s="323"/>
      <c r="K10" s="323"/>
      <c r="L10" s="323"/>
      <c r="M10" s="323"/>
      <c r="N10" s="323"/>
      <c r="O10" s="323"/>
      <c r="P10" s="323"/>
      <c r="Q10" s="323"/>
      <c r="R10" s="323"/>
      <c r="S10" s="323"/>
      <c r="T10" s="323"/>
    </row>
    <row r="11" spans="1:28" s="3" customFormat="1" ht="15.75" customHeight="1" thickBot="1" x14ac:dyDescent="0.3">
      <c r="A11" s="505" t="s">
        <v>349</v>
      </c>
      <c r="D11" s="513"/>
      <c r="E11" s="531">
        <f>IF(E8-E9&gt;0,MIN(D13,E8-E9),0)</f>
        <v>0</v>
      </c>
      <c r="F11" s="531">
        <f t="shared" ref="F11:S11" si="2">IF(F8-F9&gt;0,MIN(E13,F8-F9),0)</f>
        <v>0</v>
      </c>
      <c r="G11" s="531">
        <f t="shared" si="2"/>
        <v>0</v>
      </c>
      <c r="H11" s="531">
        <f t="shared" si="2"/>
        <v>0</v>
      </c>
      <c r="I11" s="531">
        <f t="shared" si="2"/>
        <v>0</v>
      </c>
      <c r="J11" s="531">
        <f t="shared" si="2"/>
        <v>0</v>
      </c>
      <c r="K11" s="531">
        <f t="shared" si="2"/>
        <v>0</v>
      </c>
      <c r="L11" s="531">
        <f t="shared" si="2"/>
        <v>0</v>
      </c>
      <c r="M11" s="531">
        <f t="shared" si="2"/>
        <v>0</v>
      </c>
      <c r="N11" s="531">
        <f t="shared" si="2"/>
        <v>0</v>
      </c>
      <c r="O11" s="531">
        <f t="shared" si="2"/>
        <v>0</v>
      </c>
      <c r="P11" s="531">
        <f t="shared" si="2"/>
        <v>0</v>
      </c>
      <c r="Q11" s="531">
        <f t="shared" si="2"/>
        <v>0</v>
      </c>
      <c r="R11" s="531">
        <f t="shared" si="2"/>
        <v>0</v>
      </c>
      <c r="S11" s="531">
        <f t="shared" si="2"/>
        <v>0</v>
      </c>
      <c r="T11" s="531">
        <f>MIN(S13,B7-D7)</f>
        <v>0</v>
      </c>
    </row>
    <row r="12" spans="1:28" s="3" customFormat="1" ht="15.75" customHeight="1" thickBot="1" x14ac:dyDescent="0.3">
      <c r="A12" s="505" t="s">
        <v>348</v>
      </c>
      <c r="D12" s="513"/>
      <c r="E12" s="532">
        <f t="shared" ref="E12:S12" si="3">IF(E8&lt;E7,MIN(D14,E7-E8),0)</f>
        <v>0</v>
      </c>
      <c r="F12" s="532">
        <f t="shared" si="3"/>
        <v>0</v>
      </c>
      <c r="G12" s="532">
        <f t="shared" si="3"/>
        <v>0</v>
      </c>
      <c r="H12" s="532">
        <f t="shared" si="3"/>
        <v>0</v>
      </c>
      <c r="I12" s="532">
        <f t="shared" si="3"/>
        <v>0</v>
      </c>
      <c r="J12" s="532">
        <f t="shared" si="3"/>
        <v>0</v>
      </c>
      <c r="K12" s="532">
        <f t="shared" si="3"/>
        <v>0</v>
      </c>
      <c r="L12" s="532">
        <f t="shared" si="3"/>
        <v>0</v>
      </c>
      <c r="M12" s="532">
        <f t="shared" si="3"/>
        <v>0</v>
      </c>
      <c r="N12" s="532">
        <f t="shared" si="3"/>
        <v>0</v>
      </c>
      <c r="O12" s="532">
        <f t="shared" si="3"/>
        <v>0</v>
      </c>
      <c r="P12" s="532">
        <f t="shared" si="3"/>
        <v>0</v>
      </c>
      <c r="Q12" s="532">
        <f t="shared" si="3"/>
        <v>0</v>
      </c>
      <c r="R12" s="532">
        <f t="shared" si="3"/>
        <v>0</v>
      </c>
      <c r="S12" s="532">
        <f t="shared" si="3"/>
        <v>0</v>
      </c>
      <c r="T12" s="533"/>
    </row>
    <row r="13" spans="1:28" s="3" customFormat="1" ht="15.75" customHeight="1" thickBot="1" x14ac:dyDescent="0.3">
      <c r="A13" s="505" t="s">
        <v>350</v>
      </c>
      <c r="D13" s="531">
        <f>D7-D9</f>
        <v>0</v>
      </c>
      <c r="E13" s="531">
        <f t="shared" ref="E13:S13" si="4">(D13-E11)+(E7-E9)-E12</f>
        <v>0</v>
      </c>
      <c r="F13" s="531">
        <f t="shared" si="4"/>
        <v>0</v>
      </c>
      <c r="G13" s="531">
        <f t="shared" si="4"/>
        <v>0</v>
      </c>
      <c r="H13" s="531">
        <f>(G13-H11)+(H7-H9)-H12</f>
        <v>0</v>
      </c>
      <c r="I13" s="531">
        <f t="shared" si="4"/>
        <v>0</v>
      </c>
      <c r="J13" s="531">
        <f t="shared" si="4"/>
        <v>0</v>
      </c>
      <c r="K13" s="531">
        <f t="shared" si="4"/>
        <v>0</v>
      </c>
      <c r="L13" s="531">
        <f t="shared" si="4"/>
        <v>0</v>
      </c>
      <c r="M13" s="531">
        <f t="shared" si="4"/>
        <v>0</v>
      </c>
      <c r="N13" s="531">
        <f t="shared" si="4"/>
        <v>0</v>
      </c>
      <c r="O13" s="531">
        <f t="shared" si="4"/>
        <v>0</v>
      </c>
      <c r="P13" s="531">
        <f t="shared" si="4"/>
        <v>0</v>
      </c>
      <c r="Q13" s="531">
        <f t="shared" si="4"/>
        <v>0</v>
      </c>
      <c r="R13" s="531">
        <f t="shared" si="4"/>
        <v>0</v>
      </c>
      <c r="S13" s="531">
        <f t="shared" si="4"/>
        <v>0</v>
      </c>
      <c r="T13" s="513"/>
    </row>
    <row r="14" spans="1:28" s="3" customFormat="1" ht="15.75" customHeight="1" thickBot="1" x14ac:dyDescent="0.3">
      <c r="A14" s="505" t="s">
        <v>351</v>
      </c>
      <c r="D14" s="532">
        <f>IF(D7&gt;D8,0,MIN(D8-D7,$B$7*0.25))</f>
        <v>0</v>
      </c>
      <c r="E14" s="532">
        <f>IF(E7&gt;E8,D14-E12,MIN((D14+E8-E7-E11),$B$7*0.25))</f>
        <v>0</v>
      </c>
      <c r="F14" s="532">
        <f t="shared" ref="F14:S14" si="5">IF(F7&gt;F8,E14-F12,MIN((E14+F8-F7-F11),$B$7*0.25))</f>
        <v>0</v>
      </c>
      <c r="G14" s="532">
        <f t="shared" si="5"/>
        <v>0</v>
      </c>
      <c r="H14" s="532">
        <f t="shared" si="5"/>
        <v>0</v>
      </c>
      <c r="I14" s="532">
        <f t="shared" si="5"/>
        <v>0</v>
      </c>
      <c r="J14" s="532">
        <f t="shared" si="5"/>
        <v>0</v>
      </c>
      <c r="K14" s="532">
        <f t="shared" si="5"/>
        <v>0</v>
      </c>
      <c r="L14" s="532">
        <f t="shared" si="5"/>
        <v>0</v>
      </c>
      <c r="M14" s="532">
        <f t="shared" si="5"/>
        <v>0</v>
      </c>
      <c r="N14" s="532">
        <f t="shared" si="5"/>
        <v>0</v>
      </c>
      <c r="O14" s="532">
        <f t="shared" si="5"/>
        <v>0</v>
      </c>
      <c r="P14" s="532">
        <f t="shared" si="5"/>
        <v>0</v>
      </c>
      <c r="Q14" s="532">
        <f t="shared" si="5"/>
        <v>0</v>
      </c>
      <c r="R14" s="532">
        <f t="shared" si="5"/>
        <v>0</v>
      </c>
      <c r="S14" s="532">
        <f t="shared" si="5"/>
        <v>0</v>
      </c>
      <c r="T14" s="513"/>
    </row>
    <row r="15" spans="1:28" s="3" customFormat="1" ht="12.75" customHeight="1" thickBot="1" x14ac:dyDescent="0.25">
      <c r="A15" s="501"/>
      <c r="D15" s="501"/>
      <c r="E15" s="501"/>
      <c r="F15" s="501"/>
      <c r="G15" s="501"/>
      <c r="H15" s="501"/>
      <c r="I15" s="501"/>
      <c r="J15" s="501"/>
      <c r="K15" s="501"/>
      <c r="L15" s="501"/>
      <c r="M15" s="501"/>
      <c r="N15" s="501"/>
      <c r="O15" s="501"/>
      <c r="P15" s="501"/>
      <c r="Q15" s="501"/>
      <c r="R15" s="501"/>
      <c r="S15" s="501"/>
      <c r="T15" s="323"/>
    </row>
    <row r="16" spans="1:28" s="3" customFormat="1" ht="15.75" thickBot="1" x14ac:dyDescent="0.3">
      <c r="A16" s="215" t="s">
        <v>19</v>
      </c>
      <c r="B16" s="215" t="s">
        <v>387</v>
      </c>
      <c r="C16" s="69"/>
      <c r="D16" s="468">
        <f>D6*$B3</f>
        <v>900</v>
      </c>
      <c r="E16" s="468">
        <f t="shared" ref="E16:T16" si="6">E6*$B3</f>
        <v>900</v>
      </c>
      <c r="F16" s="468">
        <f t="shared" si="6"/>
        <v>900</v>
      </c>
      <c r="G16" s="468">
        <f t="shared" si="6"/>
        <v>900</v>
      </c>
      <c r="H16" s="468">
        <f t="shared" si="6"/>
        <v>900</v>
      </c>
      <c r="I16" s="468">
        <f t="shared" si="6"/>
        <v>900</v>
      </c>
      <c r="J16" s="468">
        <f t="shared" si="6"/>
        <v>900</v>
      </c>
      <c r="K16" s="468">
        <f t="shared" si="6"/>
        <v>900</v>
      </c>
      <c r="L16" s="468">
        <f t="shared" si="6"/>
        <v>900</v>
      </c>
      <c r="M16" s="468">
        <f t="shared" si="6"/>
        <v>900</v>
      </c>
      <c r="N16" s="468">
        <f t="shared" si="6"/>
        <v>900</v>
      </c>
      <c r="O16" s="468">
        <f t="shared" si="6"/>
        <v>900</v>
      </c>
      <c r="P16" s="468">
        <f t="shared" si="6"/>
        <v>900</v>
      </c>
      <c r="Q16" s="468">
        <f t="shared" si="6"/>
        <v>900</v>
      </c>
      <c r="R16" s="468">
        <f t="shared" si="6"/>
        <v>900</v>
      </c>
      <c r="S16" s="468">
        <f t="shared" si="6"/>
        <v>0</v>
      </c>
      <c r="T16" s="468">
        <f t="shared" si="6"/>
        <v>0</v>
      </c>
      <c r="AB16" s="55"/>
    </row>
    <row r="17" spans="1:28" s="3" customFormat="1" ht="15.75" thickBot="1" x14ac:dyDescent="0.3">
      <c r="A17" s="502" t="s">
        <v>21</v>
      </c>
      <c r="B17" s="506">
        <f>Invoerblad!E27</f>
        <v>475</v>
      </c>
      <c r="C17" s="525">
        <f>B17/B19</f>
        <v>0.5</v>
      </c>
      <c r="D17" s="469">
        <f>D16-D18</f>
        <v>450</v>
      </c>
      <c r="E17" s="469">
        <f t="shared" ref="E17:T17" si="7">E16-E18</f>
        <v>450</v>
      </c>
      <c r="F17" s="469">
        <f t="shared" si="7"/>
        <v>450</v>
      </c>
      <c r="G17" s="469">
        <f t="shared" si="7"/>
        <v>450</v>
      </c>
      <c r="H17" s="469">
        <f t="shared" si="7"/>
        <v>450</v>
      </c>
      <c r="I17" s="469">
        <f t="shared" si="7"/>
        <v>450</v>
      </c>
      <c r="J17" s="469">
        <f t="shared" si="7"/>
        <v>450</v>
      </c>
      <c r="K17" s="469">
        <f t="shared" si="7"/>
        <v>450</v>
      </c>
      <c r="L17" s="469">
        <f t="shared" si="7"/>
        <v>450</v>
      </c>
      <c r="M17" s="469">
        <f t="shared" si="7"/>
        <v>450</v>
      </c>
      <c r="N17" s="469">
        <f t="shared" si="7"/>
        <v>450</v>
      </c>
      <c r="O17" s="469">
        <f t="shared" si="7"/>
        <v>450</v>
      </c>
      <c r="P17" s="469">
        <f t="shared" si="7"/>
        <v>450</v>
      </c>
      <c r="Q17" s="469">
        <f t="shared" si="7"/>
        <v>450</v>
      </c>
      <c r="R17" s="469">
        <f t="shared" si="7"/>
        <v>450</v>
      </c>
      <c r="S17" s="469">
        <f t="shared" si="7"/>
        <v>0</v>
      </c>
      <c r="T17" s="469">
        <f t="shared" si="7"/>
        <v>0</v>
      </c>
      <c r="AB17" s="55"/>
    </row>
    <row r="18" spans="1:28" s="3" customFormat="1" ht="15.75" thickBot="1" x14ac:dyDescent="0.3">
      <c r="A18" s="503" t="s">
        <v>23</v>
      </c>
      <c r="B18" s="506">
        <f>Invoerblad!E28</f>
        <v>475</v>
      </c>
      <c r="C18" s="525">
        <f>B18/B19</f>
        <v>0.5</v>
      </c>
      <c r="D18" s="470">
        <f>IF(Invoerblad!K22&gt;0,Invoerblad!K24,D16*$C$18)</f>
        <v>450</v>
      </c>
      <c r="E18" s="470">
        <f>IF(Invoerblad!L22&gt;0,Invoerblad!L24,E16*$C$18)</f>
        <v>450</v>
      </c>
      <c r="F18" s="470">
        <f>IF(Invoerblad!M22&gt;0,Invoerblad!M24,F16*$C$18)</f>
        <v>450</v>
      </c>
      <c r="G18" s="470">
        <f>IF(Invoerblad!N22&gt;0,Invoerblad!N24,G16*$C$18)</f>
        <v>450</v>
      </c>
      <c r="H18" s="470">
        <f>IF(Invoerblad!O22&gt;0,Invoerblad!O24,H16*$C$18)</f>
        <v>450</v>
      </c>
      <c r="I18" s="470">
        <f>IF(Invoerblad!P22&gt;0,Invoerblad!P24,I16*$C$18)</f>
        <v>450</v>
      </c>
      <c r="J18" s="470">
        <f>IF(Invoerblad!Q22&gt;0,Invoerblad!Q24,J16*$C$18)</f>
        <v>450</v>
      </c>
      <c r="K18" s="470">
        <f>IF(Invoerblad!R22&gt;0,Invoerblad!R24,K16*$C$18)</f>
        <v>450</v>
      </c>
      <c r="L18" s="470">
        <f>IF(Invoerblad!S22&gt;0,Invoerblad!S24,L16*$C$18)</f>
        <v>450</v>
      </c>
      <c r="M18" s="470">
        <f>IF(Invoerblad!T22&gt;0,Invoerblad!T24,M16*$C$18)</f>
        <v>450</v>
      </c>
      <c r="N18" s="470">
        <f>IF(Invoerblad!U22&gt;0,Invoerblad!U24,N16*$C$18)</f>
        <v>450</v>
      </c>
      <c r="O18" s="470">
        <f>IF(Invoerblad!V22&gt;0,Invoerblad!V24,O16*$C$18)</f>
        <v>450</v>
      </c>
      <c r="P18" s="470">
        <f>IF(Invoerblad!W22&gt;0,Invoerblad!W24,P16*$C$18)</f>
        <v>450</v>
      </c>
      <c r="Q18" s="470">
        <f>IF(Invoerblad!X22&gt;0,Invoerblad!X24,Q16*$C$18)</f>
        <v>450</v>
      </c>
      <c r="R18" s="470">
        <f>IF(Invoerblad!Y22&gt;0,Invoerblad!Y24,R16*$C$18)</f>
        <v>450</v>
      </c>
      <c r="S18" s="470">
        <f>IF(Invoerblad!Z22&gt;0,Invoerblad!Z24,S16*$C$18)</f>
        <v>0</v>
      </c>
      <c r="T18" s="470">
        <f>IF(Invoerblad!AA22&gt;0,Invoerblad!AA24,T16*$C$18)</f>
        <v>0</v>
      </c>
      <c r="AB18" s="55"/>
    </row>
    <row r="19" spans="1:28" s="3" customFormat="1" ht="15" x14ac:dyDescent="0.25">
      <c r="A19" s="504" t="s">
        <v>356</v>
      </c>
      <c r="B19" s="507">
        <f>B17+B18</f>
        <v>950</v>
      </c>
      <c r="C19" s="473"/>
      <c r="D19" s="488"/>
      <c r="E19" s="488"/>
      <c r="F19" s="488"/>
      <c r="G19" s="488"/>
      <c r="H19" s="488"/>
      <c r="I19" s="488"/>
      <c r="J19" s="488"/>
      <c r="K19" s="488"/>
      <c r="L19" s="488"/>
      <c r="M19" s="488"/>
      <c r="N19" s="488"/>
      <c r="O19" s="488"/>
      <c r="P19" s="488"/>
      <c r="Q19" s="488"/>
      <c r="R19" s="488"/>
      <c r="S19" s="488"/>
      <c r="T19" s="488"/>
      <c r="AB19" s="55"/>
    </row>
    <row r="20" spans="1:28" s="3" customFormat="1" ht="15.75" thickBot="1" x14ac:dyDescent="0.3">
      <c r="A20" s="473"/>
      <c r="C20" s="473"/>
      <c r="D20" s="488"/>
      <c r="E20" s="488"/>
      <c r="F20" s="488"/>
      <c r="G20" s="488"/>
      <c r="H20" s="488"/>
      <c r="I20" s="488"/>
      <c r="J20" s="488"/>
      <c r="K20" s="488"/>
      <c r="L20" s="488"/>
      <c r="M20" s="488"/>
      <c r="N20" s="488"/>
      <c r="O20" s="488"/>
      <c r="P20" s="488"/>
      <c r="Q20" s="488"/>
      <c r="R20" s="488"/>
      <c r="S20" s="488"/>
      <c r="T20" s="488"/>
      <c r="AB20" s="55"/>
    </row>
    <row r="21" spans="1:28" s="3" customFormat="1" ht="15.75" thickBot="1" x14ac:dyDescent="0.3">
      <c r="A21" s="215" t="s">
        <v>353</v>
      </c>
      <c r="C21" s="473"/>
      <c r="D21" s="471">
        <f>'hulpberekeningen 2'!D9*$B$4</f>
        <v>900</v>
      </c>
      <c r="E21" s="471">
        <f>'hulpberekeningen 2'!E9*$B$4</f>
        <v>900</v>
      </c>
      <c r="F21" s="471">
        <f>'hulpberekeningen 2'!F9*$B$4</f>
        <v>900</v>
      </c>
      <c r="G21" s="471">
        <f>'hulpberekeningen 2'!G9*$B$4</f>
        <v>900</v>
      </c>
      <c r="H21" s="471">
        <f>'hulpberekeningen 2'!H9*$B$4</f>
        <v>900</v>
      </c>
      <c r="I21" s="471">
        <f>'hulpberekeningen 2'!I9*$B$4</f>
        <v>900</v>
      </c>
      <c r="J21" s="471">
        <f>'hulpberekeningen 2'!J9*$B$4</f>
        <v>900</v>
      </c>
      <c r="K21" s="471">
        <f>'hulpberekeningen 2'!K9*$B$4</f>
        <v>900</v>
      </c>
      <c r="L21" s="471">
        <f>'hulpberekeningen 2'!L9*$B$4</f>
        <v>900</v>
      </c>
      <c r="M21" s="471">
        <f>'hulpberekeningen 2'!M9*$B$4</f>
        <v>900</v>
      </c>
      <c r="N21" s="471">
        <f>'hulpberekeningen 2'!N9*$B$4</f>
        <v>900</v>
      </c>
      <c r="O21" s="471">
        <f>'hulpberekeningen 2'!O9*$B$4</f>
        <v>900</v>
      </c>
      <c r="P21" s="471">
        <f>'hulpberekeningen 2'!P9*$B$4</f>
        <v>900</v>
      </c>
      <c r="Q21" s="471">
        <f>'hulpberekeningen 2'!Q9*$B$4</f>
        <v>900</v>
      </c>
      <c r="R21" s="471">
        <f>'hulpberekeningen 2'!R9*$B$4</f>
        <v>900</v>
      </c>
      <c r="S21" s="471">
        <f>'hulpberekeningen 2'!S9*$B$4</f>
        <v>0</v>
      </c>
      <c r="T21" s="471">
        <f>'hulpberekeningen 2'!T9*$B$4</f>
        <v>0</v>
      </c>
      <c r="AB21" s="55"/>
    </row>
    <row r="22" spans="1:28" s="3" customFormat="1" ht="15.75" thickBot="1" x14ac:dyDescent="0.3">
      <c r="A22" s="502" t="s">
        <v>354</v>
      </c>
      <c r="C22" s="473"/>
      <c r="D22" s="469">
        <f>D21-D23</f>
        <v>450</v>
      </c>
      <c r="E22" s="469">
        <f>E21-E23</f>
        <v>450</v>
      </c>
      <c r="F22" s="469">
        <f t="shared" ref="F22:T22" si="8">F21-F23</f>
        <v>450</v>
      </c>
      <c r="G22" s="469">
        <f t="shared" si="8"/>
        <v>450</v>
      </c>
      <c r="H22" s="469">
        <f t="shared" si="8"/>
        <v>450</v>
      </c>
      <c r="I22" s="469">
        <f t="shared" si="8"/>
        <v>450</v>
      </c>
      <c r="J22" s="469">
        <f t="shared" si="8"/>
        <v>450</v>
      </c>
      <c r="K22" s="469">
        <f t="shared" si="8"/>
        <v>450</v>
      </c>
      <c r="L22" s="469">
        <f t="shared" si="8"/>
        <v>450</v>
      </c>
      <c r="M22" s="469">
        <f t="shared" si="8"/>
        <v>450</v>
      </c>
      <c r="N22" s="469">
        <f t="shared" si="8"/>
        <v>450</v>
      </c>
      <c r="O22" s="469">
        <f t="shared" si="8"/>
        <v>450</v>
      </c>
      <c r="P22" s="469">
        <f t="shared" si="8"/>
        <v>450</v>
      </c>
      <c r="Q22" s="469">
        <f t="shared" si="8"/>
        <v>450</v>
      </c>
      <c r="R22" s="469">
        <f t="shared" si="8"/>
        <v>450</v>
      </c>
      <c r="S22" s="469">
        <f t="shared" si="8"/>
        <v>0</v>
      </c>
      <c r="T22" s="469">
        <f t="shared" si="8"/>
        <v>0</v>
      </c>
      <c r="AB22" s="55"/>
    </row>
    <row r="23" spans="1:28" s="3" customFormat="1" ht="15.75" thickBot="1" x14ac:dyDescent="0.3">
      <c r="A23" s="503" t="s">
        <v>355</v>
      </c>
      <c r="C23" s="473"/>
      <c r="D23" s="472">
        <f>IF(Invoerblad!K22&gt;0,Invoerblad!K24,D21*$C$18)</f>
        <v>450</v>
      </c>
      <c r="E23" s="472">
        <f>IF(Invoerblad!L22&gt;0,Invoerblad!L24,E21*$C$18)</f>
        <v>450</v>
      </c>
      <c r="F23" s="472">
        <f>IF(Invoerblad!M22&gt;0,Invoerblad!M24,F21*$C$18)</f>
        <v>450</v>
      </c>
      <c r="G23" s="472">
        <f>IF(Invoerblad!N22&gt;0,Invoerblad!N24,G21*$C$18)</f>
        <v>450</v>
      </c>
      <c r="H23" s="472">
        <f>IF(Invoerblad!O22&gt;0,Invoerblad!O24,H21*$C$18)</f>
        <v>450</v>
      </c>
      <c r="I23" s="472">
        <f>IF(Invoerblad!P22&gt;0,Invoerblad!P24,I21*$C$18)</f>
        <v>450</v>
      </c>
      <c r="J23" s="472">
        <f>IF(Invoerblad!Q22&gt;0,Invoerblad!Q24,J21*$C$18)</f>
        <v>450</v>
      </c>
      <c r="K23" s="472">
        <f>IF(Invoerblad!R22&gt;0,Invoerblad!R24,K21*$C$18)</f>
        <v>450</v>
      </c>
      <c r="L23" s="472">
        <f>IF(Invoerblad!S22&gt;0,Invoerblad!S24,L21*$C$18)</f>
        <v>450</v>
      </c>
      <c r="M23" s="472">
        <f>IF(Invoerblad!T22&gt;0,Invoerblad!T24,M21*$C$18)</f>
        <v>450</v>
      </c>
      <c r="N23" s="472">
        <f>IF(Invoerblad!U22&gt;0,Invoerblad!U24,N21*$C$18)</f>
        <v>450</v>
      </c>
      <c r="O23" s="472">
        <f>IF(Invoerblad!V22&gt;0,Invoerblad!V24,O21*$C$18)</f>
        <v>450</v>
      </c>
      <c r="P23" s="472">
        <f>IF(Invoerblad!W22&gt;0,Invoerblad!W24,P21*$C$18)</f>
        <v>450</v>
      </c>
      <c r="Q23" s="472">
        <f>IF(Invoerblad!X22&gt;0,Invoerblad!X24,Q21*$C$18)</f>
        <v>450</v>
      </c>
      <c r="R23" s="472">
        <f>IF(Invoerblad!Y22&gt;0,Invoerblad!Y24,R21*$C$18)</f>
        <v>450</v>
      </c>
      <c r="S23" s="472">
        <f>IF(Invoerblad!Z22&gt;0,Invoerblad!Z24,S21*$C$18)</f>
        <v>0</v>
      </c>
      <c r="T23" s="472">
        <f>IF(Invoerblad!AA22&gt;0,Invoerblad!AA24,T21*$C$18)</f>
        <v>0</v>
      </c>
      <c r="AB23" s="55"/>
    </row>
    <row r="24" spans="1:28" s="3" customFormat="1" ht="15.75" thickBot="1" x14ac:dyDescent="0.3">
      <c r="A24" s="473"/>
      <c r="C24" s="473"/>
      <c r="D24" s="474"/>
      <c r="E24" s="474"/>
      <c r="F24" s="474"/>
      <c r="G24" s="474"/>
      <c r="H24" s="474"/>
      <c r="I24" s="474"/>
      <c r="J24" s="474"/>
      <c r="K24" s="474"/>
      <c r="L24" s="474"/>
      <c r="M24" s="474"/>
      <c r="N24" s="474"/>
      <c r="O24" s="474"/>
      <c r="P24" s="474"/>
      <c r="Q24" s="474"/>
      <c r="R24" s="474"/>
      <c r="S24" s="474"/>
      <c r="T24" s="474"/>
      <c r="AB24" s="55"/>
    </row>
    <row r="25" spans="1:28" s="3" customFormat="1" ht="15.75" thickBot="1" x14ac:dyDescent="0.3">
      <c r="A25" s="215" t="s">
        <v>352</v>
      </c>
      <c r="C25" s="473"/>
      <c r="D25" s="521"/>
      <c r="E25" s="508">
        <f>(E11+E12)*$B$4</f>
        <v>0</v>
      </c>
      <c r="F25" s="508">
        <f t="shared" ref="F25:T25" si="9">(F11+F12)*$B$4</f>
        <v>0</v>
      </c>
      <c r="G25" s="508">
        <f t="shared" si="9"/>
        <v>0</v>
      </c>
      <c r="H25" s="508">
        <f t="shared" si="9"/>
        <v>0</v>
      </c>
      <c r="I25" s="508">
        <f t="shared" si="9"/>
        <v>0</v>
      </c>
      <c r="J25" s="508">
        <f t="shared" si="9"/>
        <v>0</v>
      </c>
      <c r="K25" s="508">
        <f t="shared" si="9"/>
        <v>0</v>
      </c>
      <c r="L25" s="508">
        <f t="shared" si="9"/>
        <v>0</v>
      </c>
      <c r="M25" s="508">
        <f t="shared" si="9"/>
        <v>0</v>
      </c>
      <c r="N25" s="508">
        <f t="shared" si="9"/>
        <v>0</v>
      </c>
      <c r="O25" s="508">
        <f t="shared" si="9"/>
        <v>0</v>
      </c>
      <c r="P25" s="508">
        <f t="shared" si="9"/>
        <v>0</v>
      </c>
      <c r="Q25" s="508">
        <f t="shared" si="9"/>
        <v>0</v>
      </c>
      <c r="R25" s="471">
        <f t="shared" si="9"/>
        <v>0</v>
      </c>
      <c r="S25" s="471">
        <f t="shared" si="9"/>
        <v>0</v>
      </c>
      <c r="T25" s="471">
        <f t="shared" si="9"/>
        <v>0</v>
      </c>
    </row>
    <row r="26" spans="1:28" s="3" customFormat="1" ht="15.75" thickBot="1" x14ac:dyDescent="0.3">
      <c r="A26" s="502" t="s">
        <v>363</v>
      </c>
      <c r="C26" s="473"/>
      <c r="D26" s="521"/>
      <c r="E26" s="509">
        <f>IF(E16&gt;0,$B$4*E11*E17/E16,0)</f>
        <v>0</v>
      </c>
      <c r="F26" s="509">
        <f t="shared" ref="F26:T26" si="10">IF(F16&gt;0,$B$4*F11*F17/F16,0)</f>
        <v>0</v>
      </c>
      <c r="G26" s="509">
        <f t="shared" si="10"/>
        <v>0</v>
      </c>
      <c r="H26" s="509">
        <f t="shared" si="10"/>
        <v>0</v>
      </c>
      <c r="I26" s="509">
        <f t="shared" si="10"/>
        <v>0</v>
      </c>
      <c r="J26" s="509">
        <f t="shared" si="10"/>
        <v>0</v>
      </c>
      <c r="K26" s="509">
        <f t="shared" si="10"/>
        <v>0</v>
      </c>
      <c r="L26" s="509">
        <f t="shared" si="10"/>
        <v>0</v>
      </c>
      <c r="M26" s="509">
        <f t="shared" si="10"/>
        <v>0</v>
      </c>
      <c r="N26" s="509">
        <f t="shared" si="10"/>
        <v>0</v>
      </c>
      <c r="O26" s="509">
        <f t="shared" si="10"/>
        <v>0</v>
      </c>
      <c r="P26" s="509">
        <f t="shared" si="10"/>
        <v>0</v>
      </c>
      <c r="Q26" s="509">
        <f t="shared" si="10"/>
        <v>0</v>
      </c>
      <c r="R26" s="469">
        <f t="shared" si="10"/>
        <v>0</v>
      </c>
      <c r="S26" s="469">
        <f t="shared" si="10"/>
        <v>0</v>
      </c>
      <c r="T26" s="469">
        <f t="shared" si="10"/>
        <v>0</v>
      </c>
    </row>
    <row r="27" spans="1:28" s="3" customFormat="1" ht="15.75" thickBot="1" x14ac:dyDescent="0.3">
      <c r="A27" s="502" t="s">
        <v>364</v>
      </c>
      <c r="C27" s="473"/>
      <c r="D27" s="521"/>
      <c r="E27" s="509">
        <f>IF(D16&gt;0,$B$4*E12*D17/D16,0)</f>
        <v>0</v>
      </c>
      <c r="F27" s="509">
        <f t="shared" ref="F27:T27" si="11">IF(E16&gt;0,$B$4*F12*E17/E16,0)</f>
        <v>0</v>
      </c>
      <c r="G27" s="509">
        <f t="shared" si="11"/>
        <v>0</v>
      </c>
      <c r="H27" s="509">
        <f t="shared" si="11"/>
        <v>0</v>
      </c>
      <c r="I27" s="509">
        <f t="shared" si="11"/>
        <v>0</v>
      </c>
      <c r="J27" s="509">
        <f t="shared" si="11"/>
        <v>0</v>
      </c>
      <c r="K27" s="509">
        <f t="shared" si="11"/>
        <v>0</v>
      </c>
      <c r="L27" s="509">
        <f t="shared" si="11"/>
        <v>0</v>
      </c>
      <c r="M27" s="509">
        <f t="shared" si="11"/>
        <v>0</v>
      </c>
      <c r="N27" s="509">
        <f t="shared" si="11"/>
        <v>0</v>
      </c>
      <c r="O27" s="509">
        <f t="shared" si="11"/>
        <v>0</v>
      </c>
      <c r="P27" s="509">
        <f t="shared" si="11"/>
        <v>0</v>
      </c>
      <c r="Q27" s="509">
        <f t="shared" si="11"/>
        <v>0</v>
      </c>
      <c r="R27" s="469">
        <f t="shared" si="11"/>
        <v>0</v>
      </c>
      <c r="S27" s="469">
        <f t="shared" si="11"/>
        <v>0</v>
      </c>
      <c r="T27" s="469">
        <f t="shared" si="11"/>
        <v>0</v>
      </c>
    </row>
    <row r="28" spans="1:28" s="3" customFormat="1" ht="15.75" thickBot="1" x14ac:dyDescent="0.3">
      <c r="A28" s="503" t="s">
        <v>365</v>
      </c>
      <c r="B28" s="524"/>
      <c r="C28" s="473"/>
      <c r="D28" s="521"/>
      <c r="E28" s="510">
        <f>IF(E16&gt;0,$B$4*E11*E18/E16,0)</f>
        <v>0</v>
      </c>
      <c r="F28" s="510">
        <f t="shared" ref="F28:T28" si="12">IF(F16&gt;0,$B$4*F11*F18/F16,0)</f>
        <v>0</v>
      </c>
      <c r="G28" s="510">
        <f t="shared" si="12"/>
        <v>0</v>
      </c>
      <c r="H28" s="510">
        <f t="shared" si="12"/>
        <v>0</v>
      </c>
      <c r="I28" s="510">
        <f t="shared" si="12"/>
        <v>0</v>
      </c>
      <c r="J28" s="510">
        <f t="shared" si="12"/>
        <v>0</v>
      </c>
      <c r="K28" s="510">
        <f t="shared" si="12"/>
        <v>0</v>
      </c>
      <c r="L28" s="510">
        <f t="shared" si="12"/>
        <v>0</v>
      </c>
      <c r="M28" s="510">
        <f t="shared" si="12"/>
        <v>0</v>
      </c>
      <c r="N28" s="510">
        <f t="shared" si="12"/>
        <v>0</v>
      </c>
      <c r="O28" s="510">
        <f t="shared" si="12"/>
        <v>0</v>
      </c>
      <c r="P28" s="510">
        <f t="shared" si="12"/>
        <v>0</v>
      </c>
      <c r="Q28" s="510">
        <f t="shared" si="12"/>
        <v>0</v>
      </c>
      <c r="R28" s="470">
        <f t="shared" si="12"/>
        <v>0</v>
      </c>
      <c r="S28" s="470">
        <f t="shared" si="12"/>
        <v>0</v>
      </c>
      <c r="T28" s="470">
        <f t="shared" si="12"/>
        <v>0</v>
      </c>
    </row>
    <row r="29" spans="1:28" s="3" customFormat="1" ht="15.75" thickBot="1" x14ac:dyDescent="0.3">
      <c r="A29" s="503" t="s">
        <v>366</v>
      </c>
      <c r="C29" s="473"/>
      <c r="D29" s="521"/>
      <c r="E29" s="510">
        <f>IF(D16&gt;0,$B$4*E12*D18/D16,0)</f>
        <v>0</v>
      </c>
      <c r="F29" s="510">
        <f t="shared" ref="F29:T29" si="13">IF(E16&gt;0,$B$4*F12*E18/E16,0)</f>
        <v>0</v>
      </c>
      <c r="G29" s="510">
        <f t="shared" si="13"/>
        <v>0</v>
      </c>
      <c r="H29" s="510">
        <f t="shared" si="13"/>
        <v>0</v>
      </c>
      <c r="I29" s="510">
        <f t="shared" si="13"/>
        <v>0</v>
      </c>
      <c r="J29" s="510">
        <f t="shared" si="13"/>
        <v>0</v>
      </c>
      <c r="K29" s="510">
        <f t="shared" si="13"/>
        <v>0</v>
      </c>
      <c r="L29" s="510">
        <f t="shared" si="13"/>
        <v>0</v>
      </c>
      <c r="M29" s="510">
        <f t="shared" si="13"/>
        <v>0</v>
      </c>
      <c r="N29" s="510">
        <f t="shared" si="13"/>
        <v>0</v>
      </c>
      <c r="O29" s="510">
        <f t="shared" si="13"/>
        <v>0</v>
      </c>
      <c r="P29" s="510">
        <f t="shared" si="13"/>
        <v>0</v>
      </c>
      <c r="Q29" s="510">
        <f t="shared" si="13"/>
        <v>0</v>
      </c>
      <c r="R29" s="472">
        <f t="shared" si="13"/>
        <v>0</v>
      </c>
      <c r="S29" s="472">
        <f t="shared" si="13"/>
        <v>0</v>
      </c>
      <c r="T29" s="472">
        <f t="shared" si="13"/>
        <v>0</v>
      </c>
    </row>
    <row r="30" spans="1:28" s="3" customFormat="1" x14ac:dyDescent="0.2">
      <c r="A30" s="136"/>
      <c r="G30" s="2"/>
    </row>
    <row r="31" spans="1:28" s="3" customFormat="1" ht="14.25" x14ac:dyDescent="0.2">
      <c r="A31" s="136"/>
      <c r="G31" s="2"/>
      <c r="H31" s="310"/>
      <c r="I31" s="493"/>
    </row>
    <row r="32" spans="1:28" s="3" customFormat="1" ht="12.75" customHeight="1" x14ac:dyDescent="0.2"/>
    <row r="33" spans="1:21" x14ac:dyDescent="0.2">
      <c r="B33" s="332"/>
      <c r="D33">
        <f>+Invoerblad!K17</f>
        <v>1</v>
      </c>
      <c r="E33" s="3">
        <f>+Invoerblad!L17</f>
        <v>2</v>
      </c>
      <c r="F33" s="3">
        <f>+Invoerblad!M17</f>
        <v>3</v>
      </c>
      <c r="G33" s="3">
        <f>+Invoerblad!N17</f>
        <v>4</v>
      </c>
      <c r="H33" s="3">
        <f>+Invoerblad!O17</f>
        <v>5</v>
      </c>
      <c r="I33" s="3">
        <f>+Invoerblad!P17</f>
        <v>6</v>
      </c>
      <c r="J33" s="3">
        <f>+Invoerblad!Q17</f>
        <v>7</v>
      </c>
      <c r="K33" s="3">
        <f>+Invoerblad!R17</f>
        <v>8</v>
      </c>
      <c r="L33" s="3">
        <f>+Invoerblad!S17</f>
        <v>9</v>
      </c>
      <c r="M33" s="3">
        <f>+Invoerblad!T17</f>
        <v>10</v>
      </c>
      <c r="N33" s="3">
        <f>+Invoerblad!U17</f>
        <v>11</v>
      </c>
      <c r="O33" s="3">
        <f>+Invoerblad!V17</f>
        <v>12</v>
      </c>
      <c r="P33" s="3">
        <f>+Invoerblad!W17</f>
        <v>13</v>
      </c>
      <c r="Q33" s="3">
        <f>+Invoerblad!X17</f>
        <v>14</v>
      </c>
      <c r="R33" s="3">
        <f>+Invoerblad!Y17</f>
        <v>15</v>
      </c>
      <c r="S33" s="3">
        <f>+Invoerblad!Z17</f>
        <v>16</v>
      </c>
      <c r="T33" s="3">
        <f>+Invoerblad!AA17</f>
        <v>17</v>
      </c>
      <c r="U33" s="3">
        <f>+Invoerblad!AB17</f>
        <v>0</v>
      </c>
    </row>
    <row r="34" spans="1:21" x14ac:dyDescent="0.2">
      <c r="B34" s="332"/>
      <c r="D34">
        <f>+Invoerblad!K18</f>
        <v>1900</v>
      </c>
      <c r="E34" s="3">
        <f>+Invoerblad!L18</f>
        <v>1901</v>
      </c>
      <c r="F34" s="3">
        <f>+Invoerblad!M18</f>
        <v>1902</v>
      </c>
      <c r="G34" s="3">
        <f>+Invoerblad!N18</f>
        <v>1903</v>
      </c>
      <c r="H34" s="3">
        <f>+Invoerblad!O18</f>
        <v>1904</v>
      </c>
      <c r="I34" s="3">
        <f>+Invoerblad!P18</f>
        <v>1905</v>
      </c>
      <c r="J34" s="3">
        <f>+Invoerblad!Q18</f>
        <v>1906</v>
      </c>
      <c r="K34" s="3">
        <f>+Invoerblad!R18</f>
        <v>1907</v>
      </c>
      <c r="L34" s="3">
        <f>+Invoerblad!S18</f>
        <v>1908</v>
      </c>
      <c r="M34" s="3">
        <f>+Invoerblad!T18</f>
        <v>1909</v>
      </c>
      <c r="N34" s="3">
        <f>+Invoerblad!U18</f>
        <v>1910</v>
      </c>
      <c r="O34" s="3">
        <f>+Invoerblad!V18</f>
        <v>1911</v>
      </c>
      <c r="P34" s="3">
        <f>+Invoerblad!W18</f>
        <v>1912</v>
      </c>
      <c r="Q34" s="3">
        <f>+Invoerblad!X18</f>
        <v>1913</v>
      </c>
      <c r="R34" s="3">
        <f>+Invoerblad!Y18</f>
        <v>1914</v>
      </c>
      <c r="S34" s="3">
        <f>+Invoerblad!Z18</f>
        <v>1915</v>
      </c>
      <c r="T34" s="3">
        <f>+Invoerblad!AA18</f>
        <v>1916</v>
      </c>
      <c r="U34" s="3">
        <f>+Invoerblad!AB18</f>
        <v>0</v>
      </c>
    </row>
    <row r="35" spans="1:21" ht="13.5" thickBot="1" x14ac:dyDescent="0.25">
      <c r="B35" s="332"/>
    </row>
    <row r="36" spans="1:21" ht="15.75" customHeight="1" thickBot="1" x14ac:dyDescent="0.3">
      <c r="A36" s="685" t="s">
        <v>487</v>
      </c>
      <c r="B36" s="324"/>
      <c r="C36" s="310"/>
      <c r="D36" s="320" t="s">
        <v>379</v>
      </c>
      <c r="E36" s="321"/>
      <c r="F36" s="321"/>
      <c r="G36" s="311"/>
      <c r="H36" s="311"/>
      <c r="I36" s="311"/>
      <c r="J36" s="311"/>
      <c r="K36" s="311"/>
      <c r="L36" s="311"/>
      <c r="M36" s="311"/>
      <c r="N36" s="311"/>
      <c r="O36" s="311"/>
      <c r="P36" s="311"/>
      <c r="Q36" s="311"/>
    </row>
    <row r="37" spans="1:21" ht="15" thickBot="1" x14ac:dyDescent="0.25">
      <c r="A37" s="344">
        <f>NPV(Invoerblad!$E$96,D37:U37)*'Hulpberekeningen 1'!$P$32+
NPV(Invoerblad!$E$96,D38:U38)*'Hulpberekeningen 1'!$P$32+
NPV(Invoerblad!$E$96,D39:U39)*'Hulpberekeningen 1'!$P$32+
NPV(Invoerblad!$E$96,D41:U41)*'Hulpberekeningen 1'!$P$32</f>
        <v>13500</v>
      </c>
      <c r="B37" s="325"/>
      <c r="C37" s="312">
        <v>0.8</v>
      </c>
      <c r="D37" s="482">
        <f>IF(D34&gt;=$A$45,Invoerblad!K30,0)*0.8</f>
        <v>720</v>
      </c>
      <c r="E37" s="613">
        <f>IF(E34&gt;=$A$45,Invoerblad!L30,0)*0.8</f>
        <v>720</v>
      </c>
      <c r="F37" s="613">
        <f>IF(F34&gt;=$A$45,Invoerblad!M30,0)*0.8</f>
        <v>720</v>
      </c>
      <c r="G37" s="613">
        <f>IF(G34&gt;=$A$45,Invoerblad!N30,0)*0.8</f>
        <v>720</v>
      </c>
      <c r="H37" s="613">
        <f>IF(H34&gt;=$A$45,Invoerblad!O30,0)*0.8</f>
        <v>720</v>
      </c>
      <c r="I37" s="613">
        <f>IF(I34&gt;=$A$45,Invoerblad!P30,0)*0.8</f>
        <v>720</v>
      </c>
      <c r="J37" s="613">
        <f>IF(J34&gt;=$A$45,Invoerblad!Q30,0)*0.8</f>
        <v>720</v>
      </c>
      <c r="K37" s="613">
        <f>IF(K34&gt;=$A$45,Invoerblad!R30,0)*0.8</f>
        <v>720</v>
      </c>
      <c r="L37" s="613">
        <f>IF(L34&gt;=$A$45,Invoerblad!S30,0)*0.8</f>
        <v>720</v>
      </c>
      <c r="M37" s="613">
        <f>IF(M34&gt;=$A$45,Invoerblad!T30,0)*0.8</f>
        <v>720</v>
      </c>
      <c r="N37" s="613">
        <f>IF(N34&gt;=$A$45,Invoerblad!U30,0)*0.8</f>
        <v>720</v>
      </c>
      <c r="O37" s="613">
        <f>IF(O34&gt;=$A$45,Invoerblad!V30,0)*0.8</f>
        <v>720</v>
      </c>
      <c r="P37" s="613">
        <f>IF(P34&gt;=$A$45,Invoerblad!W30,0)*0.8</f>
        <v>720</v>
      </c>
      <c r="Q37" s="613">
        <f>IF(Q34&gt;=$A$45,Invoerblad!X30,0)*0.8</f>
        <v>720</v>
      </c>
      <c r="R37" s="613">
        <f>IF(R34&gt;=$A$45,Invoerblad!Y30,0)*0.8</f>
        <v>720</v>
      </c>
      <c r="S37" s="613">
        <f>IF(S34&gt;=$A$45,Invoerblad!Z30,0)*0.8</f>
        <v>0</v>
      </c>
      <c r="T37" s="613">
        <f>IF(T34&gt;=$A$45,Invoerblad!AA30,0)*0.8</f>
        <v>0</v>
      </c>
      <c r="U37" s="613">
        <f>IF(U34&gt;=$A$45,Invoerblad!AB30,0)*0.8</f>
        <v>0</v>
      </c>
    </row>
    <row r="38" spans="1:21" ht="15" thickBot="1" x14ac:dyDescent="0.25">
      <c r="A38" s="325"/>
      <c r="B38" s="325"/>
      <c r="C38" s="312">
        <v>0.2</v>
      </c>
      <c r="D38" s="483">
        <v>0</v>
      </c>
      <c r="E38" s="613">
        <f>IF(E34&gt;=($A$45+1),Invoerblad!K30,0)*0.2</f>
        <v>180</v>
      </c>
      <c r="F38" s="613">
        <f>IF(F34&gt;=($A$45+1),Invoerblad!L30,0)*0.2</f>
        <v>180</v>
      </c>
      <c r="G38" s="613">
        <f>IF(G34&gt;=($A$45+1),Invoerblad!M30,0)*0.2</f>
        <v>180</v>
      </c>
      <c r="H38" s="613">
        <f>IF(H34&gt;=($A$45+1),Invoerblad!N30,0)*0.2</f>
        <v>180</v>
      </c>
      <c r="I38" s="613">
        <f>IF(I34&gt;=($A$45+1),Invoerblad!O30,0)*0.2</f>
        <v>180</v>
      </c>
      <c r="J38" s="613">
        <f>IF(J34&gt;=($A$45+1),Invoerblad!P30,0)*0.2</f>
        <v>180</v>
      </c>
      <c r="K38" s="613">
        <f>IF(K34&gt;=($A$45+1),Invoerblad!Q30,0)*0.2</f>
        <v>180</v>
      </c>
      <c r="L38" s="613">
        <f>IF(L34&gt;=($A$45+1),Invoerblad!R30,0)*0.2</f>
        <v>180</v>
      </c>
      <c r="M38" s="613">
        <f>IF(M34&gt;=($A$45+1),Invoerblad!S30,0)*0.2</f>
        <v>180</v>
      </c>
      <c r="N38" s="613">
        <f>IF(N34&gt;=($A$45+1),Invoerblad!T30,0)*0.2</f>
        <v>180</v>
      </c>
      <c r="O38" s="613">
        <f>IF(O34&gt;=($A$45+1),Invoerblad!U30,0)*0.2</f>
        <v>180</v>
      </c>
      <c r="P38" s="613">
        <f>IF(P34&gt;=($A$45+1),Invoerblad!V30,0)*0.2</f>
        <v>180</v>
      </c>
      <c r="Q38" s="613">
        <f>IF(Q34&gt;=($A$45+1),Invoerblad!W30,0)*0.2</f>
        <v>180</v>
      </c>
      <c r="R38" s="613">
        <f>IF(R34&gt;=($A$45+1),Invoerblad!X30,0)*0.2</f>
        <v>180</v>
      </c>
      <c r="S38" s="613">
        <f>IF(S34&gt;=($A$45+1),Invoerblad!Y30,0)*0.2</f>
        <v>180</v>
      </c>
      <c r="T38" s="613">
        <f>IF(T34&gt;=($A$45+1),Invoerblad!Z30,0)*0.2</f>
        <v>0</v>
      </c>
      <c r="U38" s="613">
        <f>IF(U34&gt;=($A$45+1),Invoerblad!AA30,0)*0.2</f>
        <v>0</v>
      </c>
    </row>
    <row r="39" spans="1:21" ht="15.75" thickBot="1" x14ac:dyDescent="0.3">
      <c r="A39" s="339" t="s">
        <v>267</v>
      </c>
      <c r="B39" s="333"/>
      <c r="C39" s="485" t="s">
        <v>260</v>
      </c>
      <c r="D39" s="484">
        <v>0</v>
      </c>
      <c r="E39" s="613">
        <v>0</v>
      </c>
      <c r="F39" s="613">
        <f>E11*$B$4</f>
        <v>0</v>
      </c>
      <c r="G39" s="613">
        <f t="shared" ref="G39:U39" si="14">F11*$B$4</f>
        <v>0</v>
      </c>
      <c r="H39" s="613">
        <f t="shared" si="14"/>
        <v>0</v>
      </c>
      <c r="I39" s="613">
        <f t="shared" si="14"/>
        <v>0</v>
      </c>
      <c r="J39" s="613">
        <f t="shared" si="14"/>
        <v>0</v>
      </c>
      <c r="K39" s="613">
        <f t="shared" si="14"/>
        <v>0</v>
      </c>
      <c r="L39" s="613">
        <f t="shared" si="14"/>
        <v>0</v>
      </c>
      <c r="M39" s="613">
        <f t="shared" si="14"/>
        <v>0</v>
      </c>
      <c r="N39" s="613">
        <f t="shared" si="14"/>
        <v>0</v>
      </c>
      <c r="O39" s="613">
        <f t="shared" si="14"/>
        <v>0</v>
      </c>
      <c r="P39" s="613">
        <f t="shared" si="14"/>
        <v>0</v>
      </c>
      <c r="Q39" s="613">
        <f t="shared" si="14"/>
        <v>0</v>
      </c>
      <c r="R39" s="613">
        <f t="shared" si="14"/>
        <v>0</v>
      </c>
      <c r="S39" s="613">
        <f t="shared" si="14"/>
        <v>0</v>
      </c>
      <c r="T39" s="613">
        <f t="shared" si="14"/>
        <v>0</v>
      </c>
      <c r="U39" s="613">
        <f t="shared" si="14"/>
        <v>0</v>
      </c>
    </row>
    <row r="40" spans="1:21" s="3" customFormat="1" ht="15.75" thickBot="1" x14ac:dyDescent="0.3">
      <c r="A40" s="497"/>
      <c r="B40" s="333"/>
      <c r="C40" s="485" t="s">
        <v>361</v>
      </c>
      <c r="D40" s="484"/>
      <c r="E40" s="613">
        <f>E12*$B$4*80%</f>
        <v>0</v>
      </c>
      <c r="F40" s="613">
        <f t="shared" ref="F40:U40" si="15">F12*$B$4*80%</f>
        <v>0</v>
      </c>
      <c r="G40" s="613">
        <f t="shared" si="15"/>
        <v>0</v>
      </c>
      <c r="H40" s="613">
        <f t="shared" si="15"/>
        <v>0</v>
      </c>
      <c r="I40" s="613">
        <f t="shared" si="15"/>
        <v>0</v>
      </c>
      <c r="J40" s="613">
        <f t="shared" si="15"/>
        <v>0</v>
      </c>
      <c r="K40" s="613">
        <f t="shared" si="15"/>
        <v>0</v>
      </c>
      <c r="L40" s="613">
        <f t="shared" si="15"/>
        <v>0</v>
      </c>
      <c r="M40" s="613">
        <f t="shared" si="15"/>
        <v>0</v>
      </c>
      <c r="N40" s="613">
        <f t="shared" si="15"/>
        <v>0</v>
      </c>
      <c r="O40" s="613">
        <f t="shared" si="15"/>
        <v>0</v>
      </c>
      <c r="P40" s="613">
        <f t="shared" si="15"/>
        <v>0</v>
      </c>
      <c r="Q40" s="613">
        <f t="shared" si="15"/>
        <v>0</v>
      </c>
      <c r="R40" s="613">
        <f t="shared" si="15"/>
        <v>0</v>
      </c>
      <c r="S40" s="613">
        <f t="shared" si="15"/>
        <v>0</v>
      </c>
      <c r="T40" s="613">
        <f t="shared" si="15"/>
        <v>0</v>
      </c>
      <c r="U40" s="613">
        <f t="shared" si="15"/>
        <v>0</v>
      </c>
    </row>
    <row r="41" spans="1:21" ht="15" thickBot="1" x14ac:dyDescent="0.25">
      <c r="A41" s="345">
        <f>SUM(D37:U41)</f>
        <v>13500</v>
      </c>
      <c r="B41" s="334"/>
      <c r="C41" s="498" t="s">
        <v>362</v>
      </c>
      <c r="D41" s="484">
        <v>0</v>
      </c>
      <c r="E41" s="613">
        <v>0</v>
      </c>
      <c r="F41" s="613">
        <f>E12*$B$4*20%</f>
        <v>0</v>
      </c>
      <c r="G41" s="613">
        <f t="shared" ref="G41:U41" si="16">F12*$B$4*20%</f>
        <v>0</v>
      </c>
      <c r="H41" s="613">
        <f t="shared" si="16"/>
        <v>0</v>
      </c>
      <c r="I41" s="613">
        <f t="shared" si="16"/>
        <v>0</v>
      </c>
      <c r="J41" s="613">
        <f t="shared" si="16"/>
        <v>0</v>
      </c>
      <c r="K41" s="613">
        <f t="shared" si="16"/>
        <v>0</v>
      </c>
      <c r="L41" s="613">
        <f t="shared" si="16"/>
        <v>0</v>
      </c>
      <c r="M41" s="613">
        <f t="shared" si="16"/>
        <v>0</v>
      </c>
      <c r="N41" s="613">
        <f t="shared" si="16"/>
        <v>0</v>
      </c>
      <c r="O41" s="613">
        <f t="shared" si="16"/>
        <v>0</v>
      </c>
      <c r="P41" s="613">
        <f t="shared" si="16"/>
        <v>0</v>
      </c>
      <c r="Q41" s="613">
        <f t="shared" si="16"/>
        <v>0</v>
      </c>
      <c r="R41" s="613">
        <f t="shared" si="16"/>
        <v>0</v>
      </c>
      <c r="S41" s="613">
        <f t="shared" si="16"/>
        <v>0</v>
      </c>
      <c r="T41" s="613">
        <f t="shared" si="16"/>
        <v>0</v>
      </c>
      <c r="U41" s="613">
        <f t="shared" si="16"/>
        <v>0</v>
      </c>
    </row>
    <row r="42" spans="1:21" x14ac:dyDescent="0.2">
      <c r="B42" s="332"/>
    </row>
    <row r="43" spans="1:21" ht="13.5" thickBot="1" x14ac:dyDescent="0.25">
      <c r="B43" s="332"/>
    </row>
    <row r="44" spans="1:21" ht="14.25" x14ac:dyDescent="0.2">
      <c r="A44" s="339" t="s">
        <v>261</v>
      </c>
      <c r="B44" s="326"/>
    </row>
    <row r="45" spans="1:21" ht="14.25" x14ac:dyDescent="0.2">
      <c r="A45" s="338">
        <f>+Invoerblad!E46</f>
        <v>0</v>
      </c>
      <c r="B45" s="327"/>
    </row>
    <row r="46" spans="1:21" ht="14.25" x14ac:dyDescent="0.2">
      <c r="A46" s="340" t="s">
        <v>274</v>
      </c>
      <c r="B46" s="326"/>
    </row>
    <row r="47" spans="1:21" ht="14.25" x14ac:dyDescent="0.2">
      <c r="A47" s="442">
        <f>'Overzicht MSK toets'!E51/A37</f>
        <v>0</v>
      </c>
      <c r="B47" s="328"/>
    </row>
    <row r="48" spans="1:21" s="3" customFormat="1" ht="15" x14ac:dyDescent="0.2">
      <c r="A48" s="534" t="s">
        <v>339</v>
      </c>
      <c r="B48" s="440"/>
    </row>
    <row r="49" spans="1:21" s="3" customFormat="1" ht="15" x14ac:dyDescent="0.2">
      <c r="A49" s="535">
        <f ca="1">IF('Overzicht MSK toets'!E62&lt;0,1,0)</f>
        <v>0</v>
      </c>
      <c r="B49" s="315"/>
    </row>
    <row r="50" spans="1:21" s="3" customFormat="1" ht="15" x14ac:dyDescent="0.25">
      <c r="A50" s="656">
        <f ca="1">ROUND(IF(AND('Overzicht MSK toets'!E62&gt;(Invoerblad!E17*Invoerblad!E18*Invoerblad!E20*0.03),'Overzicht MSK toets'!E56&lt;Invoerblad!E100-0.01),MAX(0,'Overzicht MSK toets'!E56)+0.01,
IF(AND('Overzicht MSK toets'!E62&gt;(Invoerblad!E17*Invoerblad!E18*Invoerblad!E20*0.003),'Overzicht MSK toets'!E56&lt;Invoerblad!E100-0.001),MAX(0,'Overzicht MSK toets'!E56)+0.001,
IF(AND('Overzicht MSK toets'!E62&gt;(Invoerblad!E17*Invoerblad!E18*Invoerblad!E20*0.0003),'Overzicht MSK toets'!E56&lt;Invoerblad!E100-0.0001),MAX(0,'Overzicht MSK toets'!E56)+0.0001,
IF(AND('Overzicht MSK toets'!E62&gt;(Invoerblad!E17*Invoerblad!E18*Invoerblad!E20*0.00003),'Overzicht MSK toets'!E56&lt;Invoerblad!E100-0.00001),MAX(0,'Overzicht MSK toets'!E56)+0.00001,
(MAX(0,'Overzicht MSK toets'!E56)+0))))),4)</f>
        <v>0</v>
      </c>
      <c r="B50" s="429"/>
    </row>
    <row r="51" spans="1:21" s="3" customFormat="1" x14ac:dyDescent="0.2">
      <c r="A51" s="441"/>
      <c r="B51" s="429"/>
    </row>
    <row r="52" spans="1:21" ht="14.25" x14ac:dyDescent="0.2">
      <c r="A52" s="341" t="s">
        <v>262</v>
      </c>
      <c r="B52" s="327"/>
      <c r="D52" s="288"/>
    </row>
    <row r="53" spans="1:21" ht="14.25" x14ac:dyDescent="0.2">
      <c r="A53" s="342"/>
      <c r="B53" s="329"/>
    </row>
    <row r="54" spans="1:21" ht="15" thickBot="1" x14ac:dyDescent="0.25">
      <c r="A54" s="343" t="s">
        <v>263</v>
      </c>
      <c r="B54" s="326"/>
    </row>
    <row r="55" spans="1:21" ht="13.5" thickBot="1" x14ac:dyDescent="0.25">
      <c r="A55" s="551">
        <f>+'Overzicht MSK toets'!E51</f>
        <v>0</v>
      </c>
      <c r="B55" s="330"/>
    </row>
    <row r="56" spans="1:21" ht="15" x14ac:dyDescent="0.25">
      <c r="A56" s="331"/>
      <c r="B56" s="335"/>
    </row>
    <row r="57" spans="1:21" ht="15" thickBot="1" x14ac:dyDescent="0.25">
      <c r="A57" s="343" t="s">
        <v>265</v>
      </c>
      <c r="B57" s="332"/>
      <c r="D57">
        <f>+D33</f>
        <v>1</v>
      </c>
      <c r="E57" s="3">
        <f t="shared" ref="E57:S57" si="17">+E33</f>
        <v>2</v>
      </c>
      <c r="F57" s="3">
        <f t="shared" si="17"/>
        <v>3</v>
      </c>
      <c r="G57" s="3">
        <f t="shared" si="17"/>
        <v>4</v>
      </c>
      <c r="H57" s="3">
        <f t="shared" si="17"/>
        <v>5</v>
      </c>
      <c r="I57" s="3">
        <f t="shared" si="17"/>
        <v>6</v>
      </c>
      <c r="J57" s="3">
        <f t="shared" si="17"/>
        <v>7</v>
      </c>
      <c r="K57" s="3">
        <f t="shared" si="17"/>
        <v>8</v>
      </c>
      <c r="L57" s="3">
        <f t="shared" si="17"/>
        <v>9</v>
      </c>
      <c r="M57" s="3">
        <f t="shared" si="17"/>
        <v>10</v>
      </c>
      <c r="N57" s="3">
        <f t="shared" si="17"/>
        <v>11</v>
      </c>
      <c r="O57" s="3">
        <f t="shared" si="17"/>
        <v>12</v>
      </c>
      <c r="P57" s="3">
        <f t="shared" si="17"/>
        <v>13</v>
      </c>
      <c r="Q57" s="3">
        <f t="shared" si="17"/>
        <v>14</v>
      </c>
      <c r="R57" s="3">
        <f t="shared" si="17"/>
        <v>15</v>
      </c>
      <c r="S57" s="3">
        <f t="shared" si="17"/>
        <v>16</v>
      </c>
      <c r="T57" s="3">
        <f t="shared" ref="T57:U57" si="18">+T33</f>
        <v>17</v>
      </c>
      <c r="U57" s="3">
        <f t="shared" si="18"/>
        <v>0</v>
      </c>
    </row>
    <row r="58" spans="1:21" ht="15" thickBot="1" x14ac:dyDescent="0.25">
      <c r="A58" s="343" t="s">
        <v>266</v>
      </c>
      <c r="B58" s="332"/>
      <c r="D58" s="3">
        <f>+D34</f>
        <v>1900</v>
      </c>
      <c r="E58" s="3">
        <f t="shared" ref="E58:S58" si="19">+E34</f>
        <v>1901</v>
      </c>
      <c r="F58" s="3">
        <f t="shared" si="19"/>
        <v>1902</v>
      </c>
      <c r="G58" s="3">
        <f t="shared" si="19"/>
        <v>1903</v>
      </c>
      <c r="H58" s="3">
        <f t="shared" si="19"/>
        <v>1904</v>
      </c>
      <c r="I58" s="3">
        <f t="shared" si="19"/>
        <v>1905</v>
      </c>
      <c r="J58" s="3">
        <f t="shared" si="19"/>
        <v>1906</v>
      </c>
      <c r="K58" s="3">
        <f t="shared" si="19"/>
        <v>1907</v>
      </c>
      <c r="L58" s="3">
        <f t="shared" si="19"/>
        <v>1908</v>
      </c>
      <c r="M58" s="3">
        <f t="shared" si="19"/>
        <v>1909</v>
      </c>
      <c r="N58" s="3">
        <f t="shared" si="19"/>
        <v>1910</v>
      </c>
      <c r="O58" s="3">
        <f t="shared" si="19"/>
        <v>1911</v>
      </c>
      <c r="P58" s="3">
        <f t="shared" si="19"/>
        <v>1912</v>
      </c>
      <c r="Q58" s="3">
        <f t="shared" si="19"/>
        <v>1913</v>
      </c>
      <c r="R58" s="3">
        <f t="shared" si="19"/>
        <v>1914</v>
      </c>
      <c r="S58" s="3">
        <f t="shared" si="19"/>
        <v>1915</v>
      </c>
      <c r="T58" s="3">
        <f t="shared" ref="T58:U58" si="20">+T34</f>
        <v>1916</v>
      </c>
      <c r="U58" s="3">
        <f t="shared" si="20"/>
        <v>0</v>
      </c>
    </row>
    <row r="59" spans="1:21" ht="13.5" thickBot="1" x14ac:dyDescent="0.25">
      <c r="A59" s="552">
        <f>NPV(Invoerblad!$E$96,D59:T59)*'Hulpberekeningen 1'!$P$32</f>
        <v>0</v>
      </c>
      <c r="B59" s="336"/>
      <c r="C59" s="3" t="s">
        <v>273</v>
      </c>
      <c r="D59" s="346">
        <f>SUM(D37:D41)*$A$47</f>
        <v>0</v>
      </c>
      <c r="E59" s="346">
        <f t="shared" ref="E59:R59" si="21">SUM(E37:E41)*$A$47</f>
        <v>0</v>
      </c>
      <c r="F59" s="346">
        <f t="shared" si="21"/>
        <v>0</v>
      </c>
      <c r="G59" s="346">
        <f t="shared" si="21"/>
        <v>0</v>
      </c>
      <c r="H59" s="346">
        <f t="shared" si="21"/>
        <v>0</v>
      </c>
      <c r="I59" s="346">
        <f t="shared" si="21"/>
        <v>0</v>
      </c>
      <c r="J59" s="346">
        <f t="shared" si="21"/>
        <v>0</v>
      </c>
      <c r="K59" s="346">
        <f t="shared" si="21"/>
        <v>0</v>
      </c>
      <c r="L59" s="346">
        <f t="shared" si="21"/>
        <v>0</v>
      </c>
      <c r="M59" s="346">
        <f t="shared" si="21"/>
        <v>0</v>
      </c>
      <c r="N59" s="346">
        <f t="shared" si="21"/>
        <v>0</v>
      </c>
      <c r="O59" s="346">
        <f t="shared" si="21"/>
        <v>0</v>
      </c>
      <c r="P59" s="346">
        <f t="shared" si="21"/>
        <v>0</v>
      </c>
      <c r="Q59" s="346">
        <f t="shared" si="21"/>
        <v>0</v>
      </c>
      <c r="R59" s="346">
        <f t="shared" si="21"/>
        <v>0</v>
      </c>
      <c r="S59" s="346">
        <f>SUM(S37:S41)*$A$47</f>
        <v>0</v>
      </c>
      <c r="T59" s="346">
        <f t="shared" ref="T59:U59" si="22">SUM(T37:T41)*$A$47</f>
        <v>0</v>
      </c>
      <c r="U59" s="346">
        <f t="shared" si="22"/>
        <v>0</v>
      </c>
    </row>
    <row r="60" spans="1:21" x14ac:dyDescent="0.2">
      <c r="A60" s="319">
        <f>SUM(D60:T60)</f>
        <v>0</v>
      </c>
      <c r="B60" s="337"/>
      <c r="C60" t="s">
        <v>272</v>
      </c>
      <c r="D60" s="347">
        <f>1/POWER(1+Invoerblad!$E$96,D33)*D59*'Hulpberekeningen 1'!$P$32</f>
        <v>0</v>
      </c>
      <c r="E60" s="347">
        <f>1/POWER(1+Invoerblad!$E$96,E33)*E59*'Hulpberekeningen 1'!$P$32</f>
        <v>0</v>
      </c>
      <c r="F60" s="347">
        <f>1/POWER(1+Invoerblad!$E$96,F33)*F59*'Hulpberekeningen 1'!$P$32</f>
        <v>0</v>
      </c>
      <c r="G60" s="347">
        <f>1/POWER(1+Invoerblad!$E$96,G33)*G59*'Hulpberekeningen 1'!$P$32</f>
        <v>0</v>
      </c>
      <c r="H60" s="347">
        <f>1/POWER(1+Invoerblad!$E$96,H33)*H59*'Hulpberekeningen 1'!$P$32</f>
        <v>0</v>
      </c>
      <c r="I60" s="347">
        <f>1/POWER(1+Invoerblad!$E$96,I33)*I59*'Hulpberekeningen 1'!$P$32</f>
        <v>0</v>
      </c>
      <c r="J60" s="347">
        <f>1/POWER(1+Invoerblad!$E$96,J33)*J59*'Hulpberekeningen 1'!$P$32</f>
        <v>0</v>
      </c>
      <c r="K60" s="347">
        <f>1/POWER(1+Invoerblad!$E$96,K33)*K59*'Hulpberekeningen 1'!$P$32</f>
        <v>0</v>
      </c>
      <c r="L60" s="347">
        <f>1/POWER(1+Invoerblad!$E$96,L33)*L59*'Hulpberekeningen 1'!$P$32</f>
        <v>0</v>
      </c>
      <c r="M60" s="347">
        <f>1/POWER(1+Invoerblad!$E$96,M33)*M59*'Hulpberekeningen 1'!$P$32</f>
        <v>0</v>
      </c>
      <c r="N60" s="347">
        <f>1/POWER(1+Invoerblad!$E$96,N33)*N59*'Hulpberekeningen 1'!$P$32</f>
        <v>0</v>
      </c>
      <c r="O60" s="347">
        <f>1/POWER(1+Invoerblad!$E$96,O33)*O59*'Hulpberekeningen 1'!$P$32</f>
        <v>0</v>
      </c>
      <c r="P60" s="347">
        <f>1/POWER(1+Invoerblad!$E$96,P33)*P59*'Hulpberekeningen 1'!$P$32</f>
        <v>0</v>
      </c>
      <c r="Q60" s="347">
        <f>1/POWER(1+Invoerblad!$E$96,Q33)*Q59*'Hulpberekeningen 1'!$P$32</f>
        <v>0</v>
      </c>
      <c r="R60" s="347">
        <f>1/POWER(1+Invoerblad!$E$96,R33)*R59*'Hulpberekeningen 1'!$P$32</f>
        <v>0</v>
      </c>
      <c r="S60" s="347">
        <f>1/POWER(1+Invoerblad!$E$96,S33)*S59*'Hulpberekeningen 1'!$P$32</f>
        <v>0</v>
      </c>
      <c r="T60" s="347">
        <f>1/POWER(1+Invoerblad!$E$96,T33)*T59*'Hulpberekeningen 1'!$P$32</f>
        <v>0</v>
      </c>
      <c r="U60" s="347">
        <f>1/POWER(1+Invoerblad!$E$96,U33)*U59*'Hulpberekeningen 1'!$P$32</f>
        <v>0</v>
      </c>
    </row>
    <row r="61" spans="1:21" x14ac:dyDescent="0.2">
      <c r="B61" s="332"/>
    </row>
    <row r="62" spans="1:21" x14ac:dyDescent="0.2">
      <c r="B62" s="332"/>
    </row>
    <row r="63" spans="1:21" x14ac:dyDescent="0.2">
      <c r="B63" s="332"/>
    </row>
    <row r="64" spans="1:21" ht="15" thickBot="1" x14ac:dyDescent="0.25">
      <c r="A64" s="343" t="s">
        <v>269</v>
      </c>
      <c r="B64" s="332"/>
      <c r="C64" s="3" t="s">
        <v>268</v>
      </c>
      <c r="D64" s="348">
        <f>+'Overzicht MSK toets'!D23</f>
        <v>0</v>
      </c>
      <c r="E64" s="3"/>
      <c r="F64" s="3"/>
      <c r="G64" s="48"/>
    </row>
    <row r="65" spans="1:7" x14ac:dyDescent="0.2">
      <c r="A65" s="3"/>
      <c r="C65" s="3" t="s">
        <v>271</v>
      </c>
      <c r="D65" s="349">
        <f>LARGE('Overzicht MSK toets'!E40:E42,1)</f>
        <v>0</v>
      </c>
      <c r="E65" s="3"/>
      <c r="F65" s="3"/>
      <c r="G65" s="48"/>
    </row>
    <row r="66" spans="1:7" x14ac:dyDescent="0.2">
      <c r="A66" s="3"/>
      <c r="C66" s="3" t="s">
        <v>270</v>
      </c>
      <c r="D66" s="350">
        <f>IF('Overzicht MSK toets'!E38&lt;0,-'Overzicht MSK toets'!E38,0)</f>
        <v>0</v>
      </c>
      <c r="E66" s="26"/>
      <c r="F66" s="26"/>
      <c r="G66" s="157"/>
    </row>
  </sheetData>
  <phoneticPr fontId="51" type="noConversion"/>
  <dataValidations count="4">
    <dataValidation type="custom" allowBlank="1" showErrorMessage="1" error="draaiuren / vollasturen kunnen niet meer dan 8760 bedragen (zie regel 4)_x000a_" prompt="vul in hoeveel produktie er is in het eerste  kalenderjaar voor dat deel dat in de SDE periode valt." sqref="AB20 D20:T20" xr:uid="{795FF042-1B96-4CBA-9ABC-95A311922C91}">
      <formula1>IF(VALUE($E6)=0,0,D20/$E6)&lt;8761</formula1>
      <formula2>0</formula2>
    </dataValidation>
    <dataValidation type="custom" allowBlank="1" showErrorMessage="1" error="draaiuren / vollasturen kunnen niet meer dan 8760 bedragen (zie regel 4)_x000a_" prompt="vul in hoeveel produktie er is in het eerste  kalenderjaar voor dat deel dat in de SDE periode valt." sqref="AB18:AB19 D18:T19" xr:uid="{EA3B7CE3-85BF-4F59-8A8C-A59C9455B189}">
      <formula1>IF(VALUE($E5)=0,0,D18/$E5)&lt;8761</formula1>
      <formula2>0</formula2>
    </dataValidation>
    <dataValidation type="custom" allowBlank="1" showErrorMessage="1" error="draaiuren / vollasturen kunnen niet meer dan 8760 bedragen (zie regel 4)_x000a_" prompt="vul in hoeveel produktie er is in het eerste  kalenderjaar voor dat deel dat in de SDE periode valt." sqref="AB16:AB17 D17:T17" xr:uid="{5EA10365-8063-4BF8-97C1-DC0C28CA047E}">
      <formula1>IF(VALUE($E4)=0,0,D16/$E4)&lt;8761</formula1>
      <formula2>0</formula2>
    </dataValidation>
    <dataValidation allowBlank="1" showErrorMessage="1" error="draaiuren / vollasturen kunnen niet meer dan 8760 bedragen (zie regel 4)_x000a_" prompt="vul in hoeveel produktie er is in het eerste  kalenderjaar voor dat deel dat in de SDE periode valt." sqref="D16:T16" xr:uid="{008D22C6-DAD3-4F64-8415-49AC14FBB217}"/>
  </dataValidations>
  <pageMargins left="0.7" right="0.7" top="0.75" bottom="0.75" header="0.3" footer="0.3"/>
  <pageSetup paperSize="9" orientation="portrait" r:id="rId1"/>
  <headerFooter>
    <oddHeader>&amp;L&amp;"Calibri"&amp;10&amp;K000000 Vertrouwelijk&amp;1#_x000D_</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K86"/>
  <sheetViews>
    <sheetView zoomScaleNormal="100" workbookViewId="0">
      <selection activeCell="X1" sqref="X1"/>
    </sheetView>
  </sheetViews>
  <sheetFormatPr defaultRowHeight="12.75" x14ac:dyDescent="0.2"/>
  <cols>
    <col min="1" max="1" width="3.33203125" style="216" customWidth="1"/>
    <col min="2" max="2" width="15.83203125" style="216" customWidth="1"/>
    <col min="3" max="3" width="9.33203125" style="216" customWidth="1"/>
    <col min="4" max="4" width="42" style="216" customWidth="1"/>
    <col min="5" max="5" width="23" style="216" customWidth="1"/>
    <col min="6" max="6" width="20.6640625" style="216" customWidth="1"/>
    <col min="7" max="7" width="2.33203125" style="216" customWidth="1"/>
    <col min="8" max="8" width="12.6640625" style="216" customWidth="1"/>
    <col min="9" max="9" width="43.33203125" style="216" customWidth="1"/>
    <col min="10" max="1025" width="9.33203125" style="216" customWidth="1"/>
  </cols>
  <sheetData>
    <row r="1" spans="1:11" x14ac:dyDescent="0.2">
      <c r="B1" s="217" t="s">
        <v>82</v>
      </c>
      <c r="C1" s="218"/>
      <c r="D1" s="218"/>
      <c r="E1" s="218"/>
      <c r="F1" s="218"/>
    </row>
    <row r="2" spans="1:11" ht="13.5" thickBot="1" x14ac:dyDescent="0.25">
      <c r="B2" s="219"/>
      <c r="C2" s="219"/>
      <c r="D2" s="219"/>
      <c r="E2" s="219"/>
      <c r="F2" s="219"/>
    </row>
    <row r="3" spans="1:11" x14ac:dyDescent="0.2">
      <c r="A3" s="220"/>
      <c r="B3" s="643" t="s">
        <v>83</v>
      </c>
      <c r="C3" s="644"/>
      <c r="D3" s="644"/>
      <c r="E3" s="644"/>
      <c r="F3" s="645"/>
      <c r="G3" s="224"/>
      <c r="H3" s="632"/>
      <c r="I3" s="411"/>
      <c r="J3" s="411"/>
      <c r="K3" s="318"/>
    </row>
    <row r="4" spans="1:11" x14ac:dyDescent="0.2">
      <c r="A4" s="220"/>
      <c r="B4" s="633" t="s">
        <v>85</v>
      </c>
      <c r="C4" s="627" t="s">
        <v>86</v>
      </c>
      <c r="D4" s="627"/>
      <c r="E4" s="628"/>
      <c r="F4" s="634">
        <f>'Overzicht MSK toets'!E7</f>
        <v>0</v>
      </c>
      <c r="G4" s="224"/>
      <c r="H4" s="655"/>
    </row>
    <row r="5" spans="1:11" x14ac:dyDescent="0.2">
      <c r="A5" s="220"/>
      <c r="B5" s="633" t="s">
        <v>88</v>
      </c>
      <c r="C5" s="627" t="s">
        <v>89</v>
      </c>
      <c r="D5" s="627"/>
      <c r="E5" s="628"/>
      <c r="F5" s="634"/>
      <c r="G5" s="224"/>
      <c r="H5" s="655"/>
    </row>
    <row r="6" spans="1:11" x14ac:dyDescent="0.2">
      <c r="A6" s="220"/>
      <c r="B6" s="633"/>
      <c r="C6" s="627"/>
      <c r="D6" s="627" t="s">
        <v>90</v>
      </c>
      <c r="E6" s="628">
        <f>'Overzicht MSK toets'!D11</f>
        <v>0</v>
      </c>
      <c r="F6" s="634"/>
      <c r="G6" s="224"/>
      <c r="H6" s="626"/>
    </row>
    <row r="7" spans="1:11" x14ac:dyDescent="0.2">
      <c r="A7" s="220"/>
      <c r="B7" s="633"/>
      <c r="C7" s="627"/>
      <c r="D7" s="627" t="s">
        <v>91</v>
      </c>
      <c r="E7" s="628">
        <f>'Overzicht MSK toets'!D12</f>
        <v>0</v>
      </c>
      <c r="F7" s="634"/>
      <c r="G7" s="224"/>
      <c r="H7" s="626"/>
    </row>
    <row r="8" spans="1:11" x14ac:dyDescent="0.2">
      <c r="A8" s="220"/>
      <c r="B8" s="633"/>
      <c r="C8" s="627"/>
      <c r="D8" s="627"/>
      <c r="E8" s="628"/>
      <c r="F8" s="634"/>
      <c r="G8" s="224"/>
    </row>
    <row r="9" spans="1:11" x14ac:dyDescent="0.2">
      <c r="A9" s="220"/>
      <c r="B9" s="633"/>
      <c r="C9" s="627" t="s">
        <v>92</v>
      </c>
      <c r="D9" s="646" t="s">
        <v>93</v>
      </c>
      <c r="E9" s="636">
        <f>'Overzicht MSK toets'!D14</f>
        <v>0</v>
      </c>
      <c r="F9" s="634"/>
      <c r="G9" s="224"/>
      <c r="H9" s="626"/>
    </row>
    <row r="10" spans="1:11" x14ac:dyDescent="0.2">
      <c r="A10" s="220"/>
      <c r="B10" s="633"/>
      <c r="C10" s="627"/>
      <c r="D10" s="646"/>
      <c r="E10" s="628"/>
      <c r="F10" s="634"/>
      <c r="G10" s="224"/>
    </row>
    <row r="11" spans="1:11" x14ac:dyDescent="0.2">
      <c r="A11" s="220"/>
      <c r="B11" s="633"/>
      <c r="C11" s="627"/>
      <c r="D11" s="627" t="str">
        <f>Invoerblad!B58</f>
        <v>…. subsidie (euro's)</v>
      </c>
      <c r="E11" s="628">
        <f>'Overzicht MSK toets'!D16</f>
        <v>0</v>
      </c>
      <c r="F11" s="634"/>
      <c r="G11" s="224"/>
      <c r="H11" s="626"/>
    </row>
    <row r="12" spans="1:11" x14ac:dyDescent="0.2">
      <c r="A12" s="220"/>
      <c r="B12" s="633"/>
      <c r="C12" s="627"/>
      <c r="D12" s="627" t="str">
        <f>Invoerblad!B59</f>
        <v>…. subsidie (euro's)</v>
      </c>
      <c r="E12" s="628">
        <f>'Overzicht MSK toets'!D17</f>
        <v>0</v>
      </c>
      <c r="F12" s="634"/>
      <c r="G12" s="224"/>
      <c r="H12" s="626"/>
    </row>
    <row r="13" spans="1:11" x14ac:dyDescent="0.2">
      <c r="A13" s="220"/>
      <c r="B13" s="633"/>
      <c r="C13" s="627"/>
      <c r="D13" s="627" t="str">
        <f>Invoerblad!B60</f>
        <v>…. subsidies (euro's)</v>
      </c>
      <c r="E13" s="628">
        <f>'Overzicht MSK toets'!D18</f>
        <v>0</v>
      </c>
      <c r="F13" s="634"/>
      <c r="G13" s="224"/>
      <c r="H13" s="626"/>
      <c r="I13" s="318"/>
    </row>
    <row r="14" spans="1:11" x14ac:dyDescent="0.2">
      <c r="A14" s="220"/>
      <c r="B14" s="633"/>
      <c r="C14" s="627"/>
      <c r="D14" s="627" t="s">
        <v>94</v>
      </c>
      <c r="E14" s="628">
        <f>'Overzicht MSK toets'!D19</f>
        <v>0</v>
      </c>
      <c r="F14" s="634"/>
      <c r="G14" s="224"/>
      <c r="H14" s="626"/>
      <c r="I14" s="318"/>
    </row>
    <row r="15" spans="1:11" x14ac:dyDescent="0.2">
      <c r="A15" s="220"/>
      <c r="B15" s="633"/>
      <c r="C15" s="627"/>
      <c r="D15" s="627" t="s">
        <v>39</v>
      </c>
      <c r="E15" s="628">
        <f>'Overzicht MSK toets'!D20</f>
        <v>0</v>
      </c>
      <c r="F15" s="634"/>
      <c r="G15" s="224"/>
      <c r="H15" s="626"/>
    </row>
    <row r="16" spans="1:11" x14ac:dyDescent="0.2">
      <c r="A16" s="220"/>
      <c r="B16" s="633"/>
      <c r="C16" s="627"/>
      <c r="D16" s="627" t="s">
        <v>95</v>
      </c>
      <c r="E16" s="628">
        <f>'Overzicht MSK toets'!D21</f>
        <v>0</v>
      </c>
      <c r="F16" s="634"/>
      <c r="G16" s="224"/>
      <c r="H16" s="626"/>
    </row>
    <row r="17" spans="1:8" x14ac:dyDescent="0.2">
      <c r="A17" s="220"/>
      <c r="B17" s="633"/>
      <c r="C17" s="627"/>
      <c r="D17" s="627" t="s">
        <v>96</v>
      </c>
      <c r="E17" s="628">
        <f>'Overzicht MSK toets'!D22</f>
        <v>0</v>
      </c>
      <c r="F17" s="634"/>
      <c r="G17" s="224"/>
      <c r="H17" s="626"/>
    </row>
    <row r="18" spans="1:8" x14ac:dyDescent="0.2">
      <c r="A18" s="220"/>
      <c r="B18" s="633"/>
      <c r="C18" s="627" t="s">
        <v>97</v>
      </c>
      <c r="D18" s="646" t="s">
        <v>93</v>
      </c>
      <c r="E18" s="628">
        <f>'Overzicht MSK toets'!D23</f>
        <v>0</v>
      </c>
      <c r="F18" s="634"/>
      <c r="G18" s="224"/>
      <c r="H18" s="626"/>
    </row>
    <row r="19" spans="1:8" x14ac:dyDescent="0.2">
      <c r="A19" s="220"/>
      <c r="B19" s="633"/>
      <c r="C19" s="627" t="s">
        <v>98</v>
      </c>
      <c r="D19" s="646"/>
      <c r="E19" s="636"/>
      <c r="F19" s="634">
        <f>'Overzicht MSK toets'!E24</f>
        <v>0</v>
      </c>
      <c r="G19" s="224"/>
      <c r="H19" s="626"/>
    </row>
    <row r="20" spans="1:8" x14ac:dyDescent="0.2">
      <c r="A20" s="220"/>
      <c r="B20" s="633"/>
      <c r="C20" s="627"/>
      <c r="D20" s="627"/>
      <c r="E20" s="628"/>
      <c r="F20" s="634"/>
      <c r="G20" s="224"/>
    </row>
    <row r="21" spans="1:8" x14ac:dyDescent="0.2">
      <c r="A21" s="220"/>
      <c r="B21" s="633" t="s">
        <v>99</v>
      </c>
      <c r="C21" s="627" t="s">
        <v>100</v>
      </c>
      <c r="D21" s="627"/>
      <c r="E21" s="636"/>
      <c r="F21" s="634">
        <f>'Overzicht MSK toets'!E26</f>
        <v>0</v>
      </c>
      <c r="G21" s="224"/>
      <c r="H21" s="626"/>
    </row>
    <row r="22" spans="1:8" x14ac:dyDescent="0.2">
      <c r="A22" s="220"/>
      <c r="B22" s="633" t="s">
        <v>101</v>
      </c>
      <c r="C22" s="627" t="s">
        <v>102</v>
      </c>
      <c r="D22" s="627"/>
      <c r="E22" s="628"/>
      <c r="F22" s="634">
        <f>'Overzicht MSK toets'!E28</f>
        <v>0</v>
      </c>
      <c r="G22" s="224"/>
      <c r="H22" s="626"/>
    </row>
    <row r="23" spans="1:8" x14ac:dyDescent="0.2">
      <c r="A23" s="220"/>
      <c r="B23" s="633" t="s">
        <v>103</v>
      </c>
      <c r="C23" s="627" t="s">
        <v>104</v>
      </c>
      <c r="D23" s="627"/>
      <c r="E23" s="628"/>
      <c r="F23" s="634">
        <f>'Overzicht MSK toets'!E30</f>
        <v>0</v>
      </c>
      <c r="G23" s="224"/>
      <c r="H23" s="626"/>
    </row>
    <row r="24" spans="1:8" x14ac:dyDescent="0.2">
      <c r="A24" s="220"/>
      <c r="B24" s="633" t="s">
        <v>87</v>
      </c>
      <c r="C24" s="627" t="s">
        <v>105</v>
      </c>
      <c r="D24" s="627"/>
      <c r="E24" s="628"/>
      <c r="F24" s="634">
        <f>'Overzicht MSK toets'!E32</f>
        <v>312129.36441034277</v>
      </c>
      <c r="G24" s="224"/>
      <c r="H24" s="626"/>
    </row>
    <row r="25" spans="1:8" x14ac:dyDescent="0.2">
      <c r="A25" s="220"/>
      <c r="B25" s="633" t="s">
        <v>106</v>
      </c>
      <c r="C25" s="627" t="s">
        <v>107</v>
      </c>
      <c r="D25" s="627"/>
      <c r="E25" s="628"/>
      <c r="F25" s="634">
        <f>'Overzicht MSK toets'!E34</f>
        <v>312129.36441034277</v>
      </c>
      <c r="G25" s="224"/>
      <c r="H25" s="626"/>
    </row>
    <row r="26" spans="1:8" x14ac:dyDescent="0.2">
      <c r="A26" s="220"/>
      <c r="B26" s="633" t="s">
        <v>108</v>
      </c>
      <c r="C26" s="627" t="s">
        <v>109</v>
      </c>
      <c r="D26" s="627"/>
      <c r="E26" s="628"/>
      <c r="F26" s="634">
        <f>'Overzicht MSK toets'!E36</f>
        <v>0</v>
      </c>
      <c r="G26" s="224"/>
      <c r="H26" s="626"/>
    </row>
    <row r="27" spans="1:8" x14ac:dyDescent="0.2">
      <c r="A27" s="220"/>
      <c r="B27" s="633"/>
      <c r="C27" s="627"/>
      <c r="D27" s="627"/>
      <c r="E27" s="628"/>
      <c r="F27" s="634"/>
      <c r="G27" s="224"/>
    </row>
    <row r="28" spans="1:8" x14ac:dyDescent="0.2">
      <c r="A28" s="220"/>
      <c r="B28" s="633" t="s">
        <v>110</v>
      </c>
      <c r="C28" s="631" t="s">
        <v>111</v>
      </c>
      <c r="D28" s="627"/>
      <c r="E28" s="628"/>
      <c r="F28" s="634">
        <f>'Overzicht MSK toets'!E38</f>
        <v>312129.36441034277</v>
      </c>
      <c r="G28" s="224"/>
      <c r="H28" s="626"/>
    </row>
    <row r="29" spans="1:8" x14ac:dyDescent="0.2">
      <c r="A29" s="220"/>
      <c r="B29" s="633" t="s">
        <v>112</v>
      </c>
      <c r="C29" s="631" t="s">
        <v>113</v>
      </c>
      <c r="D29" s="627"/>
      <c r="E29" s="628"/>
      <c r="F29" s="634">
        <f>'Overzicht MSK toets'!E39</f>
        <v>0</v>
      </c>
      <c r="G29" s="224"/>
      <c r="H29" s="626"/>
    </row>
    <row r="30" spans="1:8" x14ac:dyDescent="0.2">
      <c r="A30" s="220"/>
      <c r="B30" s="633"/>
      <c r="C30" s="631"/>
      <c r="D30" s="627"/>
      <c r="E30" s="628"/>
      <c r="F30" s="634"/>
      <c r="G30" s="224"/>
    </row>
    <row r="31" spans="1:8" x14ac:dyDescent="0.2">
      <c r="A31" s="220"/>
      <c r="B31" s="633" t="s">
        <v>114</v>
      </c>
      <c r="C31" s="631" t="s">
        <v>115</v>
      </c>
      <c r="D31" s="627"/>
      <c r="E31" s="628"/>
      <c r="F31" s="634">
        <f>'Overzicht MSK toets'!E41</f>
        <v>0</v>
      </c>
      <c r="G31" s="224"/>
      <c r="H31" s="626"/>
    </row>
    <row r="32" spans="1:8" ht="13.5" thickBot="1" x14ac:dyDescent="0.25">
      <c r="A32" s="220"/>
      <c r="B32" s="647" t="s">
        <v>116</v>
      </c>
      <c r="C32" s="648" t="s">
        <v>117</v>
      </c>
      <c r="D32" s="649"/>
      <c r="E32" s="650"/>
      <c r="F32" s="651">
        <f>'Overzicht MSK toets'!E42</f>
        <v>0</v>
      </c>
      <c r="G32" s="224"/>
      <c r="H32" s="626"/>
    </row>
    <row r="33" spans="1:12" ht="13.5" thickBot="1" x14ac:dyDescent="0.25">
      <c r="B33" s="229"/>
      <c r="C33" s="229"/>
      <c r="D33" s="229"/>
      <c r="E33" s="230"/>
      <c r="F33" s="230"/>
    </row>
    <row r="34" spans="1:12" x14ac:dyDescent="0.2">
      <c r="A34" s="220"/>
      <c r="B34" s="221" t="s">
        <v>318</v>
      </c>
      <c r="C34" s="222"/>
      <c r="D34" s="222"/>
      <c r="E34" s="231"/>
      <c r="F34" s="223"/>
      <c r="G34" s="224"/>
      <c r="H34" s="410"/>
      <c r="J34" s="318"/>
      <c r="K34" s="318"/>
      <c r="L34" s="411"/>
    </row>
    <row r="35" spans="1:12" x14ac:dyDescent="0.2">
      <c r="A35" s="220"/>
      <c r="B35" s="225"/>
      <c r="C35" s="228"/>
      <c r="D35" s="228"/>
      <c r="E35" s="226"/>
      <c r="F35" s="227"/>
      <c r="G35" s="224"/>
      <c r="J35" s="318"/>
      <c r="K35" s="318"/>
      <c r="L35" s="318"/>
    </row>
    <row r="36" spans="1:12" x14ac:dyDescent="0.2">
      <c r="A36" s="220"/>
      <c r="B36" s="232" t="s">
        <v>120</v>
      </c>
      <c r="C36" s="188" t="s">
        <v>121</v>
      </c>
      <c r="D36" s="228"/>
      <c r="E36" s="226"/>
      <c r="F36" s="652">
        <f>'Overzicht MSK toets'!E41</f>
        <v>0</v>
      </c>
      <c r="G36" s="224"/>
      <c r="H36" s="400"/>
      <c r="I36" s="400"/>
      <c r="J36" s="401"/>
      <c r="K36" s="318"/>
      <c r="L36" s="318"/>
    </row>
    <row r="37" spans="1:12" x14ac:dyDescent="0.2">
      <c r="A37" s="220"/>
      <c r="B37" s="234" t="s">
        <v>261</v>
      </c>
      <c r="C37" s="235"/>
      <c r="D37" s="236"/>
      <c r="E37" s="226"/>
      <c r="F37" s="653">
        <f>'Overzicht MSK toets'!E53</f>
        <v>0</v>
      </c>
      <c r="G37" s="224"/>
      <c r="H37" s="400"/>
      <c r="I37" s="400"/>
      <c r="J37" s="402"/>
      <c r="K37" s="318"/>
      <c r="L37" s="318"/>
    </row>
    <row r="38" spans="1:12" x14ac:dyDescent="0.2">
      <c r="A38" s="220"/>
      <c r="B38" s="234" t="s">
        <v>320</v>
      </c>
      <c r="C38" s="235"/>
      <c r="D38" s="236"/>
      <c r="E38" s="226"/>
      <c r="F38" s="654">
        <f>'Overzicht MSK toets'!E54</f>
        <v>13500</v>
      </c>
      <c r="G38" s="224"/>
      <c r="H38" s="400"/>
      <c r="I38" s="400"/>
      <c r="J38" s="401"/>
      <c r="K38" s="318"/>
      <c r="L38" s="318"/>
    </row>
    <row r="39" spans="1:12" x14ac:dyDescent="0.2">
      <c r="A39" s="220"/>
      <c r="B39" s="234" t="s">
        <v>319</v>
      </c>
      <c r="C39" s="235"/>
      <c r="D39" s="236"/>
      <c r="E39" s="226"/>
      <c r="F39" s="654">
        <f>'Overzicht MSK toets'!E55</f>
        <v>13500</v>
      </c>
      <c r="G39" s="224"/>
      <c r="H39" s="400"/>
      <c r="I39" s="400"/>
      <c r="J39" s="401"/>
      <c r="K39" s="318"/>
      <c r="L39" s="318"/>
    </row>
    <row r="40" spans="1:12" ht="13.5" thickBot="1" x14ac:dyDescent="0.25">
      <c r="A40" s="220"/>
      <c r="B40" s="638" t="str">
        <f>"Kortingsbedrag op tarief €/MWh vanaf "&amp;F37&amp;""</f>
        <v>Kortingsbedrag op tarief €/MWh vanaf 0</v>
      </c>
      <c r="C40" s="639"/>
      <c r="D40" s="640"/>
      <c r="E40" s="641"/>
      <c r="F40" s="658">
        <f ca="1">'Overzicht MSK toets'!E56</f>
        <v>0</v>
      </c>
      <c r="G40" s="224"/>
      <c r="H40" s="626"/>
      <c r="I40" s="400"/>
      <c r="J40" s="412"/>
      <c r="K40" s="318"/>
      <c r="L40" s="411"/>
    </row>
    <row r="41" spans="1:12" ht="13.5" thickBot="1" x14ac:dyDescent="0.25">
      <c r="B41" s="233"/>
      <c r="C41" s="233"/>
      <c r="D41" s="233"/>
      <c r="E41" s="233"/>
      <c r="F41" s="233"/>
      <c r="J41" s="318"/>
      <c r="K41" s="318"/>
      <c r="L41" s="318"/>
    </row>
    <row r="42" spans="1:12" ht="12.75" customHeight="1" x14ac:dyDescent="0.2">
      <c r="A42" s="220"/>
      <c r="B42" s="834" t="s">
        <v>174</v>
      </c>
      <c r="C42" s="834"/>
      <c r="D42" s="834"/>
      <c r="E42" s="237" t="s">
        <v>175</v>
      </c>
      <c r="F42" s="238" t="s">
        <v>176</v>
      </c>
      <c r="G42" s="224"/>
      <c r="H42" s="626"/>
      <c r="J42" s="318"/>
    </row>
    <row r="43" spans="1:12" ht="12.75" customHeight="1" x14ac:dyDescent="0.2">
      <c r="A43" s="220"/>
      <c r="B43" s="831" t="s">
        <v>13</v>
      </c>
      <c r="C43" s="831"/>
      <c r="D43" s="831"/>
      <c r="E43" s="239">
        <f>Invoerblad!E16</f>
        <v>1</v>
      </c>
      <c r="F43" s="240" t="s">
        <v>177</v>
      </c>
      <c r="G43" s="224"/>
    </row>
    <row r="44" spans="1:12" ht="12.75" customHeight="1" x14ac:dyDescent="0.2">
      <c r="A44" s="220"/>
      <c r="B44" s="831" t="s">
        <v>178</v>
      </c>
      <c r="C44" s="831"/>
      <c r="D44" s="831"/>
      <c r="E44" s="239">
        <f>Invoerblad!E17</f>
        <v>1</v>
      </c>
      <c r="F44" s="240" t="s">
        <v>177</v>
      </c>
      <c r="G44" s="224"/>
    </row>
    <row r="45" spans="1:12" ht="12.75" customHeight="1" x14ac:dyDescent="0.2">
      <c r="A45" s="220"/>
      <c r="B45" s="831" t="s">
        <v>17</v>
      </c>
      <c r="C45" s="831"/>
      <c r="D45" s="831"/>
      <c r="E45" s="241">
        <f>Invoerblad!E18</f>
        <v>15</v>
      </c>
      <c r="F45" s="242" t="s">
        <v>172</v>
      </c>
      <c r="G45" s="224"/>
    </row>
    <row r="46" spans="1:12" x14ac:dyDescent="0.2">
      <c r="A46" s="220"/>
      <c r="B46" s="831"/>
      <c r="C46" s="831"/>
      <c r="D46" s="831"/>
      <c r="E46" s="241"/>
      <c r="F46" s="242"/>
      <c r="G46" s="224"/>
    </row>
    <row r="47" spans="1:12" ht="12.75" customHeight="1" x14ac:dyDescent="0.2">
      <c r="A47" s="220"/>
      <c r="B47" s="831" t="s">
        <v>401</v>
      </c>
      <c r="C47" s="831"/>
      <c r="D47" s="831"/>
      <c r="E47" s="637">
        <f>Invoerblad!I26/15</f>
        <v>900</v>
      </c>
      <c r="F47" s="242" t="s">
        <v>179</v>
      </c>
      <c r="G47" s="224"/>
    </row>
    <row r="48" spans="1:12" ht="12.75" customHeight="1" x14ac:dyDescent="0.2">
      <c r="A48" s="220"/>
      <c r="B48" s="831" t="s">
        <v>400</v>
      </c>
      <c r="C48" s="831"/>
      <c r="D48" s="831"/>
      <c r="E48" s="637">
        <f>(Invoerblad!I30+Invoerblad!I34)/15</f>
        <v>900</v>
      </c>
      <c r="F48" s="242" t="s">
        <v>179</v>
      </c>
      <c r="G48" s="224"/>
    </row>
    <row r="49" spans="1:8" x14ac:dyDescent="0.2">
      <c r="A49" s="220"/>
      <c r="B49" s="831"/>
      <c r="C49" s="831"/>
      <c r="D49" s="831"/>
      <c r="E49" s="241"/>
      <c r="F49" s="242"/>
      <c r="G49" s="224"/>
    </row>
    <row r="50" spans="1:8" ht="12.75" customHeight="1" x14ac:dyDescent="0.2">
      <c r="A50" s="220"/>
      <c r="B50" s="831" t="s">
        <v>27</v>
      </c>
      <c r="C50" s="831"/>
      <c r="D50" s="831"/>
      <c r="E50" s="243">
        <f>Invoerblad!E42</f>
        <v>0</v>
      </c>
      <c r="F50" s="244"/>
      <c r="G50" s="224"/>
    </row>
    <row r="51" spans="1:8" ht="12.75" customHeight="1" x14ac:dyDescent="0.2">
      <c r="A51" s="220"/>
      <c r="B51" s="831" t="s">
        <v>28</v>
      </c>
      <c r="C51" s="831"/>
      <c r="D51" s="831"/>
      <c r="E51" s="243">
        <f>Invoerblad!E43</f>
        <v>0</v>
      </c>
      <c r="F51" s="244"/>
      <c r="G51" s="224"/>
    </row>
    <row r="52" spans="1:8" ht="12.75" customHeight="1" x14ac:dyDescent="0.2">
      <c r="A52" s="220"/>
      <c r="B52" s="831" t="s">
        <v>29</v>
      </c>
      <c r="C52" s="831"/>
      <c r="D52" s="831"/>
      <c r="E52" s="243">
        <f>Invoerblad!E44</f>
        <v>0</v>
      </c>
      <c r="F52" s="244"/>
      <c r="G52" s="224"/>
    </row>
    <row r="53" spans="1:8" x14ac:dyDescent="0.2">
      <c r="A53" s="220"/>
      <c r="B53" s="831"/>
      <c r="C53" s="831"/>
      <c r="D53" s="831"/>
      <c r="E53" s="241"/>
      <c r="F53" s="242"/>
      <c r="G53" s="224"/>
    </row>
    <row r="54" spans="1:8" ht="12.75" customHeight="1" x14ac:dyDescent="0.2">
      <c r="A54" s="220"/>
      <c r="B54" s="831" t="s">
        <v>44</v>
      </c>
      <c r="C54" s="831"/>
      <c r="D54" s="831"/>
      <c r="E54" s="245" t="str">
        <f>IF(Invoerblad!E67*100=0,"-",Invoerblad!E67*100)</f>
        <v>-</v>
      </c>
      <c r="F54" s="246" t="s">
        <v>148</v>
      </c>
      <c r="G54" s="224"/>
    </row>
    <row r="55" spans="1:8" ht="12.75" customHeight="1" x14ac:dyDescent="0.2">
      <c r="A55" s="220"/>
      <c r="B55" s="831" t="s">
        <v>45</v>
      </c>
      <c r="C55" s="831"/>
      <c r="D55" s="831"/>
      <c r="E55" s="245" t="str">
        <f>IF(Invoerblad!E68*100=0,"-",Invoerblad!E68*100)</f>
        <v>-</v>
      </c>
      <c r="F55" s="246" t="s">
        <v>148</v>
      </c>
      <c r="G55" s="224"/>
    </row>
    <row r="56" spans="1:8" ht="12.75" customHeight="1" x14ac:dyDescent="0.2">
      <c r="A56" s="220"/>
      <c r="B56" s="831" t="s">
        <v>46</v>
      </c>
      <c r="C56" s="831"/>
      <c r="D56" s="831"/>
      <c r="E56" s="247" t="str">
        <f>IF(Invoerblad!E69=0,"-",Invoerblad!E69)</f>
        <v>-</v>
      </c>
      <c r="F56" s="248" t="s">
        <v>180</v>
      </c>
      <c r="G56" s="224"/>
    </row>
    <row r="57" spans="1:8" ht="12.75" customHeight="1" x14ac:dyDescent="0.2">
      <c r="A57" s="220"/>
      <c r="B57" s="833" t="str">
        <f>IF(E55="-","EIA aftrek (het meldingsbedrag na aftrek subsidies)","EIA aftrek ("&amp;E55&amp;"% van het meldingsbedrag na aftrek subsidies)")</f>
        <v>EIA aftrek (het meldingsbedrag na aftrek subsidies)</v>
      </c>
      <c r="C57" s="833"/>
      <c r="D57" s="833"/>
      <c r="E57" s="247" t="str">
        <f>IF(Invoerblad!E70=0,"-",Invoerblad!E70)</f>
        <v>-</v>
      </c>
      <c r="F57" s="248" t="s">
        <v>180</v>
      </c>
      <c r="G57" s="224"/>
      <c r="H57" s="626"/>
    </row>
    <row r="58" spans="1:8" ht="12.75" customHeight="1" x14ac:dyDescent="0.2">
      <c r="A58" s="220"/>
      <c r="B58" s="831" t="s">
        <v>48</v>
      </c>
      <c r="C58" s="831"/>
      <c r="D58" s="831"/>
      <c r="E58" s="247" t="str">
        <f>IF(Invoerblad!E71=0,"-",Invoerblad!E71)</f>
        <v>-</v>
      </c>
      <c r="F58" s="248" t="s">
        <v>180</v>
      </c>
      <c r="G58" s="224"/>
    </row>
    <row r="59" spans="1:8" ht="12.75" customHeight="1" x14ac:dyDescent="0.2">
      <c r="A59" s="220"/>
      <c r="B59" s="831" t="s">
        <v>410</v>
      </c>
      <c r="C59" s="831"/>
      <c r="D59" s="831"/>
      <c r="E59" s="247" t="str">
        <f>IF(Invoerblad!E73=0,"-",Invoerblad!E73)</f>
        <v>-</v>
      </c>
      <c r="F59" s="248" t="s">
        <v>180</v>
      </c>
      <c r="G59" s="224"/>
    </row>
    <row r="60" spans="1:8" ht="12.75" customHeight="1" x14ac:dyDescent="0.2">
      <c r="A60" s="220"/>
      <c r="B60" s="831" t="s">
        <v>411</v>
      </c>
      <c r="C60" s="831"/>
      <c r="D60" s="831"/>
      <c r="E60" s="247" t="str">
        <f>IF(Invoerblad!E74=0,"-",Invoerblad!E74)</f>
        <v>-</v>
      </c>
      <c r="F60" s="248" t="s">
        <v>180</v>
      </c>
      <c r="G60" s="224"/>
    </row>
    <row r="61" spans="1:8" ht="12.75" customHeight="1" x14ac:dyDescent="0.2">
      <c r="A61" s="220"/>
      <c r="B61" s="831" t="s">
        <v>49</v>
      </c>
      <c r="C61" s="831"/>
      <c r="D61" s="831"/>
      <c r="E61" s="247" t="str">
        <f>IF(Invoerblad!E76=0,"-",Invoerblad!E76)</f>
        <v>-</v>
      </c>
      <c r="F61" s="248" t="s">
        <v>180</v>
      </c>
      <c r="G61" s="224"/>
    </row>
    <row r="62" spans="1:8" ht="12.75" customHeight="1" x14ac:dyDescent="0.2">
      <c r="A62" s="220"/>
      <c r="B62" s="833" t="s">
        <v>50</v>
      </c>
      <c r="C62" s="833"/>
      <c r="D62" s="833"/>
      <c r="E62" s="247" t="str">
        <f>IF(Invoerblad!E77*100=0,"-",Invoerblad!E77*100)</f>
        <v>-</v>
      </c>
      <c r="F62" s="248" t="s">
        <v>148</v>
      </c>
      <c r="G62" s="224"/>
    </row>
    <row r="63" spans="1:8" ht="12.75" customHeight="1" x14ac:dyDescent="0.2">
      <c r="A63" s="220"/>
      <c r="B63" s="833" t="str">
        <f>IF(E62="-","MIA aftrek (het meldingsbedrag na aftrek subsidies)","MIA aftrek ("&amp;E62&amp;"% van het meldingsbedrag na aftrek subsidies)")</f>
        <v>MIA aftrek (het meldingsbedrag na aftrek subsidies)</v>
      </c>
      <c r="C63" s="833"/>
      <c r="D63" s="833"/>
      <c r="E63" s="247" t="str">
        <f>IF(Invoerblad!E78=0,"-",Invoerblad!E78)</f>
        <v>-</v>
      </c>
      <c r="F63" s="248" t="s">
        <v>180</v>
      </c>
      <c r="G63" s="224"/>
    </row>
    <row r="64" spans="1:8" ht="12.75" customHeight="1" x14ac:dyDescent="0.2">
      <c r="A64" s="220"/>
      <c r="B64" s="831" t="s">
        <v>52</v>
      </c>
      <c r="C64" s="831"/>
      <c r="D64" s="831"/>
      <c r="E64" s="247" t="str">
        <f>IF(Invoerblad!E79=0,"-",Invoerblad!E79)</f>
        <v>-</v>
      </c>
      <c r="F64" s="248" t="s">
        <v>180</v>
      </c>
      <c r="G64" s="224"/>
    </row>
    <row r="65" spans="1:7" ht="12.75" customHeight="1" x14ac:dyDescent="0.2">
      <c r="A65" s="220"/>
      <c r="B65" s="831" t="s">
        <v>53</v>
      </c>
      <c r="C65" s="831"/>
      <c r="D65" s="831"/>
      <c r="E65" s="247" t="str">
        <f>IF(Invoerblad!E80=0,"-",Invoerblad!E80)</f>
        <v>-</v>
      </c>
      <c r="F65" s="248" t="s">
        <v>180</v>
      </c>
      <c r="G65" s="224"/>
    </row>
    <row r="66" spans="1:7" ht="12.75" customHeight="1" x14ac:dyDescent="0.2">
      <c r="A66" s="220"/>
      <c r="B66" s="831" t="s">
        <v>55</v>
      </c>
      <c r="C66" s="831"/>
      <c r="D66" s="831"/>
      <c r="E66" s="249">
        <f>Invoerblad!E84</f>
        <v>0</v>
      </c>
      <c r="F66" s="248" t="s">
        <v>180</v>
      </c>
      <c r="G66" s="224"/>
    </row>
    <row r="67" spans="1:7" ht="12.75" customHeight="1" x14ac:dyDescent="0.2">
      <c r="A67" s="220"/>
      <c r="B67" s="831" t="s">
        <v>56</v>
      </c>
      <c r="C67" s="831"/>
      <c r="D67" s="831"/>
      <c r="E67" s="249">
        <f>Invoerblad!E85</f>
        <v>0</v>
      </c>
      <c r="F67" s="248" t="s">
        <v>180</v>
      </c>
      <c r="G67" s="224"/>
    </row>
    <row r="68" spans="1:7" ht="12.75" customHeight="1" x14ac:dyDescent="0.2">
      <c r="A68" s="220"/>
      <c r="B68" s="831" t="s">
        <v>57</v>
      </c>
      <c r="C68" s="831"/>
      <c r="D68" s="831"/>
      <c r="E68" s="250">
        <f>Invoerblad!E86*100</f>
        <v>0</v>
      </c>
      <c r="F68" s="246" t="s">
        <v>148</v>
      </c>
      <c r="G68" s="224"/>
    </row>
    <row r="69" spans="1:7" ht="12.75" customHeight="1" x14ac:dyDescent="0.2">
      <c r="A69" s="220"/>
      <c r="B69" s="831" t="s">
        <v>58</v>
      </c>
      <c r="C69" s="831"/>
      <c r="D69" s="831"/>
      <c r="E69" s="250">
        <f>Invoerblad!E87*100</f>
        <v>100</v>
      </c>
      <c r="F69" s="246" t="s">
        <v>148</v>
      </c>
      <c r="G69" s="224"/>
    </row>
    <row r="70" spans="1:7" ht="12.75" customHeight="1" x14ac:dyDescent="0.2">
      <c r="A70" s="220"/>
      <c r="B70" s="831" t="s">
        <v>57</v>
      </c>
      <c r="C70" s="831"/>
      <c r="D70" s="831"/>
      <c r="E70" s="249">
        <f>Invoerblad!E88</f>
        <v>0</v>
      </c>
      <c r="F70" s="248" t="s">
        <v>180</v>
      </c>
      <c r="G70" s="224"/>
    </row>
    <row r="71" spans="1:7" ht="12.75" customHeight="1" x14ac:dyDescent="0.2">
      <c r="A71" s="220"/>
      <c r="B71" s="831" t="s">
        <v>59</v>
      </c>
      <c r="C71" s="831"/>
      <c r="D71" s="831"/>
      <c r="E71" s="249">
        <f>Invoerblad!E89</f>
        <v>0</v>
      </c>
      <c r="F71" s="248" t="s">
        <v>180</v>
      </c>
      <c r="G71" s="224"/>
    </row>
    <row r="72" spans="1:7" ht="12.75" customHeight="1" x14ac:dyDescent="0.2">
      <c r="A72" s="220"/>
      <c r="B72" s="831" t="s">
        <v>60</v>
      </c>
      <c r="C72" s="831"/>
      <c r="D72" s="831"/>
      <c r="E72" s="249">
        <f>Invoerblad!E90</f>
        <v>0</v>
      </c>
      <c r="F72" s="248" t="s">
        <v>180</v>
      </c>
      <c r="G72" s="224"/>
    </row>
    <row r="73" spans="1:7" ht="12.75" customHeight="1" x14ac:dyDescent="0.2">
      <c r="A73" s="220"/>
      <c r="B73" s="831" t="s">
        <v>307</v>
      </c>
      <c r="C73" s="831"/>
      <c r="D73" s="831"/>
      <c r="E73" s="249">
        <f>Invoerblad!E92</f>
        <v>0</v>
      </c>
      <c r="F73" s="248" t="s">
        <v>180</v>
      </c>
      <c r="G73" s="224"/>
    </row>
    <row r="74" spans="1:7" ht="12.75" customHeight="1" x14ac:dyDescent="0.2">
      <c r="A74" s="220"/>
      <c r="B74" s="831" t="s">
        <v>61</v>
      </c>
      <c r="C74" s="831"/>
      <c r="D74" s="831"/>
      <c r="E74" s="250">
        <f>Invoerblad!E93*100</f>
        <v>1.5</v>
      </c>
      <c r="F74" s="246" t="s">
        <v>148</v>
      </c>
      <c r="G74" s="224"/>
    </row>
    <row r="75" spans="1:7" ht="12.75" customHeight="1" x14ac:dyDescent="0.2">
      <c r="A75" s="220"/>
      <c r="B75" s="831" t="s">
        <v>62</v>
      </c>
      <c r="C75" s="831"/>
      <c r="D75" s="831"/>
      <c r="E75" s="241">
        <f>Invoerblad!E95</f>
        <v>15</v>
      </c>
      <c r="F75" s="242" t="s">
        <v>172</v>
      </c>
      <c r="G75" s="224"/>
    </row>
    <row r="76" spans="1:7" ht="12.75" customHeight="1" x14ac:dyDescent="0.2">
      <c r="A76" s="220"/>
      <c r="B76" s="831" t="s">
        <v>63</v>
      </c>
      <c r="C76" s="831"/>
      <c r="D76" s="831"/>
      <c r="E76" s="250">
        <f>Invoerblad!E96*100</f>
        <v>0</v>
      </c>
      <c r="F76" s="246" t="s">
        <v>148</v>
      </c>
      <c r="G76" s="224"/>
    </row>
    <row r="77" spans="1:7" ht="12.75" customHeight="1" x14ac:dyDescent="0.2">
      <c r="A77" s="220"/>
      <c r="B77" s="831" t="s">
        <v>65</v>
      </c>
      <c r="C77" s="831"/>
      <c r="D77" s="831"/>
      <c r="E77" s="249">
        <f>Invoerblad!K100</f>
        <v>0</v>
      </c>
      <c r="F77" s="248" t="s">
        <v>180</v>
      </c>
      <c r="G77" s="224"/>
    </row>
    <row r="78" spans="1:7" ht="12.75" customHeight="1" x14ac:dyDescent="0.2">
      <c r="A78" s="220"/>
      <c r="B78" s="833" t="s">
        <v>404</v>
      </c>
      <c r="C78" s="833"/>
      <c r="D78" s="833"/>
      <c r="E78" s="249">
        <f>Invoerblad!K101</f>
        <v>0</v>
      </c>
      <c r="F78" s="248" t="s">
        <v>180</v>
      </c>
      <c r="G78" s="224"/>
    </row>
    <row r="79" spans="1:7" ht="12.75" customHeight="1" x14ac:dyDescent="0.2">
      <c r="A79" s="220"/>
      <c r="B79" s="833" t="s">
        <v>405</v>
      </c>
      <c r="C79" s="833"/>
      <c r="D79" s="833"/>
      <c r="E79" s="249">
        <f>Invoerblad!K112</f>
        <v>0</v>
      </c>
      <c r="F79" s="248" t="s">
        <v>180</v>
      </c>
      <c r="G79" s="224"/>
    </row>
    <row r="80" spans="1:7" ht="12.75" customHeight="1" x14ac:dyDescent="0.2">
      <c r="A80" s="220"/>
      <c r="B80" s="833" t="s">
        <v>403</v>
      </c>
      <c r="C80" s="833"/>
      <c r="D80" s="833"/>
      <c r="E80" s="249">
        <f>Invoerblad!H152</f>
        <v>0</v>
      </c>
      <c r="F80" s="248" t="s">
        <v>180</v>
      </c>
      <c r="G80" s="224"/>
    </row>
    <row r="81" spans="1:8" ht="12.75" customHeight="1" x14ac:dyDescent="0.2">
      <c r="A81" s="220"/>
      <c r="B81" s="833" t="s">
        <v>402</v>
      </c>
      <c r="C81" s="833"/>
      <c r="D81" s="833"/>
      <c r="E81" s="249">
        <f>Invoerblad!H153</f>
        <v>0</v>
      </c>
      <c r="F81" s="248" t="s">
        <v>180</v>
      </c>
      <c r="G81" s="224"/>
    </row>
    <row r="82" spans="1:8" ht="12.75" customHeight="1" x14ac:dyDescent="0.2">
      <c r="A82" s="220"/>
      <c r="B82" s="831" t="s">
        <v>181</v>
      </c>
      <c r="C82" s="831"/>
      <c r="D82" s="831"/>
      <c r="E82" s="249">
        <f>Invoerblad!H157</f>
        <v>0</v>
      </c>
      <c r="F82" s="248" t="s">
        <v>180</v>
      </c>
      <c r="G82" s="224"/>
    </row>
    <row r="83" spans="1:8" ht="12.75" customHeight="1" x14ac:dyDescent="0.2">
      <c r="A83" s="220"/>
      <c r="B83" s="831" t="s">
        <v>182</v>
      </c>
      <c r="C83" s="831"/>
      <c r="D83" s="831"/>
      <c r="E83" s="249">
        <f>IF(Invoerblad!H160=0,"-",Invoerblad!H160)</f>
        <v>17571.851791729048</v>
      </c>
      <c r="F83" s="248" t="s">
        <v>180</v>
      </c>
      <c r="G83" s="224"/>
    </row>
    <row r="84" spans="1:8" ht="13.5" customHeight="1" x14ac:dyDescent="0.2">
      <c r="A84" s="220"/>
      <c r="B84" s="832" t="s">
        <v>183</v>
      </c>
      <c r="C84" s="832"/>
      <c r="D84" s="832"/>
      <c r="E84" s="629">
        <f>IF(Invoerblad!H161=0,"-",Invoerblad!H161)</f>
        <v>1901.7637065732072</v>
      </c>
      <c r="F84" s="630" t="s">
        <v>180</v>
      </c>
      <c r="G84" s="224"/>
      <c r="H84" s="626"/>
    </row>
    <row r="85" spans="1:8" ht="13.5" thickBot="1" x14ac:dyDescent="0.25">
      <c r="A85" s="220"/>
      <c r="B85" s="715" t="s">
        <v>412</v>
      </c>
      <c r="C85" s="716"/>
      <c r="D85" s="716"/>
      <c r="E85" s="717">
        <f>Invoerblad!V162</f>
        <v>20025.131935808935</v>
      </c>
      <c r="F85" s="642" t="s">
        <v>180</v>
      </c>
      <c r="G85" s="224"/>
      <c r="H85" s="626"/>
    </row>
    <row r="86" spans="1:8" x14ac:dyDescent="0.2">
      <c r="B86" s="251"/>
      <c r="C86" s="251"/>
      <c r="D86" s="251"/>
      <c r="E86" s="251"/>
      <c r="F86" s="251"/>
    </row>
  </sheetData>
  <mergeCells count="43">
    <mergeCell ref="B42:D42"/>
    <mergeCell ref="B43:D43"/>
    <mergeCell ref="B44:D44"/>
    <mergeCell ref="B45:D45"/>
    <mergeCell ref="B46:D46"/>
    <mergeCell ref="B47:D47"/>
    <mergeCell ref="B48:D48"/>
    <mergeCell ref="B49:D49"/>
    <mergeCell ref="B50:D50"/>
    <mergeCell ref="B51:D51"/>
    <mergeCell ref="B52:D52"/>
    <mergeCell ref="B53:D53"/>
    <mergeCell ref="B54:D54"/>
    <mergeCell ref="B55:D55"/>
    <mergeCell ref="B56:D56"/>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82:D82"/>
    <mergeCell ref="B83:D83"/>
    <mergeCell ref="B84:D84"/>
    <mergeCell ref="B77:D77"/>
    <mergeCell ref="B78:D78"/>
    <mergeCell ref="B79:D79"/>
    <mergeCell ref="B80:D80"/>
    <mergeCell ref="B81:D81"/>
  </mergeCells>
  <pageMargins left="0.75" right="0.75" top="1" bottom="1" header="0.51180555555555496" footer="0.51180555555555496"/>
  <pageSetup paperSize="9" firstPageNumber="0" orientation="landscape" horizontalDpi="300" verticalDpi="300" r:id="rId1"/>
  <headerFooter>
    <oddHeader>&amp;L&amp;"Calibri"&amp;10&amp;K000000 Vertrouwelijk&amp;1#_x000D_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X53"/>
  <sheetViews>
    <sheetView zoomScaleNormal="100" workbookViewId="0">
      <selection activeCell="L39" sqref="L39"/>
    </sheetView>
  </sheetViews>
  <sheetFormatPr defaultRowHeight="12.75" x14ac:dyDescent="0.2"/>
  <cols>
    <col min="1" max="1" width="8.6640625" customWidth="1"/>
    <col min="2" max="2" width="33" customWidth="1"/>
    <col min="3" max="3" width="12.6640625" customWidth="1"/>
    <col min="4" max="4" width="11.5" customWidth="1"/>
    <col min="5" max="5" width="12.5" customWidth="1"/>
    <col min="6" max="6" width="13.6640625" customWidth="1"/>
    <col min="7" max="7" width="14.6640625" customWidth="1"/>
    <col min="8" max="15" width="8.6640625" customWidth="1"/>
    <col min="16" max="16" width="10.33203125" customWidth="1"/>
    <col min="17" max="17" width="8.6640625" customWidth="1"/>
    <col min="18" max="18" width="19.1640625" customWidth="1"/>
    <col min="19" max="19" width="17.83203125" customWidth="1"/>
    <col min="20" max="20" width="8.6640625" customWidth="1"/>
    <col min="21" max="21" width="12.6640625" customWidth="1"/>
    <col min="22" max="22" width="10" customWidth="1"/>
    <col min="23" max="24" width="8.6640625" customWidth="1"/>
    <col min="25" max="25" width="12.5" customWidth="1"/>
    <col min="26" max="27" width="8.6640625" customWidth="1"/>
    <col min="28" max="28" width="10" customWidth="1"/>
    <col min="29" max="1025" width="8.6640625" customWidth="1"/>
  </cols>
  <sheetData>
    <row r="1" spans="2:15" x14ac:dyDescent="0.2">
      <c r="B1" t="s">
        <v>185</v>
      </c>
      <c r="E1" s="3">
        <f>+Invoerblad!E18</f>
        <v>15</v>
      </c>
    </row>
    <row r="2" spans="2:15" x14ac:dyDescent="0.2">
      <c r="B2" t="s">
        <v>186</v>
      </c>
      <c r="E2" s="6">
        <f>+Invoerblad!E43</f>
        <v>0</v>
      </c>
    </row>
    <row r="3" spans="2:15" x14ac:dyDescent="0.2">
      <c r="B3" t="s">
        <v>187</v>
      </c>
      <c r="D3" s="48">
        <f>MONTH(E3)-1</f>
        <v>0</v>
      </c>
      <c r="E3" s="6">
        <f>+Invoerblad!E44</f>
        <v>0</v>
      </c>
      <c r="F3" t="s">
        <v>188</v>
      </c>
    </row>
    <row r="4" spans="2:15" x14ac:dyDescent="0.2">
      <c r="B4" t="s">
        <v>189</v>
      </c>
      <c r="E4" s="315">
        <f>YEAR(E3)</f>
        <v>1900</v>
      </c>
      <c r="F4" t="s">
        <v>190</v>
      </c>
    </row>
    <row r="5" spans="2:15" ht="15" x14ac:dyDescent="0.25">
      <c r="B5" t="s">
        <v>191</v>
      </c>
      <c r="D5">
        <f>MONTH(E5)-1</f>
        <v>0</v>
      </c>
      <c r="E5" s="610">
        <f>Invoerblad!E44</f>
        <v>0</v>
      </c>
    </row>
    <row r="6" spans="2:15" x14ac:dyDescent="0.2">
      <c r="E6" s="161"/>
    </row>
    <row r="7" spans="2:15" x14ac:dyDescent="0.2">
      <c r="D7" t="s">
        <v>192</v>
      </c>
      <c r="E7" s="315"/>
      <c r="F7" s="315"/>
      <c r="G7" s="315"/>
      <c r="H7" s="315"/>
      <c r="I7" s="315"/>
      <c r="J7" s="315"/>
      <c r="K7" s="315"/>
      <c r="L7" s="315"/>
      <c r="M7" s="315"/>
      <c r="N7" s="315"/>
      <c r="O7" s="315"/>
    </row>
    <row r="8" spans="2:15" x14ac:dyDescent="0.2">
      <c r="B8" t="s">
        <v>193</v>
      </c>
      <c r="D8" s="161">
        <f>LARGE(E2:E3,1)</f>
        <v>0</v>
      </c>
      <c r="E8" s="689"/>
      <c r="F8" s="315"/>
      <c r="G8" s="315"/>
      <c r="H8" s="315"/>
      <c r="I8" s="315"/>
      <c r="J8" s="315"/>
      <c r="K8" s="315"/>
      <c r="L8" s="315"/>
      <c r="M8" s="315"/>
      <c r="N8" s="315"/>
      <c r="O8" s="315"/>
    </row>
    <row r="9" spans="2:15" x14ac:dyDescent="0.2">
      <c r="B9" t="s">
        <v>194</v>
      </c>
      <c r="D9" s="48">
        <f>YEAR(D8)</f>
        <v>1900</v>
      </c>
      <c r="E9" s="690"/>
      <c r="F9" s="315"/>
      <c r="G9" s="315"/>
      <c r="H9" s="315"/>
      <c r="I9" s="315"/>
      <c r="J9" s="315"/>
      <c r="K9" s="315"/>
      <c r="L9" s="315"/>
      <c r="M9" s="315"/>
      <c r="N9" s="315"/>
      <c r="O9" s="315"/>
    </row>
    <row r="10" spans="2:15" ht="15" x14ac:dyDescent="0.25">
      <c r="B10" t="s">
        <v>195</v>
      </c>
      <c r="D10" s="255">
        <f>MONTH(D8)-1</f>
        <v>0</v>
      </c>
      <c r="E10" s="691"/>
      <c r="F10" s="315"/>
      <c r="G10" s="315"/>
      <c r="H10" s="315"/>
      <c r="I10" s="315"/>
      <c r="J10" s="315"/>
      <c r="K10" s="315"/>
      <c r="L10" s="315"/>
      <c r="M10" s="315"/>
      <c r="N10" s="315"/>
      <c r="O10" s="315"/>
    </row>
    <row r="11" spans="2:15" x14ac:dyDescent="0.2">
      <c r="B11" t="s">
        <v>196</v>
      </c>
      <c r="D11" s="609">
        <f>(12-D5)/12</f>
        <v>1</v>
      </c>
      <c r="E11" s="692"/>
      <c r="F11" s="315"/>
      <c r="G11" s="315"/>
      <c r="H11" s="315"/>
      <c r="I11" s="315"/>
      <c r="J11" s="315"/>
      <c r="K11" s="315"/>
      <c r="L11" s="315"/>
      <c r="M11" s="315"/>
      <c r="N11" s="315"/>
      <c r="O11" s="315"/>
    </row>
    <row r="12" spans="2:15" x14ac:dyDescent="0.2">
      <c r="B12" t="s">
        <v>197</v>
      </c>
      <c r="D12" s="609">
        <f>1-D5/12</f>
        <v>1</v>
      </c>
      <c r="E12" s="692"/>
      <c r="F12" s="315"/>
      <c r="G12" s="315"/>
      <c r="H12" s="315"/>
      <c r="I12" s="315"/>
      <c r="J12" s="315"/>
      <c r="K12" s="315"/>
      <c r="L12" s="315"/>
      <c r="M12" s="315"/>
      <c r="N12" s="315"/>
      <c r="O12" s="315"/>
    </row>
    <row r="14" spans="2:15" x14ac:dyDescent="0.2">
      <c r="B14" t="s">
        <v>198</v>
      </c>
      <c r="D14" s="52">
        <f>IF(E3&gt;E2,1-D11,1-D12)</f>
        <v>0</v>
      </c>
      <c r="E14" s="52">
        <f>IF(E3&gt;E2,1-E11,1-E12)</f>
        <v>1</v>
      </c>
      <c r="F14" t="s">
        <v>199</v>
      </c>
    </row>
    <row r="15" spans="2:15" x14ac:dyDescent="0.2">
      <c r="B15" t="s">
        <v>200</v>
      </c>
      <c r="D15" s="256">
        <f>1-D12</f>
        <v>0</v>
      </c>
      <c r="E15" s="256">
        <f>1-E12</f>
        <v>1</v>
      </c>
      <c r="F15" t="s">
        <v>199</v>
      </c>
    </row>
    <row r="17" spans="2:24" x14ac:dyDescent="0.2">
      <c r="B17" t="s">
        <v>201</v>
      </c>
      <c r="E17" s="609">
        <v>0</v>
      </c>
      <c r="F17" s="557">
        <f>+E2-E3</f>
        <v>0</v>
      </c>
      <c r="G17" s="611">
        <v>-2.73972602739736E-3</v>
      </c>
    </row>
    <row r="18" spans="2:24" x14ac:dyDescent="0.2">
      <c r="B18" t="s">
        <v>202</v>
      </c>
      <c r="E18" s="256">
        <f>IF(Invoerblad!E44=DATE(2012,1,1),E1-E17-G17,E1-E17)</f>
        <v>15</v>
      </c>
    </row>
    <row r="19" spans="2:24" x14ac:dyDescent="0.2">
      <c r="B19" t="s">
        <v>203</v>
      </c>
      <c r="E19" s="608">
        <f>IF($D$11&lt;1,CEILING(E18-D11,1)+1,CEILING(E18,1))</f>
        <v>15</v>
      </c>
    </row>
    <row r="20" spans="2:24" x14ac:dyDescent="0.2">
      <c r="E20" s="256"/>
    </row>
    <row r="21" spans="2:24" x14ac:dyDescent="0.2">
      <c r="B21" t="s">
        <v>204</v>
      </c>
      <c r="E21">
        <v>1</v>
      </c>
      <c r="F21">
        <f>IF(COUNTA($E$21:E21)&gt;=$E$19,0,+E21+1)</f>
        <v>2</v>
      </c>
      <c r="G21">
        <f>IF(COUNTA($E$21:F21)&gt;=$E$19,0,+F21+1)</f>
        <v>3</v>
      </c>
      <c r="H21">
        <f>IF(COUNTA($E$21:G21)&gt;=$E$19,0,+G21+1)</f>
        <v>4</v>
      </c>
      <c r="I21">
        <f>IF(COUNTA($E$21:H21)&gt;=$E$19,0,+H21+1)</f>
        <v>5</v>
      </c>
      <c r="J21">
        <f>IF(COUNTA($E$21:I21)&gt;=$E$19,0,+I21+1)</f>
        <v>6</v>
      </c>
      <c r="K21">
        <f>IF(COUNTA($E$21:J21)&gt;=$E$19,0,+J21+1)</f>
        <v>7</v>
      </c>
      <c r="L21">
        <f>IF(COUNTA($E$21:K21)&gt;=$E$19,0,+K21+1)</f>
        <v>8</v>
      </c>
      <c r="M21">
        <f>IF(COUNTA($E$21:L21)&gt;=$E$19,0,+L21+1)</f>
        <v>9</v>
      </c>
      <c r="N21">
        <f>IF(COUNTA($E$21:M21)&gt;=$E$19,0,+M21+1)</f>
        <v>10</v>
      </c>
      <c r="O21">
        <f>IF(COUNTA($E$21:N21)&gt;=$E$19,0,+N21+1)</f>
        <v>11</v>
      </c>
      <c r="P21">
        <f>IF(COUNTA($E$21:O21)&gt;=$E$19,0,+O21+1)</f>
        <v>12</v>
      </c>
      <c r="Q21">
        <f>IF(COUNTA($E$21:P21)&gt;=$E$19,0,+P21+1)</f>
        <v>13</v>
      </c>
      <c r="R21">
        <f>IF(COUNTA($E$21:Q21)&gt;=$E$19,0,+Q21+1)</f>
        <v>14</v>
      </c>
      <c r="S21">
        <f>IF(COUNTA($E$21:R21)&gt;=$E$19,0,+R21+1)</f>
        <v>15</v>
      </c>
      <c r="T21">
        <f>IF(COUNTA($E$21:S21)&gt;=$E$19,0,+S21+1)</f>
        <v>0</v>
      </c>
      <c r="U21">
        <f>IF(COUNTA($E$21:T21)&gt;=$E$19,0,+T21+1)</f>
        <v>0</v>
      </c>
      <c r="V21">
        <f>IF(COUNTA($E$21:U21)&gt;=$E$19,0,+U21+1)</f>
        <v>0</v>
      </c>
      <c r="W21">
        <f>IF(COUNTA($E$21:V21)&gt;=$E$19,0,+V21+1)</f>
        <v>0</v>
      </c>
      <c r="X21">
        <f>IF(COUNTA($E$21:W21)&gt;=$E$19,0,+W21+1)</f>
        <v>0</v>
      </c>
    </row>
    <row r="22" spans="2:24" x14ac:dyDescent="0.2">
      <c r="B22" t="s">
        <v>204</v>
      </c>
      <c r="E22" s="608">
        <f>IF(ISBLANK($E$4),1,+$E$4)</f>
        <v>1900</v>
      </c>
      <c r="F22">
        <f t="shared" ref="F22:X22" si="0">IF(F21&gt;0,+E22+1,0)</f>
        <v>1901</v>
      </c>
      <c r="G22">
        <f t="shared" si="0"/>
        <v>1902</v>
      </c>
      <c r="H22">
        <f t="shared" si="0"/>
        <v>1903</v>
      </c>
      <c r="I22">
        <f t="shared" si="0"/>
        <v>1904</v>
      </c>
      <c r="J22">
        <f t="shared" si="0"/>
        <v>1905</v>
      </c>
      <c r="K22">
        <f t="shared" si="0"/>
        <v>1906</v>
      </c>
      <c r="L22">
        <f t="shared" si="0"/>
        <v>1907</v>
      </c>
      <c r="M22">
        <f t="shared" si="0"/>
        <v>1908</v>
      </c>
      <c r="N22">
        <f t="shared" si="0"/>
        <v>1909</v>
      </c>
      <c r="O22">
        <f t="shared" si="0"/>
        <v>1910</v>
      </c>
      <c r="P22">
        <f t="shared" si="0"/>
        <v>1911</v>
      </c>
      <c r="Q22">
        <f t="shared" si="0"/>
        <v>1912</v>
      </c>
      <c r="R22">
        <f t="shared" si="0"/>
        <v>1913</v>
      </c>
      <c r="S22">
        <f t="shared" si="0"/>
        <v>1914</v>
      </c>
      <c r="T22">
        <f t="shared" si="0"/>
        <v>0</v>
      </c>
      <c r="U22">
        <f t="shared" si="0"/>
        <v>0</v>
      </c>
      <c r="V22">
        <f t="shared" si="0"/>
        <v>0</v>
      </c>
      <c r="W22">
        <f t="shared" si="0"/>
        <v>0</v>
      </c>
      <c r="X22">
        <f t="shared" si="0"/>
        <v>0</v>
      </c>
    </row>
    <row r="24" spans="2:24" x14ac:dyDescent="0.2">
      <c r="B24" t="s">
        <v>205</v>
      </c>
      <c r="C24" t="s">
        <v>206</v>
      </c>
      <c r="E24" s="256">
        <f t="shared" ref="E24:X24" si="1">IF(E21=0,0,IF(E21=1,+$D$11,IF(D25+1&lt;=$E$18,1,IF(E22&gt;=0,$D$14,0))))</f>
        <v>1</v>
      </c>
      <c r="F24" s="256">
        <f t="shared" si="1"/>
        <v>1</v>
      </c>
      <c r="G24" s="256">
        <f t="shared" si="1"/>
        <v>1</v>
      </c>
      <c r="H24" s="256">
        <f t="shared" si="1"/>
        <v>1</v>
      </c>
      <c r="I24" s="256">
        <f t="shared" si="1"/>
        <v>1</v>
      </c>
      <c r="J24" s="256">
        <f t="shared" si="1"/>
        <v>1</v>
      </c>
      <c r="K24" s="256">
        <f t="shared" si="1"/>
        <v>1</v>
      </c>
      <c r="L24" s="256">
        <f t="shared" si="1"/>
        <v>1</v>
      </c>
      <c r="M24" s="256">
        <f t="shared" si="1"/>
        <v>1</v>
      </c>
      <c r="N24" s="256">
        <f t="shared" si="1"/>
        <v>1</v>
      </c>
      <c r="O24" s="256">
        <f t="shared" si="1"/>
        <v>1</v>
      </c>
      <c r="P24" s="256">
        <f t="shared" si="1"/>
        <v>1</v>
      </c>
      <c r="Q24" s="256">
        <f t="shared" si="1"/>
        <v>1</v>
      </c>
      <c r="R24" s="256">
        <f t="shared" si="1"/>
        <v>1</v>
      </c>
      <c r="S24" s="256">
        <f t="shared" si="1"/>
        <v>1</v>
      </c>
      <c r="T24" s="256">
        <f t="shared" si="1"/>
        <v>0</v>
      </c>
      <c r="U24" s="256">
        <f t="shared" si="1"/>
        <v>0</v>
      </c>
      <c r="V24" s="256">
        <f t="shared" si="1"/>
        <v>0</v>
      </c>
      <c r="W24" s="256">
        <f t="shared" si="1"/>
        <v>0</v>
      </c>
      <c r="X24" s="256">
        <f t="shared" si="1"/>
        <v>0</v>
      </c>
    </row>
    <row r="25" spans="2:24" x14ac:dyDescent="0.2">
      <c r="E25" s="256">
        <f>+E24</f>
        <v>1</v>
      </c>
      <c r="F25" s="256">
        <f t="shared" ref="F25:X25" si="2">+E25+F24</f>
        <v>2</v>
      </c>
      <c r="G25" s="256">
        <f t="shared" si="2"/>
        <v>3</v>
      </c>
      <c r="H25" s="256">
        <f t="shared" si="2"/>
        <v>4</v>
      </c>
      <c r="I25" s="256">
        <f t="shared" si="2"/>
        <v>5</v>
      </c>
      <c r="J25" s="256">
        <f t="shared" si="2"/>
        <v>6</v>
      </c>
      <c r="K25" s="256">
        <f t="shared" si="2"/>
        <v>7</v>
      </c>
      <c r="L25" s="256">
        <f t="shared" si="2"/>
        <v>8</v>
      </c>
      <c r="M25" s="256">
        <f t="shared" si="2"/>
        <v>9</v>
      </c>
      <c r="N25" s="256">
        <f t="shared" si="2"/>
        <v>10</v>
      </c>
      <c r="O25" s="256">
        <f t="shared" si="2"/>
        <v>11</v>
      </c>
      <c r="P25" s="256">
        <f t="shared" si="2"/>
        <v>12</v>
      </c>
      <c r="Q25" s="256">
        <f t="shared" si="2"/>
        <v>13</v>
      </c>
      <c r="R25" s="256">
        <f t="shared" si="2"/>
        <v>14</v>
      </c>
      <c r="S25" s="256">
        <f t="shared" si="2"/>
        <v>15</v>
      </c>
      <c r="T25" s="256">
        <f t="shared" si="2"/>
        <v>15</v>
      </c>
      <c r="U25" s="256">
        <f t="shared" si="2"/>
        <v>15</v>
      </c>
      <c r="V25" s="256">
        <f t="shared" si="2"/>
        <v>15</v>
      </c>
      <c r="W25" s="256">
        <f t="shared" si="2"/>
        <v>15</v>
      </c>
      <c r="X25" s="256">
        <f t="shared" si="2"/>
        <v>15</v>
      </c>
    </row>
    <row r="26" spans="2:24" x14ac:dyDescent="0.2">
      <c r="B26" s="3"/>
      <c r="C26" s="3"/>
      <c r="D26" s="3"/>
      <c r="E26" s="3"/>
      <c r="F26" s="3"/>
      <c r="G26" s="3"/>
      <c r="H26" s="3"/>
      <c r="I26" s="3"/>
      <c r="J26" s="3"/>
      <c r="K26" s="3"/>
      <c r="L26" s="3"/>
      <c r="M26" s="3"/>
      <c r="N26" s="3"/>
      <c r="O26" s="3"/>
      <c r="P26" s="3"/>
      <c r="Q26" s="3"/>
      <c r="R26" s="3"/>
      <c r="S26" s="3"/>
      <c r="T26" s="3"/>
      <c r="U26" s="3"/>
      <c r="V26" s="3"/>
      <c r="W26" s="3"/>
      <c r="X26" s="3"/>
    </row>
    <row r="27" spans="2:24" x14ac:dyDescent="0.2">
      <c r="F27" s="3"/>
      <c r="T27" s="257"/>
    </row>
    <row r="28" spans="2:24" x14ac:dyDescent="0.2">
      <c r="B28" s="30" t="s">
        <v>490</v>
      </c>
      <c r="F28" s="3"/>
    </row>
    <row r="29" spans="2:24" s="3" customFormat="1" x14ac:dyDescent="0.2">
      <c r="B29" s="323" t="s">
        <v>450</v>
      </c>
      <c r="C29" s="323"/>
      <c r="D29" s="323"/>
      <c r="E29" s="323"/>
      <c r="F29" s="323"/>
      <c r="G29" s="323"/>
      <c r="H29" s="323"/>
      <c r="I29" s="686"/>
      <c r="J29" s="323"/>
      <c r="K29" s="323"/>
      <c r="L29" s="323"/>
      <c r="M29" s="323"/>
      <c r="N29" s="323"/>
      <c r="O29" s="323"/>
      <c r="P29" s="687">
        <f>DATE(YEAR(Invoerblad!E44)-1,MONTH(1)+6,DAY(1))</f>
        <v>693779</v>
      </c>
    </row>
    <row r="30" spans="2:24" s="3" customFormat="1" x14ac:dyDescent="0.2">
      <c r="B30" s="323" t="s">
        <v>451</v>
      </c>
      <c r="C30" s="323"/>
      <c r="D30" s="323"/>
      <c r="E30" s="323"/>
      <c r="F30" s="323"/>
      <c r="G30" s="323"/>
      <c r="H30" s="323"/>
      <c r="I30" s="686"/>
      <c r="J30" s="323"/>
      <c r="K30" s="323"/>
      <c r="L30" s="323"/>
      <c r="M30" s="323"/>
      <c r="N30" s="323"/>
      <c r="O30" s="323"/>
      <c r="P30" s="687">
        <f>Invoerblad!E45</f>
        <v>0</v>
      </c>
    </row>
    <row r="31" spans="2:24" s="3" customFormat="1" x14ac:dyDescent="0.2">
      <c r="B31" s="323" t="s">
        <v>452</v>
      </c>
      <c r="C31" s="323"/>
      <c r="D31" s="323"/>
      <c r="E31" s="323"/>
      <c r="F31" s="323"/>
      <c r="G31" s="323"/>
      <c r="H31" s="323"/>
      <c r="I31" s="686"/>
      <c r="J31" s="323"/>
      <c r="K31" s="323"/>
      <c r="L31" s="323"/>
      <c r="M31" s="323"/>
      <c r="N31" s="323"/>
      <c r="O31" s="323"/>
      <c r="P31" s="688">
        <f>IF(P29&gt;P30,YEARFRAC(P30,P29),
IF(P30&gt;P29,YEARFRAC(P29,P30),0))</f>
        <v>1899.5027777777777</v>
      </c>
    </row>
    <row r="32" spans="2:24" s="3" customFormat="1" x14ac:dyDescent="0.2">
      <c r="B32" s="323" t="s">
        <v>453</v>
      </c>
      <c r="C32" s="323"/>
      <c r="D32" s="323"/>
      <c r="E32" s="323"/>
      <c r="F32" s="323"/>
      <c r="G32" s="323"/>
      <c r="H32" s="323"/>
      <c r="I32" s="686"/>
      <c r="J32" s="323"/>
      <c r="K32" s="323"/>
      <c r="L32" s="323"/>
      <c r="M32" s="323"/>
      <c r="N32" s="323"/>
      <c r="O32" s="323"/>
      <c r="P32" s="688">
        <f>IF(P29&gt;P30,1/POWER(1+Invoerblad!$E$96,P31),
IF(P30&gt;P29,POWER(1+Invoerblad!$E$96,P31),1))</f>
        <v>1</v>
      </c>
    </row>
    <row r="33" spans="2:14" s="3" customFormat="1" x14ac:dyDescent="0.2">
      <c r="I33" s="617"/>
    </row>
    <row r="34" spans="2:14" x14ac:dyDescent="0.2">
      <c r="B34" s="3"/>
      <c r="C34" s="3"/>
      <c r="D34" s="3"/>
      <c r="E34" s="3"/>
      <c r="F34" s="3"/>
      <c r="G34" s="3"/>
      <c r="H34" s="3"/>
      <c r="I34" s="3"/>
      <c r="J34" s="3"/>
      <c r="K34" s="3"/>
      <c r="L34" s="3"/>
      <c r="M34" s="3"/>
      <c r="N34" s="3"/>
    </row>
    <row r="35" spans="2:14" x14ac:dyDescent="0.2">
      <c r="B35" s="3"/>
      <c r="C35" s="3"/>
      <c r="D35" s="3"/>
      <c r="E35" s="3"/>
      <c r="F35" s="3"/>
      <c r="G35" s="3"/>
      <c r="H35" s="3"/>
      <c r="I35" s="3"/>
      <c r="J35" s="3"/>
      <c r="K35" s="3"/>
      <c r="L35" s="3"/>
      <c r="M35" s="3"/>
      <c r="N35" s="3"/>
    </row>
    <row r="36" spans="2:14" x14ac:dyDescent="0.2">
      <c r="B36" s="3"/>
      <c r="C36" s="3"/>
      <c r="D36" s="3"/>
      <c r="E36" s="3"/>
      <c r="F36" s="3"/>
      <c r="G36" s="3"/>
      <c r="H36" s="3"/>
      <c r="I36" s="3"/>
      <c r="J36" s="3"/>
      <c r="K36" s="3"/>
      <c r="L36" s="3"/>
      <c r="M36" s="3"/>
      <c r="N36" s="3"/>
    </row>
    <row r="37" spans="2:14" x14ac:dyDescent="0.2">
      <c r="B37" s="3"/>
      <c r="C37" s="3"/>
      <c r="D37" s="261"/>
      <c r="E37" s="3"/>
      <c r="F37" s="3"/>
      <c r="G37" s="3"/>
      <c r="H37" s="3"/>
      <c r="I37" s="3"/>
      <c r="J37" s="3"/>
      <c r="K37" s="3"/>
      <c r="L37" s="3"/>
      <c r="M37" s="3"/>
      <c r="N37" s="3"/>
    </row>
    <row r="38" spans="2:14" x14ac:dyDescent="0.2">
      <c r="B38" s="3"/>
      <c r="C38" s="3"/>
      <c r="D38" s="3"/>
      <c r="E38" s="3"/>
      <c r="F38" s="3"/>
      <c r="G38" s="3"/>
      <c r="H38" s="3"/>
      <c r="I38" s="3"/>
      <c r="J38" s="3"/>
      <c r="K38" s="3"/>
      <c r="L38" s="3"/>
      <c r="M38" s="3"/>
      <c r="N38" s="3"/>
    </row>
    <row r="39" spans="2:14" x14ac:dyDescent="0.2">
      <c r="B39" s="3"/>
      <c r="C39" s="3"/>
      <c r="D39" s="3"/>
      <c r="E39" s="3"/>
      <c r="F39" s="3"/>
      <c r="G39" s="3"/>
      <c r="H39" s="3"/>
      <c r="I39" s="3"/>
      <c r="J39" s="3"/>
      <c r="K39" s="3"/>
      <c r="L39" s="3"/>
      <c r="M39" s="3"/>
      <c r="N39" s="3"/>
    </row>
    <row r="40" spans="2:14" x14ac:dyDescent="0.2">
      <c r="B40" s="3"/>
      <c r="C40" s="3"/>
      <c r="D40" s="3"/>
      <c r="E40" s="3"/>
      <c r="F40" s="3"/>
      <c r="G40" s="3"/>
      <c r="H40" s="3"/>
      <c r="I40" s="3"/>
      <c r="J40" s="3"/>
      <c r="K40" s="3"/>
      <c r="L40" s="3"/>
      <c r="M40" s="3"/>
      <c r="N40" s="3"/>
    </row>
    <row r="41" spans="2:14" x14ac:dyDescent="0.2">
      <c r="B41" s="3"/>
      <c r="C41" s="3"/>
      <c r="D41" s="3"/>
      <c r="E41" s="3"/>
      <c r="F41" s="3"/>
      <c r="G41" s="3"/>
      <c r="H41" s="3"/>
      <c r="I41" s="3"/>
      <c r="J41" s="3"/>
      <c r="K41" s="3"/>
      <c r="L41" s="3"/>
      <c r="M41" s="3"/>
      <c r="N41" s="3"/>
    </row>
    <row r="42" spans="2:14" x14ac:dyDescent="0.2">
      <c r="B42" s="3"/>
      <c r="C42" s="3"/>
      <c r="D42" s="3"/>
      <c r="E42" s="3"/>
      <c r="F42" s="3"/>
      <c r="G42" s="3"/>
      <c r="H42" s="3"/>
      <c r="I42" s="3"/>
      <c r="J42" s="3"/>
      <c r="K42" s="3"/>
      <c r="L42" s="3"/>
      <c r="M42" s="3"/>
      <c r="N42" s="3"/>
    </row>
    <row r="43" spans="2:14" x14ac:dyDescent="0.2">
      <c r="B43" s="3"/>
      <c r="C43" s="3"/>
      <c r="D43" s="3"/>
      <c r="E43" s="3"/>
      <c r="F43" s="3"/>
      <c r="G43" s="3"/>
      <c r="H43" s="3"/>
      <c r="I43" s="3"/>
      <c r="J43" s="3"/>
      <c r="K43" s="3"/>
      <c r="L43" s="3"/>
      <c r="M43" s="3"/>
      <c r="N43" s="3"/>
    </row>
    <row r="44" spans="2:14" x14ac:dyDescent="0.2">
      <c r="B44" s="3"/>
      <c r="C44" s="3"/>
      <c r="D44" s="3"/>
      <c r="E44" s="3"/>
      <c r="F44" s="3"/>
      <c r="G44" s="3"/>
      <c r="H44" s="3"/>
      <c r="I44" s="3"/>
      <c r="J44" s="3"/>
      <c r="K44" s="3"/>
      <c r="L44" s="3"/>
      <c r="M44" s="3"/>
      <c r="N44" s="3"/>
    </row>
    <row r="45" spans="2:14" x14ac:dyDescent="0.2">
      <c r="B45" s="3"/>
      <c r="C45" s="261"/>
      <c r="D45" s="3"/>
      <c r="E45" s="3"/>
      <c r="F45" s="3"/>
      <c r="G45" s="3"/>
      <c r="H45" s="3"/>
      <c r="I45" s="3"/>
      <c r="J45" s="3"/>
      <c r="K45" s="3"/>
      <c r="L45" s="3"/>
      <c r="M45" s="3"/>
      <c r="N45" s="3"/>
    </row>
    <row r="46" spans="2:14" x14ac:dyDescent="0.2">
      <c r="B46" s="3"/>
      <c r="C46" s="3"/>
      <c r="D46" s="3"/>
      <c r="E46" s="3"/>
      <c r="F46" s="3"/>
      <c r="G46" s="3"/>
      <c r="H46" s="3"/>
      <c r="I46" s="3"/>
      <c r="J46" s="3"/>
      <c r="K46" s="3"/>
      <c r="L46" s="3"/>
      <c r="M46" s="3"/>
      <c r="N46" s="3"/>
    </row>
    <row r="47" spans="2:14" x14ac:dyDescent="0.2">
      <c r="B47" s="3"/>
      <c r="C47" s="3"/>
      <c r="D47" s="262"/>
      <c r="E47" s="263"/>
      <c r="F47" s="263"/>
      <c r="G47" s="3"/>
      <c r="H47" s="3"/>
      <c r="I47" s="3"/>
      <c r="J47" s="3"/>
      <c r="K47" s="3"/>
      <c r="L47" s="3"/>
      <c r="M47" s="3"/>
      <c r="N47" s="3"/>
    </row>
    <row r="48" spans="2:14" x14ac:dyDescent="0.2">
      <c r="B48" s="3"/>
      <c r="C48" s="3"/>
      <c r="D48" s="3"/>
      <c r="E48" s="3"/>
      <c r="F48" s="3"/>
      <c r="G48" s="3"/>
      <c r="H48" s="3"/>
      <c r="I48" s="3"/>
      <c r="J48" s="3"/>
      <c r="K48" s="3"/>
      <c r="L48" s="3"/>
      <c r="M48" s="3"/>
      <c r="N48" s="3"/>
    </row>
    <row r="49" spans="2:14" x14ac:dyDescent="0.2">
      <c r="B49" s="3"/>
      <c r="C49" s="264"/>
      <c r="D49" s="3"/>
      <c r="E49" s="3"/>
      <c r="F49" s="3"/>
      <c r="G49" s="3"/>
      <c r="H49" s="3"/>
      <c r="I49" s="3"/>
      <c r="J49" s="3"/>
      <c r="K49" s="3"/>
      <c r="L49" s="3"/>
      <c r="M49" s="3"/>
      <c r="N49" s="3"/>
    </row>
    <row r="50" spans="2:14" x14ac:dyDescent="0.2">
      <c r="B50" s="3"/>
      <c r="C50" s="3"/>
      <c r="D50" s="3"/>
      <c r="E50" s="3"/>
      <c r="F50" s="3"/>
      <c r="G50" s="3"/>
      <c r="H50" s="3"/>
      <c r="I50" s="3"/>
      <c r="J50" s="3"/>
      <c r="K50" s="3"/>
      <c r="L50" s="3"/>
      <c r="M50" s="3"/>
      <c r="N50" s="3"/>
    </row>
    <row r="51" spans="2:14" x14ac:dyDescent="0.2">
      <c r="B51" s="3"/>
      <c r="C51" s="3"/>
      <c r="D51" s="3"/>
      <c r="E51" s="3"/>
      <c r="F51" s="3"/>
      <c r="G51" s="3"/>
      <c r="H51" s="3"/>
      <c r="I51" s="3"/>
      <c r="J51" s="3"/>
      <c r="K51" s="3"/>
      <c r="L51" s="3"/>
      <c r="M51" s="3"/>
      <c r="N51" s="3"/>
    </row>
    <row r="52" spans="2:14" x14ac:dyDescent="0.2">
      <c r="B52" s="3"/>
      <c r="C52" s="3"/>
      <c r="D52" s="3"/>
      <c r="E52" s="3"/>
      <c r="F52" s="3"/>
      <c r="G52" s="3"/>
      <c r="H52" s="3"/>
      <c r="I52" s="3"/>
      <c r="J52" s="3"/>
      <c r="K52" s="3"/>
      <c r="L52" s="3"/>
      <c r="M52" s="3"/>
      <c r="N52" s="3"/>
    </row>
    <row r="53" spans="2:14" x14ac:dyDescent="0.2">
      <c r="B53" s="3"/>
      <c r="C53" s="3"/>
      <c r="D53" s="3"/>
      <c r="E53" s="3"/>
      <c r="F53" s="3"/>
      <c r="G53" s="3"/>
      <c r="H53" s="3"/>
      <c r="I53" s="3"/>
      <c r="J53" s="3"/>
      <c r="K53" s="3"/>
      <c r="L53" s="3"/>
      <c r="M53" s="3"/>
      <c r="N53" s="3"/>
    </row>
  </sheetData>
  <pageMargins left="0.75" right="0.75" top="1" bottom="1" header="0.51180555555555496" footer="0.51180555555555496"/>
  <pageSetup paperSize="9" firstPageNumber="0" orientation="landscape" horizontalDpi="300" verticalDpi="300" r:id="rId1"/>
  <headerFooter>
    <oddHeader>&amp;L&amp;"Calibri"&amp;10&amp;K000000 Vertrouwelijk&amp;1#_x000D_</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0FDEB-F549-4C41-852E-A247325DF45B}">
  <dimension ref="A1:F37"/>
  <sheetViews>
    <sheetView workbookViewId="0">
      <selection activeCell="K9" sqref="K9"/>
    </sheetView>
  </sheetViews>
  <sheetFormatPr defaultRowHeight="12.75" x14ac:dyDescent="0.2"/>
  <cols>
    <col min="1" max="1" width="41.33203125" customWidth="1"/>
    <col min="2" max="2" width="80.33203125" bestFit="1" customWidth="1"/>
  </cols>
  <sheetData>
    <row r="1" spans="1:6" x14ac:dyDescent="0.2">
      <c r="A1" s="323" t="s">
        <v>495</v>
      </c>
      <c r="B1" s="3"/>
      <c r="C1" s="3"/>
      <c r="D1" s="3"/>
      <c r="E1" s="3"/>
      <c r="F1" s="3"/>
    </row>
    <row r="2" spans="1:6" x14ac:dyDescent="0.2">
      <c r="A2" s="323" t="s">
        <v>496</v>
      </c>
      <c r="B2" s="3"/>
      <c r="C2" s="3"/>
      <c r="D2" s="3"/>
      <c r="E2" s="3"/>
      <c r="F2" s="3"/>
    </row>
    <row r="3" spans="1:6" x14ac:dyDescent="0.2">
      <c r="A3" s="3"/>
      <c r="B3" s="3"/>
      <c r="C3" s="3"/>
      <c r="D3" s="3"/>
      <c r="E3" s="3"/>
      <c r="F3" s="3"/>
    </row>
    <row r="4" spans="1:6" x14ac:dyDescent="0.2">
      <c r="A4" s="686" t="s">
        <v>497</v>
      </c>
      <c r="B4" s="686" t="s">
        <v>498</v>
      </c>
      <c r="C4" s="686"/>
      <c r="D4" s="3"/>
      <c r="E4" s="3"/>
      <c r="F4" s="3"/>
    </row>
    <row r="5" spans="1:6" x14ac:dyDescent="0.2">
      <c r="A5" s="323"/>
      <c r="B5" s="3"/>
      <c r="C5" s="323"/>
      <c r="D5" s="3"/>
      <c r="E5" s="3"/>
      <c r="F5" s="3"/>
    </row>
    <row r="6" spans="1:6" x14ac:dyDescent="0.2">
      <c r="A6" s="686" t="s">
        <v>499</v>
      </c>
      <c r="B6" s="3"/>
      <c r="C6" s="323"/>
      <c r="D6" s="3"/>
      <c r="E6" s="3"/>
      <c r="F6" s="3"/>
    </row>
    <row r="7" spans="1:6" x14ac:dyDescent="0.2">
      <c r="A7" s="323">
        <v>13</v>
      </c>
      <c r="B7" s="323" t="s">
        <v>500</v>
      </c>
      <c r="C7" s="323"/>
      <c r="D7" s="3"/>
      <c r="E7" s="3"/>
      <c r="F7" s="3"/>
    </row>
    <row r="8" spans="1:6" x14ac:dyDescent="0.2">
      <c r="A8" s="323"/>
      <c r="B8" s="323" t="s">
        <v>501</v>
      </c>
      <c r="C8" s="720"/>
      <c r="D8" s="3"/>
      <c r="E8" s="3"/>
      <c r="F8" s="3"/>
    </row>
    <row r="9" spans="1:6" x14ac:dyDescent="0.2">
      <c r="A9" s="3"/>
      <c r="B9" s="323" t="s">
        <v>502</v>
      </c>
      <c r="C9" s="720"/>
      <c r="D9" s="3"/>
      <c r="E9" s="3"/>
      <c r="F9" s="3"/>
    </row>
    <row r="10" spans="1:6" x14ac:dyDescent="0.2">
      <c r="A10" s="3"/>
      <c r="B10" s="323" t="s">
        <v>503</v>
      </c>
      <c r="C10" s="721"/>
      <c r="D10" s="3"/>
      <c r="E10" s="3"/>
      <c r="F10" s="3"/>
    </row>
    <row r="11" spans="1:6" x14ac:dyDescent="0.2">
      <c r="A11" s="3"/>
      <c r="B11" s="323" t="s">
        <v>504</v>
      </c>
      <c r="C11" s="721"/>
      <c r="D11" s="3"/>
      <c r="E11" s="3"/>
      <c r="F11" s="3"/>
    </row>
    <row r="12" spans="1:6" x14ac:dyDescent="0.2">
      <c r="A12" s="323"/>
      <c r="B12" s="323"/>
      <c r="C12" s="722"/>
      <c r="D12" s="3"/>
      <c r="E12" s="3"/>
      <c r="F12" s="3"/>
    </row>
    <row r="13" spans="1:6" x14ac:dyDescent="0.2">
      <c r="A13" s="323"/>
      <c r="B13" s="323" t="s">
        <v>505</v>
      </c>
      <c r="C13" s="723"/>
      <c r="D13" s="3"/>
      <c r="E13" s="3"/>
      <c r="F13" s="3"/>
    </row>
    <row r="14" spans="1:6" x14ac:dyDescent="0.2">
      <c r="A14" s="3"/>
      <c r="B14" s="323"/>
      <c r="C14" s="323"/>
      <c r="D14" s="3"/>
      <c r="E14" s="3"/>
      <c r="F14" s="3"/>
    </row>
    <row r="15" spans="1:6" x14ac:dyDescent="0.2">
      <c r="A15" s="3"/>
      <c r="B15" s="323"/>
      <c r="C15" s="323"/>
      <c r="D15" s="3"/>
      <c r="E15" s="3"/>
      <c r="F15" s="3"/>
    </row>
    <row r="16" spans="1:6" x14ac:dyDescent="0.2">
      <c r="A16" s="686" t="s">
        <v>506</v>
      </c>
      <c r="B16" s="323"/>
      <c r="C16" s="323"/>
      <c r="D16" s="3"/>
      <c r="E16" s="3"/>
      <c r="F16" s="3"/>
    </row>
    <row r="17" spans="1:6" x14ac:dyDescent="0.2">
      <c r="A17" s="3"/>
      <c r="B17" s="323"/>
      <c r="C17" s="323"/>
      <c r="D17" s="3"/>
      <c r="E17" s="3"/>
      <c r="F17" s="3"/>
    </row>
    <row r="18" spans="1:6" x14ac:dyDescent="0.2">
      <c r="A18" s="3"/>
      <c r="B18" s="323"/>
      <c r="C18" s="323"/>
      <c r="D18" s="3"/>
      <c r="E18" s="3"/>
      <c r="F18" s="3"/>
    </row>
    <row r="19" spans="1:6" x14ac:dyDescent="0.2">
      <c r="A19" s="686" t="s">
        <v>507</v>
      </c>
      <c r="B19" s="323"/>
      <c r="C19" s="323"/>
      <c r="D19" s="3"/>
      <c r="E19" s="3"/>
      <c r="F19" s="3"/>
    </row>
    <row r="20" spans="1:6" x14ac:dyDescent="0.2">
      <c r="A20" s="3">
        <v>23</v>
      </c>
      <c r="B20" s="323" t="s">
        <v>508</v>
      </c>
      <c r="C20" s="323"/>
      <c r="D20" s="3"/>
      <c r="E20" s="3"/>
      <c r="F20" s="3"/>
    </row>
    <row r="21" spans="1:6" x14ac:dyDescent="0.2">
      <c r="A21" s="3">
        <v>26</v>
      </c>
      <c r="B21" s="323" t="s">
        <v>508</v>
      </c>
      <c r="C21" s="323"/>
      <c r="D21" s="3"/>
      <c r="E21" s="3"/>
      <c r="F21" s="3"/>
    </row>
    <row r="22" spans="1:6" x14ac:dyDescent="0.2">
      <c r="A22" s="3">
        <v>30</v>
      </c>
      <c r="B22" s="323" t="s">
        <v>508</v>
      </c>
      <c r="C22" s="323"/>
      <c r="D22" s="3"/>
      <c r="E22" s="3"/>
      <c r="F22" s="3"/>
    </row>
    <row r="23" spans="1:6" x14ac:dyDescent="0.2">
      <c r="A23" s="3"/>
      <c r="B23" s="3"/>
      <c r="C23" s="323"/>
      <c r="D23" s="3"/>
      <c r="E23" s="3"/>
      <c r="F23" s="3"/>
    </row>
    <row r="24" spans="1:6" x14ac:dyDescent="0.2">
      <c r="A24" s="3"/>
      <c r="B24" s="323" t="s">
        <v>505</v>
      </c>
      <c r="C24" s="700"/>
      <c r="D24" s="3"/>
      <c r="E24" s="3"/>
      <c r="F24" s="3"/>
    </row>
    <row r="25" spans="1:6" x14ac:dyDescent="0.2">
      <c r="A25" s="3"/>
      <c r="B25" s="323"/>
      <c r="C25" s="323"/>
      <c r="D25" s="3"/>
      <c r="E25" s="3"/>
      <c r="F25" s="3"/>
    </row>
    <row r="26" spans="1:6" x14ac:dyDescent="0.2">
      <c r="A26" s="686" t="s">
        <v>54</v>
      </c>
      <c r="B26" s="3"/>
      <c r="C26" s="686"/>
      <c r="D26" s="3"/>
      <c r="E26" s="3"/>
      <c r="F26" s="3"/>
    </row>
    <row r="27" spans="1:6" x14ac:dyDescent="0.2">
      <c r="A27" s="3">
        <v>35</v>
      </c>
      <c r="B27" s="323"/>
      <c r="C27" s="323"/>
      <c r="D27" s="3"/>
      <c r="E27" s="3"/>
      <c r="F27" s="3"/>
    </row>
    <row r="28" spans="1:6" x14ac:dyDescent="0.2">
      <c r="A28" s="3"/>
      <c r="B28" s="323" t="s">
        <v>509</v>
      </c>
      <c r="C28" s="323"/>
      <c r="D28" s="3"/>
      <c r="E28" s="3"/>
      <c r="F28" s="3"/>
    </row>
    <row r="29" spans="1:6" x14ac:dyDescent="0.2">
      <c r="A29" s="323">
        <v>39</v>
      </c>
      <c r="B29" s="323"/>
      <c r="C29" s="323"/>
      <c r="D29" s="3"/>
      <c r="E29" s="3"/>
      <c r="F29" s="3"/>
    </row>
    <row r="30" spans="1:6" x14ac:dyDescent="0.2">
      <c r="A30" s="323">
        <v>43</v>
      </c>
      <c r="B30" s="323" t="s">
        <v>510</v>
      </c>
      <c r="C30" s="323"/>
      <c r="D30" s="3"/>
      <c r="E30" s="3"/>
      <c r="F30" s="3"/>
    </row>
    <row r="31" spans="1:6" x14ac:dyDescent="0.2">
      <c r="A31" s="323"/>
      <c r="B31" s="724" t="s">
        <v>81</v>
      </c>
      <c r="C31" s="323"/>
      <c r="D31" s="3"/>
      <c r="E31" s="3"/>
      <c r="F31" s="3"/>
    </row>
    <row r="32" spans="1:6" x14ac:dyDescent="0.2">
      <c r="A32" s="3"/>
      <c r="B32" s="3"/>
      <c r="C32" s="3"/>
      <c r="D32" s="3"/>
      <c r="E32" s="3"/>
      <c r="F32" s="3"/>
    </row>
    <row r="33" spans="1:6" x14ac:dyDescent="0.2">
      <c r="A33" s="323"/>
      <c r="B33" s="3"/>
      <c r="C33" s="323"/>
      <c r="D33" s="3"/>
      <c r="E33" s="3"/>
      <c r="F33" s="3"/>
    </row>
    <row r="34" spans="1:6" x14ac:dyDescent="0.2">
      <c r="A34" s="3"/>
      <c r="B34" s="3"/>
      <c r="C34" s="323"/>
      <c r="D34" s="3"/>
      <c r="E34" s="3"/>
      <c r="F34" s="3"/>
    </row>
    <row r="35" spans="1:6" x14ac:dyDescent="0.2">
      <c r="A35" s="3"/>
      <c r="B35" s="3"/>
      <c r="C35" s="323"/>
      <c r="D35" s="3"/>
      <c r="E35" s="3"/>
      <c r="F35" s="3"/>
    </row>
    <row r="36" spans="1:6" x14ac:dyDescent="0.2">
      <c r="A36" s="3"/>
      <c r="B36" s="3"/>
      <c r="C36" s="323"/>
      <c r="D36" s="3"/>
      <c r="E36" s="3"/>
      <c r="F36" s="3"/>
    </row>
    <row r="37" spans="1:6" x14ac:dyDescent="0.2">
      <c r="A37" s="686" t="s">
        <v>511</v>
      </c>
      <c r="B37" s="3"/>
      <c r="C37" s="3"/>
      <c r="D37" s="3"/>
      <c r="E37" s="3"/>
      <c r="F37" s="3"/>
    </row>
  </sheetData>
  <hyperlinks>
    <hyperlink ref="B31" r:id="rId1" xr:uid="{66DECE19-B962-4CCA-8798-3DAA16540FA9}"/>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76D89-DD74-4BBE-9A27-58E428B14211}">
  <dimension ref="A1:V123"/>
  <sheetViews>
    <sheetView workbookViewId="0">
      <selection activeCell="B18" sqref="B18"/>
    </sheetView>
  </sheetViews>
  <sheetFormatPr defaultColWidth="9.33203125" defaultRowHeight="12.75" x14ac:dyDescent="0.2"/>
  <cols>
    <col min="1" max="1" width="11.83203125" style="752" customWidth="1"/>
    <col min="2" max="2" width="170.33203125" style="752" customWidth="1"/>
    <col min="3" max="3" width="92.5" style="752" customWidth="1"/>
    <col min="4" max="4" width="3.6640625" style="752" hidden="1" customWidth="1"/>
    <col min="5" max="5" width="9.6640625" style="752" hidden="1" customWidth="1"/>
    <col min="6" max="6" width="8.6640625" style="752" hidden="1" customWidth="1"/>
    <col min="7" max="7" width="64.83203125" style="752" customWidth="1"/>
    <col min="8" max="8" width="74.33203125" style="752" customWidth="1"/>
    <col min="9" max="9" width="64.33203125" style="752" customWidth="1"/>
    <col min="10" max="10" width="16.1640625" style="752" customWidth="1"/>
    <col min="11" max="12" width="15.83203125" style="752" customWidth="1"/>
    <col min="13" max="13" width="16.33203125" style="752" customWidth="1"/>
    <col min="14" max="19" width="8.6640625" style="752" customWidth="1"/>
    <col min="20" max="20" width="13.1640625" style="752" customWidth="1"/>
    <col min="21" max="21" width="11.6640625" style="752" customWidth="1"/>
    <col min="22" max="1025" width="8.6640625" style="752" customWidth="1"/>
    <col min="1026" max="16384" width="9.33203125" style="752"/>
  </cols>
  <sheetData>
    <row r="1" spans="1:22" ht="18.75" x14ac:dyDescent="0.3">
      <c r="A1" s="750" t="s">
        <v>122</v>
      </c>
      <c r="B1" s="751"/>
      <c r="C1" s="751"/>
      <c r="D1" s="751"/>
      <c r="E1" s="751"/>
      <c r="F1" s="751"/>
      <c r="G1" s="751"/>
      <c r="H1" s="751"/>
      <c r="I1" s="751"/>
      <c r="J1" s="751"/>
      <c r="K1" s="751"/>
      <c r="L1" s="751"/>
      <c r="M1" s="751"/>
      <c r="N1" s="751"/>
    </row>
    <row r="2" spans="1:22" ht="15.75" x14ac:dyDescent="0.25">
      <c r="A2" s="753"/>
      <c r="B2" s="751"/>
      <c r="C2" s="751"/>
      <c r="D2" s="751"/>
      <c r="E2" s="751"/>
      <c r="F2" s="751"/>
      <c r="G2" s="751"/>
      <c r="H2" s="751"/>
      <c r="I2" s="751"/>
      <c r="J2" s="751"/>
      <c r="K2" s="751"/>
      <c r="L2" s="751"/>
      <c r="M2" s="751"/>
      <c r="N2" s="751"/>
    </row>
    <row r="3" spans="1:22" ht="15.75" x14ac:dyDescent="0.25">
      <c r="A3" s="754" t="s">
        <v>459</v>
      </c>
      <c r="B3" s="751"/>
      <c r="D3" s="751"/>
      <c r="E3" s="751"/>
      <c r="F3" s="751"/>
      <c r="G3" s="751"/>
      <c r="H3" s="751"/>
      <c r="I3" s="751"/>
      <c r="J3" s="751"/>
      <c r="K3" s="751"/>
      <c r="L3" s="751"/>
      <c r="M3" s="751"/>
      <c r="N3" s="751"/>
      <c r="T3" s="755"/>
      <c r="U3" s="755"/>
      <c r="V3" s="755"/>
    </row>
    <row r="4" spans="1:22" ht="15.75" x14ac:dyDescent="0.25">
      <c r="A4" s="754" t="s">
        <v>460</v>
      </c>
      <c r="B4" s="751"/>
      <c r="C4" s="751"/>
      <c r="D4" s="751"/>
      <c r="E4" s="751"/>
      <c r="F4" s="751"/>
      <c r="G4" s="751"/>
      <c r="H4" s="751"/>
      <c r="I4" s="751"/>
      <c r="J4" s="751"/>
      <c r="K4" s="751"/>
      <c r="L4" s="751"/>
      <c r="M4" s="751"/>
      <c r="N4" s="751"/>
    </row>
    <row r="5" spans="1:22" ht="15.75" x14ac:dyDescent="0.25">
      <c r="A5" s="754" t="s">
        <v>123</v>
      </c>
      <c r="B5" s="751"/>
      <c r="C5" s="751"/>
      <c r="D5" s="751"/>
      <c r="E5" s="751"/>
      <c r="F5" s="751"/>
      <c r="G5" s="751"/>
      <c r="H5" s="751"/>
      <c r="I5" s="751"/>
      <c r="J5" s="751"/>
      <c r="K5" s="751"/>
      <c r="L5" s="751"/>
      <c r="M5" s="751"/>
      <c r="N5" s="751"/>
      <c r="T5" s="756"/>
      <c r="U5" s="756"/>
      <c r="V5" s="757"/>
    </row>
    <row r="6" spans="1:22" ht="15.75" x14ac:dyDescent="0.25">
      <c r="A6" s="754" t="s">
        <v>124</v>
      </c>
      <c r="B6" s="751"/>
      <c r="C6" s="758"/>
      <c r="D6" s="751"/>
      <c r="E6" s="751"/>
      <c r="F6" s="751"/>
      <c r="G6" s="751"/>
      <c r="H6" s="751"/>
      <c r="I6" s="751"/>
      <c r="J6" s="751"/>
      <c r="K6" s="751"/>
      <c r="L6" s="751"/>
      <c r="M6" s="751"/>
      <c r="N6" s="751"/>
      <c r="T6" s="756"/>
      <c r="U6" s="756"/>
    </row>
    <row r="7" spans="1:22" ht="15.75" x14ac:dyDescent="0.25">
      <c r="A7" s="753"/>
      <c r="B7" s="751"/>
      <c r="C7" s="751"/>
      <c r="D7" s="751"/>
      <c r="E7" s="751"/>
      <c r="F7" s="751"/>
      <c r="G7" s="751"/>
      <c r="H7" s="751"/>
      <c r="I7" s="751"/>
      <c r="J7" s="751"/>
      <c r="K7" s="751"/>
      <c r="L7" s="751"/>
      <c r="M7" s="751"/>
      <c r="N7" s="751"/>
      <c r="T7" s="756"/>
      <c r="U7" s="756"/>
    </row>
    <row r="8" spans="1:22" ht="15.75" x14ac:dyDescent="0.25">
      <c r="A8" s="753"/>
      <c r="B8" s="751"/>
      <c r="C8" s="751"/>
      <c r="D8" s="751"/>
      <c r="E8" s="751"/>
      <c r="F8" s="751"/>
      <c r="G8" s="751"/>
      <c r="H8" s="751"/>
      <c r="I8" s="751"/>
      <c r="J8" s="751"/>
      <c r="K8" s="751"/>
      <c r="L8" s="751"/>
      <c r="M8" s="751"/>
      <c r="N8" s="751"/>
      <c r="T8" s="756"/>
      <c r="U8" s="756"/>
    </row>
    <row r="9" spans="1:22" x14ac:dyDescent="0.2">
      <c r="A9" s="759" t="s">
        <v>461</v>
      </c>
      <c r="B9" s="751"/>
      <c r="C9" s="751"/>
      <c r="D9" s="751"/>
      <c r="E9" s="751"/>
      <c r="F9" s="751"/>
      <c r="G9" s="751"/>
      <c r="H9" s="751"/>
      <c r="I9" s="751"/>
      <c r="J9" s="751"/>
      <c r="K9" s="751"/>
      <c r="L9" s="751"/>
      <c r="M9" s="751"/>
      <c r="N9" s="751"/>
      <c r="T9" s="756"/>
      <c r="U9" s="756"/>
    </row>
    <row r="10" spans="1:22" x14ac:dyDescent="0.2">
      <c r="A10" s="759" t="s">
        <v>462</v>
      </c>
      <c r="B10" s="751"/>
      <c r="C10" s="751"/>
      <c r="D10" s="751"/>
      <c r="E10" s="751"/>
      <c r="F10" s="751"/>
      <c r="G10" s="751"/>
      <c r="H10" s="751"/>
      <c r="I10" s="751"/>
      <c r="J10" s="751"/>
      <c r="K10" s="751"/>
      <c r="L10" s="751"/>
      <c r="M10" s="751"/>
      <c r="N10" s="751"/>
    </row>
    <row r="11" spans="1:22" x14ac:dyDescent="0.2">
      <c r="A11" s="759" t="s">
        <v>125</v>
      </c>
      <c r="B11" s="751"/>
      <c r="C11" s="760"/>
      <c r="D11" s="751"/>
      <c r="E11" s="751"/>
      <c r="F11" s="751"/>
      <c r="G11" s="751"/>
      <c r="H11" s="751"/>
      <c r="I11" s="751"/>
      <c r="J11" s="751"/>
      <c r="K11" s="751"/>
      <c r="L11" s="751"/>
      <c r="M11" s="751"/>
      <c r="N11" s="751"/>
    </row>
    <row r="12" spans="1:22" x14ac:dyDescent="0.2">
      <c r="A12" s="759"/>
      <c r="B12" s="751"/>
      <c r="C12" s="751"/>
      <c r="D12" s="751"/>
      <c r="E12" s="751"/>
      <c r="F12" s="751"/>
      <c r="G12" s="751"/>
      <c r="H12" s="751"/>
      <c r="I12" s="751"/>
      <c r="J12" s="751"/>
      <c r="K12" s="751"/>
      <c r="L12" s="751"/>
      <c r="M12" s="751"/>
      <c r="N12" s="751"/>
    </row>
    <row r="13" spans="1:22" x14ac:dyDescent="0.2">
      <c r="A13" s="751"/>
      <c r="B13" s="751"/>
      <c r="C13" s="751"/>
      <c r="D13" s="751"/>
      <c r="E13" s="751"/>
      <c r="F13" s="751"/>
      <c r="G13" s="751"/>
      <c r="H13" s="751"/>
      <c r="I13" s="751"/>
      <c r="J13" s="751"/>
      <c r="K13" s="751"/>
      <c r="L13" s="751"/>
      <c r="M13" s="751"/>
      <c r="N13" s="751"/>
    </row>
    <row r="14" spans="1:22" x14ac:dyDescent="0.2">
      <c r="A14" s="751" t="s">
        <v>126</v>
      </c>
      <c r="B14" s="751"/>
      <c r="C14" s="751"/>
      <c r="D14" s="751"/>
      <c r="E14" s="751"/>
      <c r="F14" s="751"/>
      <c r="G14" s="751"/>
      <c r="H14" s="751"/>
      <c r="I14" s="751"/>
      <c r="J14" s="751"/>
      <c r="K14" s="751"/>
      <c r="L14" s="751"/>
      <c r="M14" s="751"/>
      <c r="N14" s="751"/>
    </row>
    <row r="15" spans="1:22" x14ac:dyDescent="0.2">
      <c r="A15" s="751"/>
      <c r="B15" s="751"/>
      <c r="C15" s="751"/>
      <c r="D15" s="751"/>
      <c r="E15" s="751"/>
      <c r="F15" s="751"/>
      <c r="G15" s="751"/>
      <c r="H15" s="751"/>
      <c r="I15" s="751"/>
      <c r="J15" s="751"/>
      <c r="K15" s="751"/>
      <c r="L15" s="751"/>
      <c r="M15" s="751"/>
      <c r="N15" s="751"/>
    </row>
    <row r="16" spans="1:22" x14ac:dyDescent="0.2">
      <c r="A16" s="751"/>
      <c r="B16" s="751"/>
      <c r="C16" s="751"/>
      <c r="D16" s="751"/>
      <c r="E16" s="751"/>
      <c r="F16" s="751"/>
      <c r="G16" s="751"/>
      <c r="H16" s="751"/>
      <c r="I16" s="751"/>
      <c r="J16" s="751"/>
      <c r="K16" s="751"/>
      <c r="L16" s="751"/>
      <c r="M16" s="751"/>
      <c r="N16" s="751"/>
    </row>
    <row r="17" spans="1:14" x14ac:dyDescent="0.2">
      <c r="A17" s="755" t="s">
        <v>127</v>
      </c>
      <c r="C17" s="751"/>
      <c r="D17" s="751"/>
      <c r="E17" s="751"/>
      <c r="F17" s="751"/>
      <c r="G17" s="751"/>
      <c r="H17" s="751"/>
      <c r="I17" s="751"/>
      <c r="J17" s="751"/>
      <c r="K17" s="751"/>
      <c r="L17" s="751"/>
      <c r="M17" s="751"/>
      <c r="N17" s="751"/>
    </row>
    <row r="18" spans="1:14" ht="15.75" x14ac:dyDescent="0.2">
      <c r="B18" s="761" t="s">
        <v>128</v>
      </c>
      <c r="C18" s="762"/>
      <c r="D18" s="762"/>
      <c r="E18" s="762"/>
      <c r="F18" s="751"/>
      <c r="G18" s="751"/>
      <c r="H18" s="751"/>
      <c r="I18" s="751"/>
      <c r="J18" s="751"/>
      <c r="K18" s="751"/>
      <c r="L18" s="751"/>
      <c r="M18" s="751"/>
      <c r="N18" s="751"/>
    </row>
    <row r="19" spans="1:14" ht="15.75" x14ac:dyDescent="0.2">
      <c r="B19" s="763"/>
      <c r="C19" s="762"/>
      <c r="D19" s="762"/>
      <c r="E19" s="762"/>
      <c r="F19" s="751"/>
      <c r="G19" s="751"/>
      <c r="H19" s="751"/>
      <c r="I19" s="751"/>
      <c r="J19" s="751"/>
      <c r="K19" s="751"/>
      <c r="L19" s="751"/>
      <c r="M19" s="751"/>
      <c r="N19" s="751"/>
    </row>
    <row r="20" spans="1:14" x14ac:dyDescent="0.2">
      <c r="A20" s="784" t="s">
        <v>129</v>
      </c>
      <c r="B20" s="785" t="s">
        <v>414</v>
      </c>
      <c r="C20" s="765"/>
      <c r="D20" s="762"/>
      <c r="E20" s="762"/>
      <c r="F20" s="762"/>
      <c r="G20" s="762"/>
      <c r="H20" s="762"/>
      <c r="I20" s="762"/>
      <c r="J20" s="762"/>
      <c r="K20" s="751"/>
      <c r="L20" s="751"/>
      <c r="M20" s="751"/>
      <c r="N20" s="751"/>
    </row>
    <row r="21" spans="1:14" x14ac:dyDescent="0.2">
      <c r="A21" s="786">
        <v>1</v>
      </c>
      <c r="B21" s="787" t="s">
        <v>130</v>
      </c>
      <c r="C21" s="762"/>
      <c r="D21" s="762"/>
      <c r="E21" s="762"/>
      <c r="F21" s="762"/>
      <c r="G21" s="762"/>
      <c r="H21" s="762"/>
      <c r="I21" s="762"/>
      <c r="J21" s="762"/>
      <c r="K21" s="751"/>
      <c r="L21" s="751"/>
      <c r="M21" s="751"/>
      <c r="N21" s="751"/>
    </row>
    <row r="22" spans="1:14" x14ac:dyDescent="0.2">
      <c r="A22" s="786">
        <v>2</v>
      </c>
      <c r="B22" s="785" t="s">
        <v>463</v>
      </c>
      <c r="C22" s="762"/>
      <c r="D22" s="762"/>
      <c r="E22" s="762"/>
      <c r="F22" s="762"/>
      <c r="G22" s="762"/>
      <c r="H22" s="762"/>
      <c r="I22" s="762"/>
      <c r="J22" s="762"/>
      <c r="K22" s="751"/>
      <c r="L22" s="751"/>
      <c r="M22" s="751"/>
      <c r="N22" s="751"/>
    </row>
    <row r="23" spans="1:14" x14ac:dyDescent="0.2">
      <c r="A23" s="786">
        <v>5</v>
      </c>
      <c r="B23" s="787" t="s">
        <v>464</v>
      </c>
      <c r="C23" s="766"/>
      <c r="D23" s="762"/>
      <c r="E23" s="762"/>
      <c r="F23" s="762"/>
      <c r="G23" s="762"/>
      <c r="H23" s="762"/>
      <c r="I23" s="762"/>
      <c r="J23" s="762"/>
      <c r="K23" s="751"/>
      <c r="L23" s="751"/>
      <c r="M23" s="751"/>
      <c r="N23" s="751"/>
    </row>
    <row r="24" spans="1:14" x14ac:dyDescent="0.2">
      <c r="A24" s="786" t="s">
        <v>131</v>
      </c>
      <c r="B24" s="787" t="s">
        <v>465</v>
      </c>
      <c r="C24" s="766"/>
      <c r="D24" s="762"/>
      <c r="E24" s="762"/>
      <c r="F24" s="762"/>
      <c r="G24" s="762"/>
      <c r="H24" s="762"/>
      <c r="I24" s="762"/>
      <c r="J24" s="762"/>
      <c r="K24" s="751"/>
      <c r="L24" s="751"/>
      <c r="M24" s="751"/>
      <c r="N24" s="751"/>
    </row>
    <row r="25" spans="1:14" x14ac:dyDescent="0.2">
      <c r="A25" s="786">
        <v>7</v>
      </c>
      <c r="B25" s="785" t="s">
        <v>466</v>
      </c>
      <c r="C25" s="762"/>
      <c r="D25" s="762"/>
      <c r="E25" s="762"/>
      <c r="F25" s="762"/>
      <c r="G25" s="767"/>
      <c r="H25" s="762"/>
      <c r="I25" s="762"/>
      <c r="J25" s="762"/>
      <c r="K25" s="751"/>
      <c r="L25" s="751"/>
      <c r="M25" s="751"/>
      <c r="N25" s="751"/>
    </row>
    <row r="26" spans="1:14" x14ac:dyDescent="0.2">
      <c r="A26" s="786" t="s">
        <v>18</v>
      </c>
      <c r="B26" s="785" t="s">
        <v>467</v>
      </c>
      <c r="C26" s="762"/>
      <c r="D26" s="762"/>
      <c r="E26" s="762"/>
      <c r="F26" s="762"/>
      <c r="G26" s="767"/>
      <c r="H26" s="762"/>
      <c r="I26" s="762"/>
      <c r="J26" s="762"/>
      <c r="K26" s="751"/>
      <c r="L26" s="751"/>
      <c r="M26" s="751"/>
      <c r="N26" s="751"/>
    </row>
    <row r="27" spans="1:14" x14ac:dyDescent="0.2">
      <c r="A27" s="788">
        <v>8</v>
      </c>
      <c r="B27" s="785" t="s">
        <v>468</v>
      </c>
      <c r="C27" s="762"/>
      <c r="D27" s="762"/>
      <c r="E27" s="762"/>
      <c r="F27" s="762"/>
      <c r="G27" s="767"/>
      <c r="H27" s="762"/>
      <c r="I27" s="762"/>
      <c r="J27" s="762"/>
      <c r="K27" s="751"/>
      <c r="L27" s="751"/>
      <c r="M27" s="751"/>
      <c r="N27" s="751"/>
    </row>
    <row r="28" spans="1:14" ht="25.5" x14ac:dyDescent="0.2">
      <c r="A28" s="788" t="s">
        <v>20</v>
      </c>
      <c r="B28" s="785" t="s">
        <v>415</v>
      </c>
      <c r="C28" s="762"/>
      <c r="D28" s="762"/>
      <c r="E28" s="762"/>
      <c r="F28" s="762"/>
      <c r="G28" s="762"/>
      <c r="H28" s="762"/>
      <c r="I28" s="762"/>
      <c r="J28" s="762"/>
      <c r="K28" s="751"/>
      <c r="L28" s="751"/>
      <c r="M28" s="751"/>
      <c r="N28" s="751"/>
    </row>
    <row r="29" spans="1:14" ht="25.5" x14ac:dyDescent="0.2">
      <c r="A29" s="788" t="s">
        <v>22</v>
      </c>
      <c r="B29" s="785" t="s">
        <v>416</v>
      </c>
      <c r="C29" s="762"/>
      <c r="D29" s="762"/>
      <c r="E29" s="762"/>
      <c r="F29" s="762"/>
      <c r="G29" s="762"/>
      <c r="H29" s="762"/>
      <c r="I29" s="762"/>
      <c r="J29" s="762"/>
      <c r="K29" s="751"/>
      <c r="L29" s="751"/>
      <c r="M29" s="751"/>
      <c r="N29" s="751"/>
    </row>
    <row r="30" spans="1:14" ht="25.5" x14ac:dyDescent="0.2">
      <c r="A30" s="788" t="s">
        <v>24</v>
      </c>
      <c r="B30" s="785" t="s">
        <v>417</v>
      </c>
      <c r="C30" s="762"/>
      <c r="D30" s="762"/>
      <c r="E30" s="762"/>
      <c r="F30" s="762"/>
      <c r="G30" s="767"/>
      <c r="H30" s="762"/>
      <c r="I30" s="762"/>
      <c r="J30" s="762"/>
      <c r="K30" s="751"/>
      <c r="L30" s="751"/>
      <c r="M30" s="751"/>
      <c r="N30" s="751"/>
    </row>
    <row r="31" spans="1:14" x14ac:dyDescent="0.2">
      <c r="A31" s="788" t="s">
        <v>418</v>
      </c>
      <c r="B31" s="785" t="s">
        <v>469</v>
      </c>
      <c r="C31" s="767"/>
      <c r="D31" s="762"/>
      <c r="E31" s="762"/>
      <c r="F31" s="762"/>
      <c r="G31" s="762"/>
      <c r="H31" s="762"/>
      <c r="I31" s="762"/>
      <c r="J31" s="762"/>
      <c r="K31" s="751"/>
      <c r="L31" s="751"/>
      <c r="M31" s="751"/>
      <c r="N31" s="751"/>
    </row>
    <row r="32" spans="1:14" x14ac:dyDescent="0.2">
      <c r="A32" s="786" t="s">
        <v>419</v>
      </c>
      <c r="B32" s="787" t="s">
        <v>470</v>
      </c>
      <c r="C32" s="767"/>
      <c r="D32" s="762"/>
      <c r="E32" s="762"/>
      <c r="F32" s="762"/>
      <c r="G32" s="762"/>
      <c r="H32" s="762"/>
      <c r="I32" s="762"/>
      <c r="J32" s="762"/>
      <c r="K32" s="751"/>
      <c r="L32" s="751"/>
      <c r="M32" s="751"/>
      <c r="N32" s="751"/>
    </row>
    <row r="33" spans="1:14" x14ac:dyDescent="0.2">
      <c r="A33" s="786">
        <v>9</v>
      </c>
      <c r="B33" s="787" t="s">
        <v>132</v>
      </c>
      <c r="C33" s="762"/>
      <c r="D33" s="762"/>
      <c r="E33" s="762"/>
      <c r="F33" s="762"/>
      <c r="G33" s="762"/>
      <c r="H33" s="762"/>
      <c r="I33" s="762"/>
      <c r="J33" s="762"/>
      <c r="K33" s="751"/>
      <c r="L33" s="751"/>
      <c r="M33" s="751"/>
      <c r="N33" s="751"/>
    </row>
    <row r="34" spans="1:14" x14ac:dyDescent="0.2">
      <c r="A34" s="786">
        <v>10</v>
      </c>
      <c r="B34" s="787" t="s">
        <v>133</v>
      </c>
      <c r="C34" s="762"/>
      <c r="D34" s="762"/>
      <c r="E34" s="762"/>
      <c r="F34" s="762"/>
      <c r="G34" s="762"/>
      <c r="H34" s="762"/>
      <c r="I34" s="762"/>
      <c r="J34" s="762"/>
      <c r="K34" s="751"/>
      <c r="L34" s="751"/>
      <c r="M34" s="751"/>
      <c r="N34" s="751"/>
    </row>
    <row r="35" spans="1:14" x14ac:dyDescent="0.2">
      <c r="A35" s="786">
        <v>11</v>
      </c>
      <c r="B35" s="787" t="s">
        <v>134</v>
      </c>
      <c r="C35" s="762"/>
      <c r="D35" s="762"/>
      <c r="E35" s="762"/>
      <c r="F35" s="762"/>
      <c r="G35" s="762"/>
      <c r="H35" s="762"/>
      <c r="I35" s="762"/>
      <c r="J35" s="762"/>
      <c r="K35" s="751"/>
      <c r="L35" s="751"/>
      <c r="M35" s="751"/>
      <c r="N35" s="751"/>
    </row>
    <row r="36" spans="1:14" x14ac:dyDescent="0.2">
      <c r="A36" s="788">
        <v>12</v>
      </c>
      <c r="B36" s="787" t="s">
        <v>494</v>
      </c>
      <c r="C36" s="767"/>
      <c r="D36" s="762"/>
      <c r="E36" s="762"/>
      <c r="F36" s="762"/>
      <c r="G36" s="767"/>
      <c r="H36" s="762"/>
      <c r="I36" s="762"/>
      <c r="J36" s="762"/>
      <c r="K36" s="751"/>
      <c r="L36" s="751"/>
      <c r="M36" s="751"/>
      <c r="N36" s="751"/>
    </row>
    <row r="37" spans="1:14" s="768" customFormat="1" ht="16.5" customHeight="1" x14ac:dyDescent="0.2">
      <c r="A37" s="786">
        <v>13</v>
      </c>
      <c r="B37" s="787" t="s">
        <v>135</v>
      </c>
      <c r="C37" s="762"/>
      <c r="D37" s="762"/>
      <c r="E37" s="762"/>
      <c r="F37" s="762"/>
      <c r="G37" s="762"/>
      <c r="H37" s="762"/>
      <c r="I37" s="762"/>
      <c r="J37" s="762"/>
      <c r="K37" s="751"/>
      <c r="L37" s="751"/>
      <c r="M37" s="751"/>
      <c r="N37" s="751"/>
    </row>
    <row r="38" spans="1:14" ht="79.5" customHeight="1" x14ac:dyDescent="0.2">
      <c r="A38" s="786">
        <v>14</v>
      </c>
      <c r="B38" s="787" t="s">
        <v>136</v>
      </c>
      <c r="C38" s="762"/>
      <c r="D38" s="762"/>
      <c r="E38" s="762"/>
      <c r="F38" s="762"/>
      <c r="G38" s="762"/>
      <c r="H38" s="762"/>
      <c r="I38" s="762"/>
      <c r="J38" s="762"/>
      <c r="K38" s="751"/>
      <c r="L38" s="751"/>
      <c r="M38" s="751"/>
      <c r="N38" s="751"/>
    </row>
    <row r="39" spans="1:14" ht="106.5" customHeight="1" x14ac:dyDescent="0.2">
      <c r="A39" s="786">
        <v>15</v>
      </c>
      <c r="B39" s="787" t="s">
        <v>471</v>
      </c>
      <c r="C39" s="765"/>
      <c r="D39" s="762"/>
      <c r="E39" s="762"/>
      <c r="F39" s="762"/>
      <c r="G39" s="762"/>
      <c r="H39" s="762"/>
      <c r="I39" s="762"/>
      <c r="J39" s="762"/>
      <c r="K39" s="751"/>
      <c r="L39" s="751"/>
      <c r="M39" s="751"/>
      <c r="N39" s="751"/>
    </row>
    <row r="40" spans="1:14" x14ac:dyDescent="0.2">
      <c r="A40" s="789" t="s">
        <v>512</v>
      </c>
      <c r="B40" s="790" t="s">
        <v>137</v>
      </c>
      <c r="C40" s="751"/>
      <c r="D40" s="751"/>
      <c r="E40" s="751"/>
      <c r="F40" s="768"/>
      <c r="G40" s="768"/>
      <c r="H40" s="768"/>
      <c r="I40" s="751"/>
      <c r="J40" s="751"/>
      <c r="K40" s="751"/>
      <c r="L40" s="751"/>
      <c r="M40" s="751"/>
      <c r="N40" s="751"/>
    </row>
    <row r="41" spans="1:14" x14ac:dyDescent="0.2">
      <c r="A41" s="791">
        <v>16</v>
      </c>
      <c r="B41" s="790" t="s">
        <v>138</v>
      </c>
      <c r="C41" s="770"/>
      <c r="D41" s="751"/>
      <c r="E41" s="768"/>
      <c r="F41" s="768"/>
      <c r="G41" s="768"/>
      <c r="H41" s="768"/>
      <c r="J41" s="751"/>
      <c r="K41" s="751"/>
      <c r="L41" s="751"/>
      <c r="M41" s="751"/>
      <c r="N41" s="751"/>
    </row>
    <row r="42" spans="1:14" x14ac:dyDescent="0.2">
      <c r="A42" s="791">
        <v>17</v>
      </c>
      <c r="B42" s="790" t="s">
        <v>139</v>
      </c>
      <c r="C42" s="770"/>
      <c r="D42" s="751"/>
      <c r="E42" s="768"/>
      <c r="F42" s="768"/>
      <c r="G42" s="768"/>
      <c r="H42" s="768"/>
      <c r="J42" s="751"/>
      <c r="K42" s="751"/>
      <c r="L42" s="751"/>
      <c r="M42" s="751"/>
      <c r="N42" s="751"/>
    </row>
    <row r="43" spans="1:14" x14ac:dyDescent="0.2">
      <c r="A43" s="791">
        <v>18</v>
      </c>
      <c r="B43" s="790" t="s">
        <v>139</v>
      </c>
      <c r="C43" s="770"/>
      <c r="D43" s="751"/>
      <c r="E43" s="768"/>
      <c r="F43" s="771"/>
      <c r="G43" s="751"/>
      <c r="H43" s="768"/>
      <c r="J43" s="751"/>
      <c r="K43" s="751"/>
      <c r="L43" s="751"/>
      <c r="M43" s="751"/>
      <c r="N43" s="751"/>
    </row>
    <row r="44" spans="1:14" x14ac:dyDescent="0.2">
      <c r="A44" s="791">
        <v>19</v>
      </c>
      <c r="B44" s="787" t="s">
        <v>140</v>
      </c>
      <c r="J44" s="751"/>
      <c r="K44" s="751"/>
      <c r="L44" s="751"/>
      <c r="M44" s="751"/>
      <c r="N44" s="751"/>
    </row>
    <row r="45" spans="1:14" ht="14.25" customHeight="1" x14ac:dyDescent="0.2">
      <c r="A45" s="791">
        <v>20</v>
      </c>
      <c r="B45" s="787" t="s">
        <v>141</v>
      </c>
      <c r="C45" s="751"/>
      <c r="D45" s="751"/>
      <c r="E45" s="751"/>
      <c r="F45" s="751"/>
      <c r="G45" s="751"/>
      <c r="H45" s="751"/>
      <c r="I45" s="751"/>
      <c r="J45" s="751"/>
      <c r="K45" s="751"/>
      <c r="L45" s="751"/>
      <c r="M45" s="751"/>
      <c r="N45" s="751"/>
    </row>
    <row r="46" spans="1:14" ht="14.25" customHeight="1" x14ac:dyDescent="0.2">
      <c r="A46" s="791">
        <v>21</v>
      </c>
      <c r="B46" s="787" t="s">
        <v>142</v>
      </c>
      <c r="D46" s="751"/>
      <c r="E46" s="751"/>
      <c r="F46" s="751"/>
      <c r="G46" s="751"/>
      <c r="H46" s="751"/>
      <c r="I46" s="751"/>
      <c r="J46" s="751"/>
      <c r="K46" s="751"/>
      <c r="L46" s="751"/>
      <c r="M46" s="751"/>
      <c r="N46" s="751"/>
    </row>
    <row r="47" spans="1:14" ht="25.5" x14ac:dyDescent="0.2">
      <c r="A47" s="791">
        <v>22</v>
      </c>
      <c r="B47" s="792" t="s">
        <v>420</v>
      </c>
      <c r="C47" s="751"/>
      <c r="D47" s="751"/>
      <c r="E47" s="751"/>
      <c r="F47" s="751"/>
      <c r="G47" s="751"/>
      <c r="H47" s="751"/>
      <c r="I47" s="751"/>
      <c r="J47" s="751"/>
      <c r="K47" s="751"/>
      <c r="L47" s="751"/>
      <c r="M47" s="751"/>
      <c r="N47" s="751"/>
    </row>
    <row r="48" spans="1:14" x14ac:dyDescent="0.2">
      <c r="A48" s="791">
        <v>23</v>
      </c>
      <c r="B48" s="793" t="s">
        <v>421</v>
      </c>
      <c r="C48" s="751"/>
      <c r="D48" s="751"/>
      <c r="E48" s="751"/>
      <c r="F48" s="751"/>
      <c r="G48" s="751"/>
      <c r="H48" s="751"/>
      <c r="I48" s="751"/>
      <c r="J48" s="751"/>
      <c r="K48" s="751"/>
      <c r="L48" s="751"/>
      <c r="M48" s="751"/>
      <c r="N48" s="751"/>
    </row>
    <row r="49" spans="1:14" ht="25.5" x14ac:dyDescent="0.2">
      <c r="A49" s="786">
        <v>24</v>
      </c>
      <c r="B49" s="787" t="s">
        <v>422</v>
      </c>
      <c r="C49" s="772"/>
      <c r="D49" s="751"/>
      <c r="E49" s="751"/>
      <c r="F49" s="751"/>
      <c r="G49" s="751"/>
      <c r="H49" s="751"/>
      <c r="I49" s="751"/>
      <c r="J49" s="751"/>
      <c r="K49" s="751"/>
      <c r="L49" s="751"/>
      <c r="M49" s="751"/>
      <c r="N49" s="751"/>
    </row>
    <row r="50" spans="1:14" ht="51" x14ac:dyDescent="0.2">
      <c r="A50" s="786">
        <v>25.26</v>
      </c>
      <c r="B50" s="787" t="s">
        <v>513</v>
      </c>
      <c r="C50" s="751"/>
      <c r="D50" s="751"/>
      <c r="E50" s="751"/>
      <c r="F50" s="751"/>
      <c r="G50" s="751"/>
      <c r="H50" s="751"/>
      <c r="I50" s="751"/>
      <c r="J50" s="751"/>
      <c r="K50" s="751"/>
      <c r="L50" s="751"/>
      <c r="M50" s="751"/>
      <c r="N50" s="751"/>
    </row>
    <row r="51" spans="1:14" ht="25.5" x14ac:dyDescent="0.2">
      <c r="A51" s="786">
        <v>27</v>
      </c>
      <c r="B51" s="787" t="s">
        <v>514</v>
      </c>
      <c r="C51" s="751"/>
      <c r="D51" s="751"/>
      <c r="E51" s="751"/>
      <c r="F51" s="751"/>
      <c r="G51" s="751"/>
      <c r="H51" s="751"/>
      <c r="I51" s="751"/>
      <c r="J51" s="751"/>
      <c r="K51" s="751"/>
      <c r="L51" s="751"/>
      <c r="M51" s="751"/>
      <c r="N51" s="751"/>
    </row>
    <row r="52" spans="1:14" ht="51" x14ac:dyDescent="0.2">
      <c r="A52" s="786">
        <v>28</v>
      </c>
      <c r="B52" s="785" t="s">
        <v>515</v>
      </c>
      <c r="C52" s="751"/>
      <c r="D52" s="751"/>
      <c r="E52" s="751"/>
      <c r="F52" s="751"/>
      <c r="G52" s="751"/>
      <c r="H52" s="751"/>
      <c r="I52" s="751"/>
      <c r="J52" s="751"/>
      <c r="K52" s="751"/>
      <c r="L52" s="751"/>
      <c r="M52" s="751"/>
      <c r="N52" s="751"/>
    </row>
    <row r="53" spans="1:14" ht="25.5" x14ac:dyDescent="0.2">
      <c r="A53" s="786">
        <v>29</v>
      </c>
      <c r="B53" s="787" t="s">
        <v>516</v>
      </c>
      <c r="C53" s="751"/>
      <c r="D53" s="751"/>
      <c r="E53" s="751"/>
      <c r="F53" s="751"/>
      <c r="G53" s="751"/>
      <c r="H53" s="751"/>
      <c r="I53" s="751"/>
      <c r="J53" s="751"/>
      <c r="K53" s="751"/>
      <c r="L53" s="751"/>
      <c r="M53" s="751"/>
      <c r="N53" s="751"/>
    </row>
    <row r="54" spans="1:14" x14ac:dyDescent="0.2">
      <c r="A54" s="786">
        <v>30</v>
      </c>
      <c r="B54" s="793" t="s">
        <v>472</v>
      </c>
      <c r="C54" s="762"/>
      <c r="D54" s="751"/>
      <c r="E54" s="751"/>
      <c r="F54" s="751"/>
      <c r="G54" s="751"/>
      <c r="H54" s="751"/>
      <c r="I54" s="751"/>
      <c r="J54" s="751"/>
      <c r="K54" s="751"/>
      <c r="L54" s="751"/>
      <c r="M54" s="751"/>
      <c r="N54" s="751"/>
    </row>
    <row r="55" spans="1:14" ht="51" x14ac:dyDescent="0.2">
      <c r="A55" s="786">
        <v>31.32</v>
      </c>
      <c r="B55" s="785" t="s">
        <v>517</v>
      </c>
      <c r="C55" s="772"/>
      <c r="D55" s="751"/>
      <c r="E55" s="751"/>
      <c r="F55" s="751"/>
      <c r="G55" s="751"/>
      <c r="H55" s="751"/>
      <c r="I55" s="751"/>
      <c r="J55" s="751"/>
      <c r="K55" s="751"/>
      <c r="L55" s="751"/>
      <c r="M55" s="751"/>
      <c r="N55" s="751"/>
    </row>
    <row r="56" spans="1:14" x14ac:dyDescent="0.2">
      <c r="A56" s="786">
        <v>33</v>
      </c>
      <c r="B56" s="787" t="s">
        <v>143</v>
      </c>
      <c r="C56" s="751"/>
      <c r="D56" s="751"/>
      <c r="E56" s="751"/>
      <c r="F56" s="751"/>
      <c r="G56" s="751"/>
      <c r="H56" s="751"/>
      <c r="I56" s="751"/>
      <c r="J56" s="751"/>
      <c r="K56" s="751"/>
      <c r="L56" s="751"/>
      <c r="M56" s="751"/>
      <c r="N56" s="751"/>
    </row>
    <row r="57" spans="1:14" x14ac:dyDescent="0.2">
      <c r="A57" s="786">
        <v>34</v>
      </c>
      <c r="B57" s="785" t="s">
        <v>473</v>
      </c>
      <c r="C57" s="751"/>
      <c r="D57" s="751"/>
      <c r="E57" s="751"/>
      <c r="F57" s="751"/>
      <c r="G57" s="751"/>
      <c r="H57" s="751"/>
      <c r="I57" s="751"/>
      <c r="J57" s="751"/>
      <c r="K57" s="751"/>
      <c r="L57" s="751"/>
      <c r="M57" s="751"/>
      <c r="N57" s="751"/>
    </row>
    <row r="58" spans="1:14" x14ac:dyDescent="0.2">
      <c r="A58" s="786">
        <v>35</v>
      </c>
      <c r="B58" s="785" t="s">
        <v>474</v>
      </c>
      <c r="C58" s="751"/>
      <c r="D58" s="751"/>
      <c r="E58" s="751"/>
      <c r="F58" s="751"/>
      <c r="G58" s="751"/>
      <c r="H58" s="751"/>
      <c r="I58" s="751"/>
      <c r="J58" s="751"/>
      <c r="K58" s="751"/>
      <c r="L58" s="751"/>
      <c r="M58" s="751"/>
      <c r="N58" s="751"/>
    </row>
    <row r="59" spans="1:14" ht="76.5" x14ac:dyDescent="0.2">
      <c r="A59" s="786">
        <v>36.369999999999997</v>
      </c>
      <c r="B59" s="785" t="s">
        <v>475</v>
      </c>
      <c r="C59" s="762"/>
      <c r="D59" s="751"/>
      <c r="E59" s="751"/>
      <c r="F59" s="751"/>
      <c r="G59" s="751"/>
      <c r="H59" s="751"/>
      <c r="I59" s="751"/>
      <c r="J59" s="768"/>
      <c r="K59" s="768"/>
      <c r="L59" s="768"/>
      <c r="M59" s="768"/>
      <c r="N59" s="768"/>
    </row>
    <row r="60" spans="1:14" ht="18" customHeight="1" x14ac:dyDescent="0.2">
      <c r="A60" s="786">
        <v>40</v>
      </c>
      <c r="B60" s="785" t="s">
        <v>476</v>
      </c>
      <c r="C60" s="751"/>
      <c r="D60" s="751"/>
      <c r="E60" s="751"/>
      <c r="F60" s="751"/>
      <c r="G60" s="751"/>
      <c r="H60" s="751"/>
      <c r="I60" s="751"/>
      <c r="J60" s="751"/>
      <c r="K60" s="751"/>
      <c r="L60" s="751"/>
      <c r="M60" s="751"/>
      <c r="N60" s="751"/>
    </row>
    <row r="61" spans="1:14" ht="25.5" x14ac:dyDescent="0.2">
      <c r="A61" s="791">
        <v>41</v>
      </c>
      <c r="B61" s="787" t="s">
        <v>423</v>
      </c>
      <c r="C61" s="762"/>
      <c r="D61" s="751"/>
      <c r="E61" s="751"/>
      <c r="F61" s="751"/>
      <c r="G61" s="751"/>
      <c r="H61" s="751"/>
      <c r="I61" s="751"/>
      <c r="J61" s="751"/>
      <c r="K61" s="751"/>
      <c r="L61" s="751"/>
      <c r="M61" s="751"/>
      <c r="N61" s="751"/>
    </row>
    <row r="62" spans="1:14" ht="25.5" x14ac:dyDescent="0.2">
      <c r="A62" s="791">
        <v>43</v>
      </c>
      <c r="B62" s="785" t="s">
        <v>477</v>
      </c>
      <c r="C62" s="762"/>
      <c r="D62" s="751"/>
      <c r="E62" s="751"/>
      <c r="F62" s="751"/>
      <c r="G62" s="751"/>
      <c r="H62" s="751"/>
      <c r="I62" s="751"/>
      <c r="J62" s="751"/>
      <c r="K62" s="751"/>
      <c r="L62" s="751"/>
      <c r="M62" s="751"/>
      <c r="N62" s="751"/>
    </row>
    <row r="63" spans="1:14" x14ac:dyDescent="0.2">
      <c r="A63" s="791">
        <v>44</v>
      </c>
      <c r="B63" s="787" t="s">
        <v>424</v>
      </c>
      <c r="C63" s="762"/>
      <c r="D63" s="751"/>
      <c r="E63" s="751"/>
      <c r="F63" s="751"/>
      <c r="G63" s="751"/>
      <c r="H63" s="751"/>
      <c r="I63" s="751"/>
      <c r="J63" s="751"/>
      <c r="K63" s="751"/>
      <c r="L63" s="751"/>
      <c r="M63" s="751"/>
      <c r="N63" s="751"/>
    </row>
    <row r="64" spans="1:14" x14ac:dyDescent="0.2">
      <c r="A64" s="791">
        <v>45</v>
      </c>
      <c r="B64" s="790" t="s">
        <v>144</v>
      </c>
      <c r="C64" s="751"/>
      <c r="D64" s="751"/>
      <c r="E64" s="751"/>
      <c r="F64" s="751"/>
      <c r="G64" s="751"/>
      <c r="H64" s="751"/>
      <c r="I64" s="751"/>
      <c r="J64" s="751"/>
      <c r="K64" s="751"/>
      <c r="L64" s="751"/>
      <c r="M64" s="751"/>
      <c r="N64" s="751"/>
    </row>
    <row r="65" spans="1:14" x14ac:dyDescent="0.2">
      <c r="A65" s="791">
        <v>46</v>
      </c>
      <c r="B65" s="790" t="s">
        <v>145</v>
      </c>
      <c r="C65" s="751"/>
      <c r="D65" s="751"/>
      <c r="E65" s="751"/>
      <c r="F65" s="751"/>
      <c r="G65" s="751"/>
      <c r="H65" s="751"/>
      <c r="I65" s="751"/>
      <c r="J65" s="751"/>
      <c r="K65" s="751"/>
      <c r="L65" s="751"/>
      <c r="M65" s="751"/>
      <c r="N65" s="751"/>
    </row>
    <row r="66" spans="1:14" x14ac:dyDescent="0.2">
      <c r="A66" s="791"/>
      <c r="B66" s="790" t="s">
        <v>146</v>
      </c>
      <c r="C66" s="751"/>
      <c r="D66" s="751"/>
      <c r="E66" s="751"/>
      <c r="F66" s="751"/>
      <c r="G66" s="751"/>
      <c r="H66" s="751"/>
      <c r="I66" s="751"/>
      <c r="J66" s="751"/>
      <c r="K66" s="751"/>
      <c r="L66" s="751"/>
      <c r="M66" s="751"/>
      <c r="N66" s="751"/>
    </row>
    <row r="67" spans="1:14" ht="13.5" thickBot="1" x14ac:dyDescent="0.25">
      <c r="A67" s="769"/>
      <c r="B67" s="751"/>
      <c r="C67" s="751"/>
      <c r="D67" s="751"/>
      <c r="E67" s="751"/>
      <c r="F67" s="751"/>
      <c r="G67" s="751"/>
      <c r="H67" s="773"/>
      <c r="I67" s="751"/>
      <c r="J67" s="751"/>
      <c r="K67" s="751"/>
      <c r="L67" s="751"/>
      <c r="M67" s="751"/>
      <c r="N67" s="751"/>
    </row>
    <row r="68" spans="1:14" x14ac:dyDescent="0.2">
      <c r="A68" s="769"/>
      <c r="B68" s="800" t="s">
        <v>425</v>
      </c>
      <c r="C68" s="751"/>
      <c r="D68" s="774"/>
      <c r="E68" s="775"/>
      <c r="F68" s="751"/>
      <c r="G68" s="751"/>
      <c r="H68" s="773"/>
      <c r="I68" s="751"/>
      <c r="J68" s="751"/>
      <c r="K68" s="751"/>
      <c r="L68" s="751"/>
      <c r="M68" s="751"/>
      <c r="N68" s="751"/>
    </row>
    <row r="69" spans="1:14" x14ac:dyDescent="0.2">
      <c r="A69" s="769"/>
      <c r="B69" s="801" t="s">
        <v>147</v>
      </c>
      <c r="C69" s="751"/>
      <c r="D69" s="755"/>
      <c r="E69" s="776" t="s">
        <v>148</v>
      </c>
      <c r="F69" s="751"/>
      <c r="G69" s="751"/>
      <c r="H69" s="773"/>
      <c r="I69" s="751"/>
      <c r="J69" s="751"/>
      <c r="K69" s="751"/>
      <c r="L69" s="751"/>
      <c r="M69" s="751"/>
      <c r="N69" s="751"/>
    </row>
    <row r="70" spans="1:14" x14ac:dyDescent="0.2">
      <c r="A70" s="769"/>
      <c r="B70" s="802" t="s">
        <v>426</v>
      </c>
      <c r="C70" s="751"/>
      <c r="D70" s="751"/>
      <c r="E70" s="777"/>
      <c r="F70" s="751"/>
      <c r="G70" s="751"/>
      <c r="H70" s="773"/>
      <c r="I70" s="751"/>
      <c r="J70" s="751"/>
      <c r="K70" s="751"/>
      <c r="L70" s="751"/>
      <c r="M70" s="751"/>
      <c r="N70" s="751"/>
    </row>
    <row r="71" spans="1:14" x14ac:dyDescent="0.2">
      <c r="A71" s="778"/>
      <c r="B71" s="802" t="s">
        <v>149</v>
      </c>
      <c r="C71" s="751"/>
      <c r="E71" s="777"/>
      <c r="F71" s="751"/>
      <c r="G71" s="751"/>
      <c r="H71" s="773"/>
      <c r="I71" s="751"/>
      <c r="J71" s="751"/>
      <c r="K71" s="751"/>
      <c r="L71" s="751"/>
      <c r="M71" s="751"/>
      <c r="N71" s="751"/>
    </row>
    <row r="72" spans="1:14" ht="13.5" thickBot="1" x14ac:dyDescent="0.25">
      <c r="A72" s="769" t="s">
        <v>478</v>
      </c>
      <c r="B72" s="843" t="s">
        <v>479</v>
      </c>
      <c r="C72" s="751"/>
      <c r="D72" s="779"/>
      <c r="E72" s="780"/>
      <c r="F72" s="751"/>
      <c r="G72" s="751"/>
      <c r="H72" s="773"/>
      <c r="I72" s="751"/>
      <c r="J72" s="751"/>
      <c r="K72" s="751"/>
      <c r="L72" s="751"/>
      <c r="M72" s="751"/>
      <c r="N72" s="751"/>
    </row>
    <row r="73" spans="1:14" ht="13.5" thickBot="1" x14ac:dyDescent="0.25">
      <c r="A73" s="769"/>
      <c r="B73" s="803" t="s">
        <v>538</v>
      </c>
      <c r="C73" s="751"/>
      <c r="D73" s="798"/>
      <c r="E73" s="799"/>
      <c r="F73" s="751"/>
      <c r="G73" s="751"/>
      <c r="H73" s="773"/>
      <c r="I73" s="751"/>
      <c r="J73" s="751"/>
      <c r="K73" s="751"/>
      <c r="L73" s="751"/>
      <c r="M73" s="751"/>
      <c r="N73" s="751"/>
    </row>
    <row r="74" spans="1:14" x14ac:dyDescent="0.2">
      <c r="A74" s="769"/>
      <c r="B74" s="797"/>
      <c r="C74" s="751"/>
      <c r="D74" s="798"/>
      <c r="E74" s="799"/>
      <c r="F74" s="751"/>
      <c r="G74" s="751"/>
      <c r="H74" s="773"/>
      <c r="I74" s="751"/>
      <c r="J74" s="751"/>
      <c r="K74" s="751"/>
      <c r="L74" s="751"/>
      <c r="M74" s="751"/>
      <c r="N74" s="751"/>
    </row>
    <row r="75" spans="1:14" x14ac:dyDescent="0.2">
      <c r="A75" s="789" t="s">
        <v>518</v>
      </c>
      <c r="B75" s="790" t="s">
        <v>427</v>
      </c>
      <c r="C75" s="751"/>
      <c r="D75" s="751"/>
      <c r="E75" s="751"/>
      <c r="F75" s="751"/>
      <c r="G75" s="751"/>
      <c r="H75" s="773"/>
      <c r="I75" s="751"/>
      <c r="J75" s="781"/>
      <c r="K75" s="751"/>
      <c r="L75" s="751"/>
      <c r="M75" s="751"/>
      <c r="N75" s="751"/>
    </row>
    <row r="76" spans="1:14" x14ac:dyDescent="0.2">
      <c r="A76" s="789">
        <v>47</v>
      </c>
      <c r="B76" s="793" t="s">
        <v>428</v>
      </c>
      <c r="C76" s="751"/>
      <c r="D76" s="751"/>
      <c r="E76" s="751"/>
      <c r="F76" s="751"/>
      <c r="G76" s="751"/>
      <c r="H76" s="773"/>
      <c r="I76" s="751"/>
      <c r="J76" s="781"/>
      <c r="K76" s="751"/>
      <c r="L76" s="751"/>
      <c r="M76" s="751"/>
      <c r="N76" s="751"/>
    </row>
    <row r="77" spans="1:14" x14ac:dyDescent="0.2">
      <c r="A77" s="789">
        <v>48</v>
      </c>
      <c r="B77" s="793" t="s">
        <v>429</v>
      </c>
      <c r="C77" s="751"/>
      <c r="D77" s="751"/>
      <c r="E77" s="751"/>
      <c r="F77" s="751"/>
      <c r="G77" s="751"/>
      <c r="H77" s="773"/>
      <c r="I77" s="751"/>
      <c r="J77" s="781"/>
      <c r="K77" s="751"/>
      <c r="L77" s="751"/>
      <c r="M77" s="751"/>
      <c r="N77" s="751"/>
    </row>
    <row r="78" spans="1:14" ht="25.5" x14ac:dyDescent="0.2">
      <c r="A78" s="788">
        <v>49</v>
      </c>
      <c r="B78" s="785" t="s">
        <v>537</v>
      </c>
      <c r="C78" s="764"/>
      <c r="D78" s="751"/>
      <c r="E78" s="751"/>
      <c r="F78" s="751"/>
      <c r="G78" s="751"/>
      <c r="H78" s="773"/>
      <c r="I78" s="751"/>
      <c r="J78" s="781"/>
      <c r="K78" s="751"/>
      <c r="L78" s="751"/>
      <c r="M78" s="751"/>
      <c r="N78" s="751"/>
    </row>
    <row r="79" spans="1:14" x14ac:dyDescent="0.2">
      <c r="A79" s="788" t="s">
        <v>311</v>
      </c>
      <c r="B79" s="785" t="s">
        <v>519</v>
      </c>
      <c r="C79" s="762"/>
      <c r="D79" s="751"/>
      <c r="E79" s="751"/>
      <c r="F79" s="751"/>
      <c r="G79" s="751"/>
      <c r="H79" s="751"/>
      <c r="I79" s="751"/>
      <c r="J79" s="751"/>
      <c r="K79" s="751"/>
      <c r="L79" s="751"/>
      <c r="M79" s="751"/>
      <c r="N79" s="751"/>
    </row>
    <row r="80" spans="1:14" ht="25.5" x14ac:dyDescent="0.2">
      <c r="A80" s="788" t="s">
        <v>312</v>
      </c>
      <c r="B80" s="785" t="s">
        <v>520</v>
      </c>
      <c r="C80" s="751"/>
      <c r="D80" s="751"/>
      <c r="E80" s="751"/>
      <c r="F80" s="751"/>
      <c r="G80" s="751"/>
      <c r="H80" s="751"/>
      <c r="I80" s="751"/>
      <c r="J80" s="751"/>
      <c r="K80" s="751"/>
      <c r="L80" s="751"/>
      <c r="M80" s="751"/>
      <c r="N80" s="751"/>
    </row>
    <row r="81" spans="1:14" ht="25.5" x14ac:dyDescent="0.2">
      <c r="A81" s="786">
        <v>55</v>
      </c>
      <c r="B81" s="785" t="s">
        <v>480</v>
      </c>
      <c r="C81" s="751"/>
      <c r="D81" s="751"/>
      <c r="E81" s="751"/>
      <c r="F81" s="751"/>
      <c r="G81" s="751"/>
      <c r="H81" s="751"/>
      <c r="I81" s="751"/>
      <c r="J81" s="751"/>
      <c r="K81" s="751"/>
      <c r="L81" s="751"/>
      <c r="M81" s="751"/>
      <c r="N81" s="751"/>
    </row>
    <row r="82" spans="1:14" x14ac:dyDescent="0.2">
      <c r="A82" s="786">
        <v>56</v>
      </c>
      <c r="B82" s="787" t="s">
        <v>150</v>
      </c>
      <c r="C82" s="751"/>
      <c r="D82" s="751"/>
      <c r="E82" s="751"/>
      <c r="F82" s="751"/>
      <c r="G82" s="751"/>
      <c r="H82" s="751"/>
      <c r="I82" s="751"/>
      <c r="J82" s="751"/>
      <c r="K82" s="751"/>
      <c r="L82" s="751"/>
      <c r="M82" s="751"/>
      <c r="N82" s="751"/>
    </row>
    <row r="83" spans="1:14" s="782" customFormat="1" x14ac:dyDescent="0.2">
      <c r="A83" s="786" t="s">
        <v>430</v>
      </c>
      <c r="B83" s="787" t="s">
        <v>431</v>
      </c>
      <c r="C83" s="762"/>
      <c r="D83" s="751"/>
      <c r="E83" s="751"/>
      <c r="F83" s="751"/>
      <c r="G83" s="751"/>
      <c r="H83" s="751"/>
      <c r="I83" s="751"/>
      <c r="J83" s="773"/>
      <c r="K83" s="773"/>
      <c r="L83" s="773"/>
      <c r="M83" s="773"/>
      <c r="N83" s="773"/>
    </row>
    <row r="84" spans="1:14" s="782" customFormat="1" ht="25.5" x14ac:dyDescent="0.2">
      <c r="A84" s="786" t="s">
        <v>432</v>
      </c>
      <c r="B84" s="785" t="s">
        <v>481</v>
      </c>
      <c r="C84" s="773"/>
      <c r="D84" s="773"/>
      <c r="E84" s="773"/>
      <c r="F84" s="773"/>
      <c r="G84" s="773"/>
      <c r="H84" s="773"/>
      <c r="I84" s="773"/>
      <c r="J84" s="773"/>
      <c r="K84" s="773"/>
      <c r="L84" s="773"/>
      <c r="M84" s="773"/>
      <c r="N84" s="773"/>
    </row>
    <row r="85" spans="1:14" s="782" customFormat="1" ht="25.5" x14ac:dyDescent="0.2">
      <c r="A85" s="788" t="s">
        <v>482</v>
      </c>
      <c r="B85" s="785" t="s">
        <v>483</v>
      </c>
      <c r="C85" s="773"/>
      <c r="D85" s="773"/>
      <c r="E85" s="773"/>
      <c r="F85" s="773"/>
      <c r="G85" s="773"/>
      <c r="H85" s="773"/>
      <c r="I85" s="773"/>
      <c r="J85" s="773"/>
      <c r="K85" s="773"/>
      <c r="L85" s="773"/>
      <c r="M85" s="773"/>
      <c r="N85" s="773"/>
    </row>
    <row r="86" spans="1:14" x14ac:dyDescent="0.2">
      <c r="A86" s="835"/>
      <c r="B86" s="836"/>
      <c r="C86" s="751"/>
      <c r="D86" s="751"/>
      <c r="E86" s="751"/>
      <c r="F86" s="751"/>
      <c r="G86" s="751"/>
      <c r="H86" s="751"/>
      <c r="I86" s="751"/>
      <c r="J86" s="751"/>
      <c r="K86" s="751"/>
      <c r="L86" s="751"/>
      <c r="M86" s="751"/>
      <c r="N86" s="751"/>
    </row>
    <row r="87" spans="1:14" x14ac:dyDescent="0.2">
      <c r="A87" s="837" t="s">
        <v>151</v>
      </c>
      <c r="B87" s="798"/>
      <c r="C87" s="751"/>
      <c r="D87" s="751"/>
      <c r="E87" s="751"/>
      <c r="F87" s="751"/>
      <c r="G87" s="751"/>
      <c r="H87" s="751"/>
      <c r="I87" s="751"/>
      <c r="J87" s="751"/>
      <c r="K87" s="751"/>
      <c r="L87" s="751"/>
      <c r="M87" s="751"/>
      <c r="N87" s="751"/>
    </row>
    <row r="88" spans="1:14" x14ac:dyDescent="0.2">
      <c r="A88" s="837"/>
      <c r="B88" s="798"/>
      <c r="C88" s="751"/>
      <c r="D88" s="751"/>
      <c r="E88" s="751"/>
      <c r="F88" s="751"/>
      <c r="G88" s="751"/>
      <c r="H88" s="751"/>
      <c r="I88" s="751"/>
      <c r="J88" s="751"/>
      <c r="K88" s="751"/>
      <c r="L88" s="751"/>
      <c r="M88" s="751"/>
      <c r="N88" s="751"/>
    </row>
    <row r="89" spans="1:14" x14ac:dyDescent="0.2">
      <c r="A89" s="837"/>
      <c r="B89" s="798"/>
      <c r="C89" s="751"/>
      <c r="D89" s="751"/>
      <c r="E89" s="751"/>
      <c r="F89" s="751"/>
      <c r="G89" s="751"/>
      <c r="H89" s="751"/>
      <c r="I89" s="751"/>
      <c r="J89" s="751"/>
      <c r="K89" s="751"/>
      <c r="L89" s="751"/>
      <c r="M89" s="751"/>
      <c r="N89" s="751"/>
    </row>
    <row r="90" spans="1:14" ht="25.5" x14ac:dyDescent="0.2">
      <c r="A90" s="795" t="s">
        <v>152</v>
      </c>
      <c r="B90" s="787" t="s">
        <v>153</v>
      </c>
      <c r="C90" s="751"/>
      <c r="D90" s="751"/>
      <c r="E90" s="751"/>
      <c r="F90" s="751"/>
      <c r="G90" s="751"/>
      <c r="H90" s="751"/>
      <c r="I90" s="751"/>
      <c r="J90" s="751"/>
      <c r="K90" s="751"/>
      <c r="L90" s="751"/>
      <c r="M90" s="751"/>
      <c r="N90" s="751"/>
    </row>
    <row r="91" spans="1:14" x14ac:dyDescent="0.2">
      <c r="A91" s="794"/>
      <c r="B91" s="790" t="s">
        <v>154</v>
      </c>
      <c r="C91" s="751"/>
      <c r="D91" s="751"/>
      <c r="E91" s="751"/>
      <c r="F91" s="751"/>
      <c r="G91" s="751"/>
      <c r="H91" s="751"/>
      <c r="I91" s="751"/>
      <c r="J91" s="751"/>
      <c r="K91" s="751"/>
      <c r="L91" s="751"/>
      <c r="M91" s="751"/>
      <c r="N91" s="751"/>
    </row>
    <row r="92" spans="1:14" x14ac:dyDescent="0.2">
      <c r="A92" s="794"/>
      <c r="B92" s="787" t="s">
        <v>433</v>
      </c>
      <c r="C92" s="762"/>
      <c r="D92" s="751"/>
      <c r="E92" s="751"/>
      <c r="F92" s="751"/>
      <c r="G92" s="751"/>
      <c r="H92" s="751"/>
      <c r="I92" s="751"/>
      <c r="J92" s="751"/>
      <c r="K92" s="751"/>
      <c r="L92" s="751"/>
      <c r="M92" s="751"/>
      <c r="N92" s="751"/>
    </row>
    <row r="93" spans="1:14" x14ac:dyDescent="0.2">
      <c r="A93" s="794"/>
      <c r="B93" s="787" t="s">
        <v>155</v>
      </c>
      <c r="C93" s="751"/>
      <c r="D93" s="751"/>
      <c r="E93" s="751"/>
      <c r="F93" s="751"/>
      <c r="G93" s="751"/>
      <c r="H93" s="751"/>
      <c r="I93" s="751"/>
      <c r="J93" s="751"/>
      <c r="K93" s="751"/>
      <c r="L93" s="751"/>
      <c r="M93" s="751"/>
      <c r="N93" s="751"/>
    </row>
    <row r="94" spans="1:14" x14ac:dyDescent="0.2">
      <c r="A94" s="837"/>
      <c r="B94" s="798"/>
      <c r="C94" s="751"/>
      <c r="D94" s="751"/>
      <c r="E94" s="751"/>
      <c r="F94" s="751"/>
      <c r="G94" s="751"/>
      <c r="H94" s="751"/>
      <c r="I94" s="751"/>
      <c r="J94" s="751"/>
      <c r="K94" s="751"/>
      <c r="L94" s="751"/>
      <c r="M94" s="751"/>
      <c r="N94" s="751"/>
    </row>
    <row r="95" spans="1:14" x14ac:dyDescent="0.2">
      <c r="A95" s="838" t="s">
        <v>83</v>
      </c>
      <c r="B95" s="798"/>
      <c r="C95" s="751"/>
      <c r="D95" s="751"/>
      <c r="E95" s="751"/>
      <c r="F95" s="751"/>
      <c r="G95" s="751"/>
      <c r="H95" s="751"/>
      <c r="I95" s="751"/>
      <c r="J95" s="751"/>
      <c r="K95" s="751"/>
      <c r="L95" s="751"/>
      <c r="M95" s="751"/>
      <c r="N95" s="751"/>
    </row>
    <row r="96" spans="1:14" x14ac:dyDescent="0.2">
      <c r="A96" s="790" t="s">
        <v>85</v>
      </c>
      <c r="B96" s="790" t="s">
        <v>484</v>
      </c>
      <c r="C96" s="751"/>
      <c r="D96" s="751"/>
      <c r="E96" s="751"/>
      <c r="F96" s="751"/>
      <c r="G96" s="751"/>
      <c r="H96" s="751"/>
      <c r="I96" s="751"/>
      <c r="J96" s="751"/>
      <c r="K96" s="751"/>
      <c r="L96" s="751"/>
      <c r="M96" s="751"/>
      <c r="N96" s="751"/>
    </row>
    <row r="97" spans="1:14" ht="25.5" x14ac:dyDescent="0.2">
      <c r="A97" s="790" t="s">
        <v>92</v>
      </c>
      <c r="B97" s="792" t="s">
        <v>434</v>
      </c>
      <c r="C97" s="751"/>
      <c r="D97" s="751"/>
      <c r="E97" s="751"/>
      <c r="F97" s="751"/>
      <c r="G97" s="751"/>
      <c r="H97" s="751"/>
      <c r="I97" s="751"/>
      <c r="J97" s="751"/>
      <c r="K97" s="751"/>
      <c r="L97" s="751"/>
      <c r="M97" s="751"/>
      <c r="N97" s="751"/>
    </row>
    <row r="98" spans="1:14" x14ac:dyDescent="0.2">
      <c r="A98" s="790" t="s">
        <v>97</v>
      </c>
      <c r="B98" s="790" t="s">
        <v>156</v>
      </c>
      <c r="C98" s="751"/>
      <c r="D98" s="751"/>
      <c r="E98" s="751"/>
      <c r="F98" s="751"/>
      <c r="G98" s="751"/>
      <c r="H98" s="751"/>
      <c r="I98" s="751"/>
      <c r="J98" s="751"/>
      <c r="K98" s="751"/>
      <c r="L98" s="751"/>
      <c r="M98" s="751"/>
      <c r="N98" s="751"/>
    </row>
    <row r="99" spans="1:14" x14ac:dyDescent="0.2">
      <c r="A99" s="790" t="s">
        <v>88</v>
      </c>
      <c r="B99" s="790" t="s">
        <v>157</v>
      </c>
      <c r="C99" s="751"/>
      <c r="D99" s="751"/>
      <c r="E99" s="751"/>
      <c r="F99" s="751"/>
      <c r="G99" s="751"/>
      <c r="H99" s="751"/>
      <c r="I99" s="751"/>
      <c r="J99" s="751"/>
      <c r="K99" s="751"/>
      <c r="L99" s="751"/>
      <c r="M99" s="751"/>
      <c r="N99" s="751"/>
    </row>
    <row r="100" spans="1:14" x14ac:dyDescent="0.2">
      <c r="A100" s="790" t="s">
        <v>158</v>
      </c>
      <c r="B100" s="790" t="s">
        <v>159</v>
      </c>
      <c r="C100" s="751"/>
      <c r="D100" s="751"/>
      <c r="E100" s="751"/>
      <c r="F100" s="751"/>
      <c r="G100" s="751"/>
      <c r="H100" s="751"/>
      <c r="I100" s="751"/>
      <c r="J100" s="751"/>
      <c r="K100" s="751"/>
      <c r="L100" s="751"/>
      <c r="M100" s="751"/>
      <c r="N100" s="751"/>
    </row>
    <row r="101" spans="1:14" ht="56.25" customHeight="1" x14ac:dyDescent="0.2">
      <c r="A101" s="786" t="s">
        <v>101</v>
      </c>
      <c r="B101" s="785" t="s">
        <v>485</v>
      </c>
      <c r="C101" s="762"/>
      <c r="D101" s="751"/>
      <c r="E101" s="751"/>
      <c r="F101" s="751"/>
      <c r="G101" s="751"/>
      <c r="H101" s="751"/>
      <c r="I101" s="751"/>
      <c r="J101" s="751"/>
      <c r="K101" s="751"/>
      <c r="L101" s="751"/>
      <c r="M101" s="751"/>
      <c r="N101" s="751"/>
    </row>
    <row r="102" spans="1:14" x14ac:dyDescent="0.2">
      <c r="A102" s="786" t="s">
        <v>103</v>
      </c>
      <c r="B102" s="787" t="s">
        <v>160</v>
      </c>
      <c r="C102" s="751"/>
      <c r="D102" s="751"/>
      <c r="E102" s="751"/>
      <c r="F102" s="751"/>
      <c r="G102" s="751"/>
      <c r="H102" s="751"/>
      <c r="I102" s="751"/>
      <c r="J102" s="751"/>
      <c r="K102" s="751"/>
      <c r="L102" s="751"/>
      <c r="M102" s="751"/>
      <c r="N102" s="751"/>
    </row>
    <row r="103" spans="1:14" x14ac:dyDescent="0.2">
      <c r="A103" s="786" t="s">
        <v>87</v>
      </c>
      <c r="B103" s="787" t="s">
        <v>161</v>
      </c>
      <c r="C103" s="751"/>
      <c r="D103" s="751"/>
      <c r="E103" s="751"/>
      <c r="F103" s="751"/>
      <c r="G103" s="751"/>
      <c r="H103" s="751"/>
      <c r="I103" s="751"/>
      <c r="J103" s="751"/>
      <c r="K103" s="751"/>
      <c r="L103" s="751"/>
      <c r="M103" s="751"/>
      <c r="N103" s="751"/>
    </row>
    <row r="104" spans="1:14" ht="25.5" x14ac:dyDescent="0.2">
      <c r="A104" s="786" t="s">
        <v>162</v>
      </c>
      <c r="B104" s="787" t="s">
        <v>163</v>
      </c>
      <c r="C104" s="751"/>
      <c r="D104" s="751"/>
      <c r="E104" s="751"/>
      <c r="F104" s="751"/>
      <c r="G104" s="751"/>
      <c r="H104" s="751"/>
      <c r="I104" s="751"/>
      <c r="J104" s="751"/>
      <c r="K104" s="751"/>
      <c r="L104" s="751"/>
      <c r="M104" s="751"/>
      <c r="N104" s="751"/>
    </row>
    <row r="105" spans="1:14" x14ac:dyDescent="0.2">
      <c r="A105" s="791" t="s">
        <v>108</v>
      </c>
      <c r="B105" s="790" t="s">
        <v>164</v>
      </c>
      <c r="C105" s="751"/>
      <c r="D105" s="751"/>
      <c r="E105" s="751"/>
      <c r="F105" s="751"/>
      <c r="G105" s="751"/>
      <c r="H105" s="751"/>
      <c r="I105" s="751"/>
      <c r="J105" s="751"/>
      <c r="K105" s="751"/>
      <c r="L105" s="751"/>
      <c r="M105" s="751"/>
      <c r="N105" s="751"/>
    </row>
    <row r="106" spans="1:14" x14ac:dyDescent="0.2">
      <c r="A106" s="791" t="s">
        <v>165</v>
      </c>
      <c r="B106" s="790" t="s">
        <v>166</v>
      </c>
      <c r="C106" s="751"/>
      <c r="D106" s="751"/>
      <c r="E106" s="751"/>
      <c r="F106" s="751"/>
      <c r="G106" s="751"/>
      <c r="H106" s="751"/>
      <c r="I106" s="751"/>
      <c r="J106" s="751"/>
      <c r="K106" s="751"/>
      <c r="L106" s="751"/>
      <c r="M106" s="751"/>
      <c r="N106" s="751"/>
    </row>
    <row r="107" spans="1:14" x14ac:dyDescent="0.2">
      <c r="A107" s="791" t="s">
        <v>167</v>
      </c>
      <c r="B107" s="790" t="s">
        <v>435</v>
      </c>
      <c r="C107" s="751"/>
      <c r="D107" s="751"/>
      <c r="E107" s="751"/>
      <c r="F107" s="751"/>
      <c r="G107" s="751"/>
      <c r="H107" s="751"/>
      <c r="I107" s="751"/>
      <c r="J107" s="751"/>
      <c r="K107" s="751"/>
      <c r="L107" s="751"/>
      <c r="M107" s="751"/>
      <c r="N107" s="751"/>
    </row>
    <row r="108" spans="1:14" x14ac:dyDescent="0.2">
      <c r="A108" s="839" t="s">
        <v>114</v>
      </c>
      <c r="B108" s="840" t="s">
        <v>168</v>
      </c>
      <c r="C108" s="751"/>
      <c r="D108" s="751"/>
      <c r="E108" s="751"/>
      <c r="F108" s="751"/>
      <c r="G108" s="751"/>
      <c r="H108" s="751"/>
      <c r="I108" s="751"/>
      <c r="J108" s="751"/>
      <c r="K108" s="751"/>
      <c r="L108" s="751"/>
      <c r="M108" s="751"/>
      <c r="N108" s="751"/>
    </row>
    <row r="109" spans="1:14" x14ac:dyDescent="0.2">
      <c r="A109" s="791" t="s">
        <v>169</v>
      </c>
      <c r="B109" s="790" t="s">
        <v>170</v>
      </c>
      <c r="C109" s="751"/>
      <c r="D109" s="751"/>
      <c r="E109" s="751"/>
      <c r="F109" s="751"/>
      <c r="G109" s="751"/>
      <c r="H109" s="751"/>
      <c r="I109" s="751"/>
      <c r="J109" s="751"/>
      <c r="K109" s="751"/>
      <c r="L109" s="751"/>
      <c r="M109" s="751"/>
      <c r="N109" s="751"/>
    </row>
    <row r="110" spans="1:14" x14ac:dyDescent="0.2">
      <c r="A110" s="835"/>
      <c r="B110" s="798"/>
      <c r="C110" s="751"/>
      <c r="D110" s="751"/>
      <c r="E110" s="751"/>
      <c r="F110" s="751"/>
      <c r="G110" s="751"/>
      <c r="H110" s="751"/>
      <c r="I110" s="751"/>
      <c r="J110" s="751"/>
      <c r="K110" s="751"/>
      <c r="L110" s="751"/>
      <c r="M110" s="751"/>
      <c r="N110" s="751"/>
    </row>
    <row r="111" spans="1:14" x14ac:dyDescent="0.2">
      <c r="A111" s="838" t="s">
        <v>118</v>
      </c>
      <c r="B111" s="798"/>
      <c r="C111" s="751"/>
      <c r="D111" s="751"/>
      <c r="E111" s="751"/>
      <c r="F111" s="751"/>
      <c r="G111" s="751"/>
      <c r="H111" s="751"/>
      <c r="I111" s="751"/>
      <c r="J111" s="751"/>
      <c r="K111" s="751"/>
      <c r="L111" s="751"/>
      <c r="M111" s="751"/>
      <c r="N111" s="751"/>
    </row>
    <row r="112" spans="1:14" ht="25.5" x14ac:dyDescent="0.2">
      <c r="A112" s="786" t="s">
        <v>120</v>
      </c>
      <c r="B112" s="787" t="s">
        <v>171</v>
      </c>
      <c r="C112" s="751"/>
      <c r="D112" s="751"/>
      <c r="E112" s="751"/>
      <c r="F112" s="751"/>
      <c r="G112" s="751"/>
      <c r="H112" s="751"/>
      <c r="I112" s="751"/>
      <c r="J112" s="751"/>
      <c r="K112" s="751"/>
      <c r="L112" s="751"/>
      <c r="M112" s="751"/>
      <c r="N112" s="751"/>
    </row>
    <row r="113" spans="1:14" x14ac:dyDescent="0.2">
      <c r="A113" s="841" t="s">
        <v>321</v>
      </c>
      <c r="B113" s="842" t="s">
        <v>436</v>
      </c>
      <c r="C113" s="751"/>
      <c r="D113" s="751"/>
      <c r="E113" s="751"/>
      <c r="F113" s="751"/>
      <c r="G113" s="751"/>
      <c r="H113" s="751"/>
      <c r="I113" s="751"/>
      <c r="J113" s="751"/>
      <c r="K113" s="751"/>
      <c r="L113" s="751"/>
      <c r="M113" s="751"/>
      <c r="N113" s="751"/>
    </row>
    <row r="114" spans="1:14" x14ac:dyDescent="0.2">
      <c r="A114" s="786" t="s">
        <v>322</v>
      </c>
      <c r="B114" s="793" t="s">
        <v>437</v>
      </c>
      <c r="C114" s="751"/>
      <c r="D114" s="751"/>
      <c r="E114" s="751"/>
      <c r="F114" s="751"/>
      <c r="G114" s="751"/>
      <c r="H114" s="751"/>
      <c r="I114" s="751"/>
      <c r="J114" s="751"/>
      <c r="K114" s="751"/>
      <c r="L114" s="751"/>
      <c r="M114" s="751"/>
      <c r="N114" s="751"/>
    </row>
    <row r="115" spans="1:14" x14ac:dyDescent="0.2">
      <c r="A115" s="786" t="s">
        <v>323</v>
      </c>
      <c r="B115" s="793" t="s">
        <v>438</v>
      </c>
      <c r="C115" s="751"/>
      <c r="D115" s="751"/>
      <c r="E115" s="751"/>
      <c r="F115" s="751"/>
      <c r="G115" s="751"/>
      <c r="H115" s="751"/>
      <c r="I115" s="751"/>
      <c r="J115" s="751"/>
      <c r="K115" s="751"/>
      <c r="L115" s="751"/>
      <c r="M115" s="751"/>
      <c r="N115" s="751"/>
    </row>
    <row r="116" spans="1:14" x14ac:dyDescent="0.2">
      <c r="A116" s="786" t="s">
        <v>439</v>
      </c>
      <c r="B116" s="793" t="s">
        <v>440</v>
      </c>
      <c r="C116" s="751"/>
      <c r="D116" s="751"/>
      <c r="E116" s="751"/>
      <c r="F116" s="751"/>
      <c r="G116" s="751"/>
      <c r="H116" s="751"/>
      <c r="I116" s="751"/>
      <c r="J116" s="751"/>
      <c r="K116" s="751"/>
      <c r="L116" s="751"/>
      <c r="M116" s="751"/>
      <c r="N116" s="751"/>
    </row>
    <row r="117" spans="1:14" x14ac:dyDescent="0.2">
      <c r="A117" s="786"/>
      <c r="B117" s="796"/>
      <c r="C117" s="783"/>
      <c r="D117" s="751"/>
      <c r="E117" s="751"/>
      <c r="F117" s="751"/>
      <c r="G117" s="751"/>
      <c r="H117" s="751"/>
      <c r="I117" s="751"/>
      <c r="J117" s="751"/>
      <c r="K117" s="751"/>
      <c r="L117" s="751"/>
      <c r="M117" s="751"/>
      <c r="N117" s="751"/>
    </row>
    <row r="118" spans="1:14" x14ac:dyDescent="0.2">
      <c r="A118" s="793" t="s">
        <v>316</v>
      </c>
      <c r="B118" s="793" t="s">
        <v>486</v>
      </c>
      <c r="C118" s="751"/>
      <c r="D118" s="751"/>
      <c r="E118" s="751"/>
      <c r="F118" s="751"/>
      <c r="G118" s="751"/>
      <c r="H118" s="751"/>
      <c r="I118" s="751"/>
      <c r="J118" s="751"/>
      <c r="K118" s="751"/>
      <c r="L118" s="751"/>
      <c r="M118" s="751"/>
      <c r="N118" s="751"/>
    </row>
    <row r="119" spans="1:14" x14ac:dyDescent="0.2">
      <c r="A119" s="793" t="s">
        <v>441</v>
      </c>
      <c r="B119" s="793" t="s">
        <v>442</v>
      </c>
    </row>
    <row r="120" spans="1:14" x14ac:dyDescent="0.2">
      <c r="A120" s="793" t="s">
        <v>317</v>
      </c>
      <c r="B120" s="793" t="s">
        <v>443</v>
      </c>
    </row>
    <row r="121" spans="1:14" x14ac:dyDescent="0.2">
      <c r="A121" s="793" t="s">
        <v>259</v>
      </c>
      <c r="B121" s="793" t="s">
        <v>444</v>
      </c>
    </row>
    <row r="122" spans="1:14" x14ac:dyDescent="0.2">
      <c r="A122" s="793" t="s">
        <v>445</v>
      </c>
      <c r="B122" s="793" t="s">
        <v>446</v>
      </c>
    </row>
    <row r="123" spans="1:14" x14ac:dyDescent="0.2">
      <c r="A123" s="793" t="s">
        <v>447</v>
      </c>
      <c r="B123" s="793" t="s">
        <v>448</v>
      </c>
    </row>
  </sheetData>
  <hyperlinks>
    <hyperlink ref="B18" location="Invoerblad!E8" display="Terug naar invoerblad" xr:uid="{D714844D-C8AA-4BF5-8C1C-E6320BDE56FA}"/>
    <hyperlink ref="B72" r:id="rId1" xr:uid="{5113691C-4B65-4148-9966-5658F5DA0315}"/>
  </hyperlinks>
  <pageMargins left="0.7" right="0.7" top="0.75" bottom="0.75" header="0.3" footer="0.3"/>
  <pageSetup paperSize="9" orientation="portrait" horizontalDpi="1200" verticalDpi="1200"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FF"/>
  </sheetPr>
  <dimension ref="A1:ALS138"/>
  <sheetViews>
    <sheetView zoomScaleNormal="100" workbookViewId="0">
      <selection activeCell="L71" sqref="L71"/>
    </sheetView>
  </sheetViews>
  <sheetFormatPr defaultRowHeight="12.75" x14ac:dyDescent="0.2"/>
  <cols>
    <col min="1" max="1" width="65.6640625" style="252" customWidth="1"/>
    <col min="2" max="9" width="15.83203125" style="252" customWidth="1"/>
    <col min="10" max="1007" width="9.33203125" style="252" customWidth="1"/>
  </cols>
  <sheetData>
    <row r="1" spans="1:1007" ht="13.5" thickBot="1" x14ac:dyDescent="0.25"/>
    <row r="2" spans="1:1007" ht="15" thickBot="1" x14ac:dyDescent="0.25">
      <c r="A2" s="358" t="s">
        <v>281</v>
      </c>
      <c r="B2" s="353" t="s">
        <v>304</v>
      </c>
      <c r="C2" s="353" t="s">
        <v>278</v>
      </c>
      <c r="D2" s="353" t="s">
        <v>279</v>
      </c>
      <c r="E2" s="741" t="s">
        <v>526</v>
      </c>
      <c r="F2" s="741" t="s">
        <v>532</v>
      </c>
      <c r="G2" s="741" t="s">
        <v>533</v>
      </c>
      <c r="H2" s="741" t="s">
        <v>534</v>
      </c>
      <c r="I2" s="741" t="s">
        <v>535</v>
      </c>
    </row>
    <row r="3" spans="1:1007" x14ac:dyDescent="0.2">
      <c r="A3" s="369" t="s">
        <v>288</v>
      </c>
      <c r="B3" s="380">
        <v>16600</v>
      </c>
      <c r="C3" s="381"/>
      <c r="D3" s="381"/>
      <c r="E3" s="734"/>
      <c r="F3" s="735"/>
      <c r="G3" s="735"/>
      <c r="H3" s="739"/>
      <c r="I3" s="735"/>
    </row>
    <row r="4" spans="1:1007" s="3" customFormat="1" x14ac:dyDescent="0.2">
      <c r="A4" s="749" t="s">
        <v>293</v>
      </c>
      <c r="B4" s="380"/>
      <c r="C4" s="382">
        <v>15800</v>
      </c>
      <c r="D4" s="380">
        <v>12900</v>
      </c>
      <c r="E4" s="740">
        <v>11900</v>
      </c>
      <c r="F4" s="730"/>
      <c r="G4" s="730"/>
      <c r="H4" s="369"/>
      <c r="I4" s="736"/>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c r="AW4" s="252"/>
      <c r="AX4" s="252"/>
      <c r="AY4" s="252"/>
      <c r="AZ4" s="252"/>
      <c r="BA4" s="252"/>
      <c r="BB4" s="252"/>
      <c r="BC4" s="252"/>
      <c r="BD4" s="252"/>
      <c r="BE4" s="252"/>
      <c r="BF4" s="252"/>
      <c r="BG4" s="252"/>
      <c r="BH4" s="252"/>
      <c r="BI4" s="252"/>
      <c r="BJ4" s="252"/>
      <c r="BK4" s="252"/>
      <c r="BL4" s="252"/>
      <c r="BM4" s="252"/>
      <c r="BN4" s="252"/>
      <c r="BO4" s="252"/>
      <c r="BP4" s="252"/>
      <c r="BQ4" s="252"/>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2"/>
      <c r="EB4" s="252"/>
      <c r="EC4" s="252"/>
      <c r="ED4" s="252"/>
      <c r="EE4" s="252"/>
      <c r="EF4" s="252"/>
      <c r="EG4" s="252"/>
      <c r="EH4" s="252"/>
      <c r="EI4" s="252"/>
      <c r="EJ4" s="252"/>
      <c r="EK4" s="252"/>
      <c r="EL4" s="252"/>
      <c r="EM4" s="252"/>
      <c r="EN4" s="252"/>
      <c r="EO4" s="252"/>
      <c r="EP4" s="252"/>
      <c r="EQ4" s="252"/>
      <c r="ER4" s="252"/>
      <c r="ES4" s="252"/>
      <c r="ET4" s="252"/>
      <c r="EU4" s="252"/>
      <c r="EV4" s="252"/>
      <c r="EW4" s="252"/>
      <c r="EX4" s="252"/>
      <c r="EY4" s="252"/>
      <c r="EZ4" s="252"/>
      <c r="FA4" s="252"/>
      <c r="FB4" s="252"/>
      <c r="FC4" s="252"/>
      <c r="FD4" s="252"/>
      <c r="FE4" s="252"/>
      <c r="FF4" s="252"/>
      <c r="FG4" s="252"/>
      <c r="FH4" s="252"/>
      <c r="FI4" s="252"/>
      <c r="FJ4" s="252"/>
      <c r="FK4" s="252"/>
      <c r="FL4" s="252"/>
      <c r="FM4" s="252"/>
      <c r="FN4" s="252"/>
      <c r="FO4" s="252"/>
      <c r="FP4" s="252"/>
      <c r="FQ4" s="252"/>
      <c r="FR4" s="252"/>
      <c r="FS4" s="252"/>
      <c r="FT4" s="252"/>
      <c r="FU4" s="252"/>
      <c r="FV4" s="252"/>
      <c r="FW4" s="252"/>
      <c r="FX4" s="252"/>
      <c r="FY4" s="252"/>
      <c r="FZ4" s="252"/>
      <c r="GA4" s="252"/>
      <c r="GB4" s="252"/>
      <c r="GC4" s="252"/>
      <c r="GD4" s="252"/>
      <c r="GE4" s="252"/>
      <c r="GF4" s="252"/>
      <c r="GG4" s="252"/>
      <c r="GH4" s="252"/>
      <c r="GI4" s="252"/>
      <c r="GJ4" s="252"/>
      <c r="GK4" s="252"/>
      <c r="GL4" s="252"/>
      <c r="GM4" s="252"/>
      <c r="GN4" s="252"/>
      <c r="GO4" s="252"/>
      <c r="GP4" s="252"/>
      <c r="GQ4" s="252"/>
      <c r="GR4" s="252"/>
      <c r="GS4" s="252"/>
      <c r="GT4" s="252"/>
      <c r="GU4" s="252"/>
      <c r="GV4" s="252"/>
      <c r="GW4" s="252"/>
      <c r="GX4" s="252"/>
      <c r="GY4" s="252"/>
      <c r="GZ4" s="252"/>
      <c r="HA4" s="252"/>
      <c r="HB4" s="252"/>
      <c r="HC4" s="252"/>
      <c r="HD4" s="252"/>
      <c r="HE4" s="252"/>
      <c r="HF4" s="252"/>
      <c r="HG4" s="252"/>
      <c r="HH4" s="252"/>
      <c r="HI4" s="252"/>
      <c r="HJ4" s="252"/>
      <c r="HK4" s="252"/>
      <c r="HL4" s="252"/>
      <c r="HM4" s="252"/>
      <c r="HN4" s="252"/>
      <c r="HO4" s="252"/>
      <c r="HP4" s="252"/>
      <c r="HQ4" s="252"/>
      <c r="HR4" s="252"/>
      <c r="HS4" s="252"/>
      <c r="HT4" s="252"/>
      <c r="HU4" s="252"/>
      <c r="HV4" s="252"/>
      <c r="HW4" s="252"/>
      <c r="HX4" s="252"/>
      <c r="HY4" s="252"/>
      <c r="HZ4" s="252"/>
      <c r="IA4" s="252"/>
      <c r="IB4" s="252"/>
      <c r="IC4" s="252"/>
      <c r="ID4" s="252"/>
      <c r="IE4" s="252"/>
      <c r="IF4" s="252"/>
      <c r="IG4" s="252"/>
      <c r="IH4" s="252"/>
      <c r="II4" s="252"/>
      <c r="IJ4" s="252"/>
      <c r="IK4" s="252"/>
      <c r="IL4" s="252"/>
      <c r="IM4" s="252"/>
      <c r="IN4" s="252"/>
      <c r="IO4" s="252"/>
      <c r="IP4" s="252"/>
      <c r="IQ4" s="252"/>
      <c r="IR4" s="252"/>
      <c r="IS4" s="252"/>
      <c r="IT4" s="252"/>
      <c r="IU4" s="252"/>
      <c r="IV4" s="252"/>
      <c r="IW4" s="252"/>
      <c r="IX4" s="252"/>
      <c r="IY4" s="252"/>
      <c r="IZ4" s="252"/>
      <c r="JA4" s="252"/>
      <c r="JB4" s="252"/>
      <c r="JC4" s="252"/>
      <c r="JD4" s="252"/>
      <c r="JE4" s="252"/>
      <c r="JF4" s="252"/>
      <c r="JG4" s="252"/>
      <c r="JH4" s="252"/>
      <c r="JI4" s="252"/>
      <c r="JJ4" s="252"/>
      <c r="JK4" s="252"/>
      <c r="JL4" s="252"/>
      <c r="JM4" s="252"/>
      <c r="JN4" s="252"/>
      <c r="JO4" s="252"/>
      <c r="JP4" s="252"/>
      <c r="JQ4" s="252"/>
      <c r="JR4" s="252"/>
      <c r="JS4" s="252"/>
      <c r="JT4" s="252"/>
      <c r="JU4" s="252"/>
      <c r="JV4" s="252"/>
      <c r="JW4" s="252"/>
      <c r="JX4" s="252"/>
      <c r="JY4" s="252"/>
      <c r="JZ4" s="252"/>
      <c r="KA4" s="252"/>
      <c r="KB4" s="252"/>
      <c r="KC4" s="252"/>
      <c r="KD4" s="252"/>
      <c r="KE4" s="252"/>
      <c r="KF4" s="252"/>
      <c r="KG4" s="252"/>
      <c r="KH4" s="252"/>
      <c r="KI4" s="252"/>
      <c r="KJ4" s="252"/>
      <c r="KK4" s="252"/>
      <c r="KL4" s="252"/>
      <c r="KM4" s="252"/>
      <c r="KN4" s="252"/>
      <c r="KO4" s="252"/>
      <c r="KP4" s="252"/>
      <c r="KQ4" s="252"/>
      <c r="KR4" s="252"/>
      <c r="KS4" s="252"/>
      <c r="KT4" s="252"/>
      <c r="KU4" s="252"/>
      <c r="KV4" s="252"/>
      <c r="KW4" s="252"/>
      <c r="KX4" s="252"/>
      <c r="KY4" s="252"/>
      <c r="KZ4" s="252"/>
      <c r="LA4" s="252"/>
      <c r="LB4" s="252"/>
      <c r="LC4" s="252"/>
      <c r="LD4" s="252"/>
      <c r="LE4" s="252"/>
      <c r="LF4" s="252"/>
      <c r="LG4" s="252"/>
      <c r="LH4" s="252"/>
      <c r="LI4" s="252"/>
      <c r="LJ4" s="252"/>
      <c r="LK4" s="252"/>
      <c r="LL4" s="252"/>
      <c r="LM4" s="252"/>
      <c r="LN4" s="252"/>
      <c r="LO4" s="252"/>
      <c r="LP4" s="252"/>
      <c r="LQ4" s="252"/>
      <c r="LR4" s="252"/>
      <c r="LS4" s="252"/>
      <c r="LT4" s="252"/>
      <c r="LU4" s="252"/>
      <c r="LV4" s="252"/>
      <c r="LW4" s="252"/>
      <c r="LX4" s="252"/>
      <c r="LY4" s="252"/>
      <c r="LZ4" s="252"/>
      <c r="MA4" s="252"/>
      <c r="MB4" s="252"/>
      <c r="MC4" s="252"/>
      <c r="MD4" s="252"/>
      <c r="ME4" s="252"/>
      <c r="MF4" s="252"/>
      <c r="MG4" s="252"/>
      <c r="MH4" s="252"/>
      <c r="MI4" s="252"/>
      <c r="MJ4" s="252"/>
      <c r="MK4" s="252"/>
      <c r="ML4" s="252"/>
      <c r="MM4" s="252"/>
      <c r="MN4" s="252"/>
      <c r="MO4" s="252"/>
      <c r="MP4" s="252"/>
      <c r="MQ4" s="252"/>
      <c r="MR4" s="252"/>
      <c r="MS4" s="252"/>
      <c r="MT4" s="252"/>
      <c r="MU4" s="252"/>
      <c r="MV4" s="252"/>
      <c r="MW4" s="252"/>
      <c r="MX4" s="252"/>
      <c r="MY4" s="252"/>
      <c r="MZ4" s="252"/>
      <c r="NA4" s="252"/>
      <c r="NB4" s="252"/>
      <c r="NC4" s="252"/>
      <c r="ND4" s="252"/>
      <c r="NE4" s="252"/>
      <c r="NF4" s="252"/>
      <c r="NG4" s="252"/>
      <c r="NH4" s="252"/>
      <c r="NI4" s="252"/>
      <c r="NJ4" s="252"/>
      <c r="NK4" s="252"/>
      <c r="NL4" s="252"/>
      <c r="NM4" s="252"/>
      <c r="NN4" s="252"/>
      <c r="NO4" s="252"/>
      <c r="NP4" s="252"/>
      <c r="NQ4" s="252"/>
      <c r="NR4" s="252"/>
      <c r="NS4" s="252"/>
      <c r="NT4" s="252"/>
      <c r="NU4" s="252"/>
      <c r="NV4" s="252"/>
      <c r="NW4" s="252"/>
      <c r="NX4" s="252"/>
      <c r="NY4" s="252"/>
      <c r="NZ4" s="252"/>
      <c r="OA4" s="252"/>
      <c r="OB4" s="252"/>
      <c r="OC4" s="252"/>
      <c r="OD4" s="252"/>
      <c r="OE4" s="252"/>
      <c r="OF4" s="252"/>
      <c r="OG4" s="252"/>
      <c r="OH4" s="252"/>
      <c r="OI4" s="252"/>
      <c r="OJ4" s="252"/>
      <c r="OK4" s="252"/>
      <c r="OL4" s="252"/>
      <c r="OM4" s="252"/>
      <c r="ON4" s="252"/>
      <c r="OO4" s="252"/>
      <c r="OP4" s="252"/>
      <c r="OQ4" s="252"/>
      <c r="OR4" s="252"/>
      <c r="OS4" s="252"/>
      <c r="OT4" s="252"/>
      <c r="OU4" s="252"/>
      <c r="OV4" s="252"/>
      <c r="OW4" s="252"/>
      <c r="OX4" s="252"/>
      <c r="OY4" s="252"/>
      <c r="OZ4" s="252"/>
      <c r="PA4" s="252"/>
      <c r="PB4" s="252"/>
      <c r="PC4" s="252"/>
      <c r="PD4" s="252"/>
      <c r="PE4" s="252"/>
      <c r="PF4" s="252"/>
      <c r="PG4" s="252"/>
      <c r="PH4" s="252"/>
      <c r="PI4" s="252"/>
      <c r="PJ4" s="252"/>
      <c r="PK4" s="252"/>
      <c r="PL4" s="252"/>
      <c r="PM4" s="252"/>
      <c r="PN4" s="252"/>
      <c r="PO4" s="252"/>
      <c r="PP4" s="252"/>
      <c r="PQ4" s="252"/>
      <c r="PR4" s="252"/>
      <c r="PS4" s="252"/>
      <c r="PT4" s="252"/>
      <c r="PU4" s="252"/>
      <c r="PV4" s="252"/>
      <c r="PW4" s="252"/>
      <c r="PX4" s="252"/>
      <c r="PY4" s="252"/>
      <c r="PZ4" s="252"/>
      <c r="QA4" s="252"/>
      <c r="QB4" s="252"/>
      <c r="QC4" s="252"/>
      <c r="QD4" s="252"/>
      <c r="QE4" s="252"/>
      <c r="QF4" s="252"/>
      <c r="QG4" s="252"/>
      <c r="QH4" s="252"/>
      <c r="QI4" s="252"/>
      <c r="QJ4" s="252"/>
      <c r="QK4" s="252"/>
      <c r="QL4" s="252"/>
      <c r="QM4" s="252"/>
      <c r="QN4" s="252"/>
      <c r="QO4" s="252"/>
      <c r="QP4" s="252"/>
      <c r="QQ4" s="252"/>
      <c r="QR4" s="252"/>
      <c r="QS4" s="252"/>
      <c r="QT4" s="252"/>
      <c r="QU4" s="252"/>
      <c r="QV4" s="252"/>
      <c r="QW4" s="252"/>
      <c r="QX4" s="252"/>
      <c r="QY4" s="252"/>
      <c r="QZ4" s="252"/>
      <c r="RA4" s="252"/>
      <c r="RB4" s="252"/>
      <c r="RC4" s="252"/>
      <c r="RD4" s="252"/>
      <c r="RE4" s="252"/>
      <c r="RF4" s="252"/>
      <c r="RG4" s="252"/>
      <c r="RH4" s="252"/>
      <c r="RI4" s="252"/>
      <c r="RJ4" s="252"/>
      <c r="RK4" s="252"/>
      <c r="RL4" s="252"/>
      <c r="RM4" s="252"/>
      <c r="RN4" s="252"/>
      <c r="RO4" s="252"/>
      <c r="RP4" s="252"/>
      <c r="RQ4" s="252"/>
      <c r="RR4" s="252"/>
      <c r="RS4" s="252"/>
      <c r="RT4" s="252"/>
      <c r="RU4" s="252"/>
      <c r="RV4" s="252"/>
      <c r="RW4" s="252"/>
      <c r="RX4" s="252"/>
      <c r="RY4" s="252"/>
      <c r="RZ4" s="252"/>
      <c r="SA4" s="252"/>
      <c r="SB4" s="252"/>
      <c r="SC4" s="252"/>
      <c r="SD4" s="252"/>
      <c r="SE4" s="252"/>
      <c r="SF4" s="252"/>
      <c r="SG4" s="252"/>
      <c r="SH4" s="252"/>
      <c r="SI4" s="252"/>
      <c r="SJ4" s="252"/>
      <c r="SK4" s="252"/>
      <c r="SL4" s="252"/>
      <c r="SM4" s="252"/>
      <c r="SN4" s="252"/>
      <c r="SO4" s="252"/>
      <c r="SP4" s="252"/>
      <c r="SQ4" s="252"/>
      <c r="SR4" s="252"/>
      <c r="SS4" s="252"/>
      <c r="ST4" s="252"/>
      <c r="SU4" s="252"/>
      <c r="SV4" s="252"/>
      <c r="SW4" s="252"/>
      <c r="SX4" s="252"/>
      <c r="SY4" s="252"/>
      <c r="SZ4" s="252"/>
      <c r="TA4" s="252"/>
      <c r="TB4" s="252"/>
      <c r="TC4" s="252"/>
      <c r="TD4" s="252"/>
      <c r="TE4" s="252"/>
      <c r="TF4" s="252"/>
      <c r="TG4" s="252"/>
      <c r="TH4" s="252"/>
      <c r="TI4" s="252"/>
      <c r="TJ4" s="252"/>
      <c r="TK4" s="252"/>
      <c r="TL4" s="252"/>
      <c r="TM4" s="252"/>
      <c r="TN4" s="252"/>
      <c r="TO4" s="252"/>
      <c r="TP4" s="252"/>
      <c r="TQ4" s="252"/>
      <c r="TR4" s="252"/>
      <c r="TS4" s="252"/>
      <c r="TT4" s="252"/>
      <c r="TU4" s="252"/>
      <c r="TV4" s="252"/>
      <c r="TW4" s="252"/>
      <c r="TX4" s="252"/>
      <c r="TY4" s="252"/>
      <c r="TZ4" s="252"/>
      <c r="UA4" s="252"/>
      <c r="UB4" s="252"/>
      <c r="UC4" s="252"/>
      <c r="UD4" s="252"/>
      <c r="UE4" s="252"/>
      <c r="UF4" s="252"/>
      <c r="UG4" s="252"/>
      <c r="UH4" s="252"/>
      <c r="UI4" s="252"/>
      <c r="UJ4" s="252"/>
      <c r="UK4" s="252"/>
      <c r="UL4" s="252"/>
      <c r="UM4" s="252"/>
      <c r="UN4" s="252"/>
      <c r="UO4" s="252"/>
      <c r="UP4" s="252"/>
      <c r="UQ4" s="252"/>
      <c r="UR4" s="252"/>
      <c r="US4" s="252"/>
      <c r="UT4" s="252"/>
      <c r="UU4" s="252"/>
      <c r="UV4" s="252"/>
      <c r="UW4" s="252"/>
      <c r="UX4" s="252"/>
      <c r="UY4" s="252"/>
      <c r="UZ4" s="252"/>
      <c r="VA4" s="252"/>
      <c r="VB4" s="252"/>
      <c r="VC4" s="252"/>
      <c r="VD4" s="252"/>
      <c r="VE4" s="252"/>
      <c r="VF4" s="252"/>
      <c r="VG4" s="252"/>
      <c r="VH4" s="252"/>
      <c r="VI4" s="252"/>
      <c r="VJ4" s="252"/>
      <c r="VK4" s="252"/>
      <c r="VL4" s="252"/>
      <c r="VM4" s="252"/>
      <c r="VN4" s="252"/>
      <c r="VO4" s="252"/>
      <c r="VP4" s="252"/>
      <c r="VQ4" s="252"/>
      <c r="VR4" s="252"/>
      <c r="VS4" s="252"/>
      <c r="VT4" s="252"/>
      <c r="VU4" s="252"/>
      <c r="VV4" s="252"/>
      <c r="VW4" s="252"/>
      <c r="VX4" s="252"/>
      <c r="VY4" s="252"/>
      <c r="VZ4" s="252"/>
      <c r="WA4" s="252"/>
      <c r="WB4" s="252"/>
      <c r="WC4" s="252"/>
      <c r="WD4" s="252"/>
      <c r="WE4" s="252"/>
      <c r="WF4" s="252"/>
      <c r="WG4" s="252"/>
      <c r="WH4" s="252"/>
      <c r="WI4" s="252"/>
      <c r="WJ4" s="252"/>
      <c r="WK4" s="252"/>
      <c r="WL4" s="252"/>
      <c r="WM4" s="252"/>
      <c r="WN4" s="252"/>
      <c r="WO4" s="252"/>
      <c r="WP4" s="252"/>
      <c r="WQ4" s="252"/>
      <c r="WR4" s="252"/>
      <c r="WS4" s="252"/>
      <c r="WT4" s="252"/>
      <c r="WU4" s="252"/>
      <c r="WV4" s="252"/>
      <c r="WW4" s="252"/>
      <c r="WX4" s="252"/>
      <c r="WY4" s="252"/>
      <c r="WZ4" s="252"/>
      <c r="XA4" s="252"/>
      <c r="XB4" s="252"/>
      <c r="XC4" s="252"/>
      <c r="XD4" s="252"/>
      <c r="XE4" s="252"/>
      <c r="XF4" s="252"/>
      <c r="XG4" s="252"/>
      <c r="XH4" s="252"/>
      <c r="XI4" s="252"/>
      <c r="XJ4" s="252"/>
      <c r="XK4" s="252"/>
      <c r="XL4" s="252"/>
      <c r="XM4" s="252"/>
      <c r="XN4" s="252"/>
      <c r="XO4" s="252"/>
      <c r="XP4" s="252"/>
      <c r="XQ4" s="252"/>
      <c r="XR4" s="252"/>
      <c r="XS4" s="252"/>
      <c r="XT4" s="252"/>
      <c r="XU4" s="252"/>
      <c r="XV4" s="252"/>
      <c r="XW4" s="252"/>
      <c r="XX4" s="252"/>
      <c r="XY4" s="252"/>
      <c r="XZ4" s="252"/>
      <c r="YA4" s="252"/>
      <c r="YB4" s="252"/>
      <c r="YC4" s="252"/>
      <c r="YD4" s="252"/>
      <c r="YE4" s="252"/>
      <c r="YF4" s="252"/>
      <c r="YG4" s="252"/>
      <c r="YH4" s="252"/>
      <c r="YI4" s="252"/>
      <c r="YJ4" s="252"/>
      <c r="YK4" s="252"/>
      <c r="YL4" s="252"/>
      <c r="YM4" s="252"/>
      <c r="YN4" s="252"/>
      <c r="YO4" s="252"/>
      <c r="YP4" s="252"/>
      <c r="YQ4" s="252"/>
      <c r="YR4" s="252"/>
      <c r="YS4" s="252"/>
      <c r="YT4" s="252"/>
      <c r="YU4" s="252"/>
      <c r="YV4" s="252"/>
      <c r="YW4" s="252"/>
      <c r="YX4" s="252"/>
      <c r="YY4" s="252"/>
      <c r="YZ4" s="252"/>
      <c r="ZA4" s="252"/>
      <c r="ZB4" s="252"/>
      <c r="ZC4" s="252"/>
      <c r="ZD4" s="252"/>
      <c r="ZE4" s="252"/>
      <c r="ZF4" s="252"/>
      <c r="ZG4" s="252"/>
      <c r="ZH4" s="252"/>
      <c r="ZI4" s="252"/>
      <c r="ZJ4" s="252"/>
      <c r="ZK4" s="252"/>
      <c r="ZL4" s="252"/>
      <c r="ZM4" s="252"/>
      <c r="ZN4" s="252"/>
      <c r="ZO4" s="252"/>
      <c r="ZP4" s="252"/>
      <c r="ZQ4" s="252"/>
      <c r="ZR4" s="252"/>
      <c r="ZS4" s="252"/>
      <c r="ZT4" s="252"/>
      <c r="ZU4" s="252"/>
      <c r="ZV4" s="252"/>
      <c r="ZW4" s="252"/>
      <c r="ZX4" s="252"/>
      <c r="ZY4" s="252"/>
      <c r="ZZ4" s="252"/>
      <c r="AAA4" s="252"/>
      <c r="AAB4" s="252"/>
      <c r="AAC4" s="252"/>
      <c r="AAD4" s="252"/>
      <c r="AAE4" s="252"/>
      <c r="AAF4" s="252"/>
      <c r="AAG4" s="252"/>
      <c r="AAH4" s="252"/>
      <c r="AAI4" s="252"/>
      <c r="AAJ4" s="252"/>
      <c r="AAK4" s="252"/>
      <c r="AAL4" s="252"/>
      <c r="AAM4" s="252"/>
      <c r="AAN4" s="252"/>
      <c r="AAO4" s="252"/>
      <c r="AAP4" s="252"/>
      <c r="AAQ4" s="252"/>
      <c r="AAR4" s="252"/>
      <c r="AAS4" s="252"/>
      <c r="AAT4" s="252"/>
      <c r="AAU4" s="252"/>
      <c r="AAV4" s="252"/>
      <c r="AAW4" s="252"/>
      <c r="AAX4" s="252"/>
      <c r="AAY4" s="252"/>
      <c r="AAZ4" s="252"/>
      <c r="ABA4" s="252"/>
      <c r="ABB4" s="252"/>
      <c r="ABC4" s="252"/>
      <c r="ABD4" s="252"/>
      <c r="ABE4" s="252"/>
      <c r="ABF4" s="252"/>
      <c r="ABG4" s="252"/>
      <c r="ABH4" s="252"/>
      <c r="ABI4" s="252"/>
      <c r="ABJ4" s="252"/>
      <c r="ABK4" s="252"/>
      <c r="ABL4" s="252"/>
      <c r="ABM4" s="252"/>
      <c r="ABN4" s="252"/>
      <c r="ABO4" s="252"/>
      <c r="ABP4" s="252"/>
      <c r="ABQ4" s="252"/>
      <c r="ABR4" s="252"/>
      <c r="ABS4" s="252"/>
      <c r="ABT4" s="252"/>
      <c r="ABU4" s="252"/>
      <c r="ABV4" s="252"/>
      <c r="ABW4" s="252"/>
      <c r="ABX4" s="252"/>
      <c r="ABY4" s="252"/>
      <c r="ABZ4" s="252"/>
      <c r="ACA4" s="252"/>
      <c r="ACB4" s="252"/>
      <c r="ACC4" s="252"/>
      <c r="ACD4" s="252"/>
      <c r="ACE4" s="252"/>
      <c r="ACF4" s="252"/>
      <c r="ACG4" s="252"/>
      <c r="ACH4" s="252"/>
      <c r="ACI4" s="252"/>
      <c r="ACJ4" s="252"/>
      <c r="ACK4" s="252"/>
      <c r="ACL4" s="252"/>
      <c r="ACM4" s="252"/>
      <c r="ACN4" s="252"/>
      <c r="ACO4" s="252"/>
      <c r="ACP4" s="252"/>
      <c r="ACQ4" s="252"/>
      <c r="ACR4" s="252"/>
      <c r="ACS4" s="252"/>
      <c r="ACT4" s="252"/>
      <c r="ACU4" s="252"/>
      <c r="ACV4" s="252"/>
      <c r="ACW4" s="252"/>
      <c r="ACX4" s="252"/>
      <c r="ACY4" s="252"/>
      <c r="ACZ4" s="252"/>
      <c r="ADA4" s="252"/>
      <c r="ADB4" s="252"/>
      <c r="ADC4" s="252"/>
      <c r="ADD4" s="252"/>
      <c r="ADE4" s="252"/>
      <c r="ADF4" s="252"/>
      <c r="ADG4" s="252"/>
      <c r="ADH4" s="252"/>
      <c r="ADI4" s="252"/>
      <c r="ADJ4" s="252"/>
      <c r="ADK4" s="252"/>
      <c r="ADL4" s="252"/>
      <c r="ADM4" s="252"/>
      <c r="ADN4" s="252"/>
      <c r="ADO4" s="252"/>
      <c r="ADP4" s="252"/>
      <c r="ADQ4" s="252"/>
      <c r="ADR4" s="252"/>
      <c r="ADS4" s="252"/>
      <c r="ADT4" s="252"/>
      <c r="ADU4" s="252"/>
      <c r="ADV4" s="252"/>
      <c r="ADW4" s="252"/>
      <c r="ADX4" s="252"/>
      <c r="ADY4" s="252"/>
      <c r="ADZ4" s="252"/>
      <c r="AEA4" s="252"/>
      <c r="AEB4" s="252"/>
      <c r="AEC4" s="252"/>
      <c r="AED4" s="252"/>
      <c r="AEE4" s="252"/>
      <c r="AEF4" s="252"/>
      <c r="AEG4" s="252"/>
      <c r="AEH4" s="252"/>
      <c r="AEI4" s="252"/>
      <c r="AEJ4" s="252"/>
      <c r="AEK4" s="252"/>
      <c r="AEL4" s="252"/>
      <c r="AEM4" s="252"/>
      <c r="AEN4" s="252"/>
      <c r="AEO4" s="252"/>
      <c r="AEP4" s="252"/>
      <c r="AEQ4" s="252"/>
      <c r="AER4" s="252"/>
      <c r="AES4" s="252"/>
      <c r="AET4" s="252"/>
      <c r="AEU4" s="252"/>
      <c r="AEV4" s="252"/>
      <c r="AEW4" s="252"/>
      <c r="AEX4" s="252"/>
      <c r="AEY4" s="252"/>
      <c r="AEZ4" s="252"/>
      <c r="AFA4" s="252"/>
      <c r="AFB4" s="252"/>
      <c r="AFC4" s="252"/>
      <c r="AFD4" s="252"/>
      <c r="AFE4" s="252"/>
      <c r="AFF4" s="252"/>
      <c r="AFG4" s="252"/>
      <c r="AFH4" s="252"/>
      <c r="AFI4" s="252"/>
      <c r="AFJ4" s="252"/>
      <c r="AFK4" s="252"/>
      <c r="AFL4" s="252"/>
      <c r="AFM4" s="252"/>
      <c r="AFN4" s="252"/>
      <c r="AFO4" s="252"/>
      <c r="AFP4" s="252"/>
      <c r="AFQ4" s="252"/>
      <c r="AFR4" s="252"/>
      <c r="AFS4" s="252"/>
      <c r="AFT4" s="252"/>
      <c r="AFU4" s="252"/>
      <c r="AFV4" s="252"/>
      <c r="AFW4" s="252"/>
      <c r="AFX4" s="252"/>
      <c r="AFY4" s="252"/>
      <c r="AFZ4" s="252"/>
      <c r="AGA4" s="252"/>
      <c r="AGB4" s="252"/>
      <c r="AGC4" s="252"/>
      <c r="AGD4" s="252"/>
      <c r="AGE4" s="252"/>
      <c r="AGF4" s="252"/>
      <c r="AGG4" s="252"/>
      <c r="AGH4" s="252"/>
      <c r="AGI4" s="252"/>
      <c r="AGJ4" s="252"/>
      <c r="AGK4" s="252"/>
      <c r="AGL4" s="252"/>
      <c r="AGM4" s="252"/>
      <c r="AGN4" s="252"/>
      <c r="AGO4" s="252"/>
      <c r="AGP4" s="252"/>
      <c r="AGQ4" s="252"/>
      <c r="AGR4" s="252"/>
      <c r="AGS4" s="252"/>
      <c r="AGT4" s="252"/>
      <c r="AGU4" s="252"/>
      <c r="AGV4" s="252"/>
      <c r="AGW4" s="252"/>
      <c r="AGX4" s="252"/>
      <c r="AGY4" s="252"/>
      <c r="AGZ4" s="252"/>
      <c r="AHA4" s="252"/>
      <c r="AHB4" s="252"/>
      <c r="AHC4" s="252"/>
      <c r="AHD4" s="252"/>
      <c r="AHE4" s="252"/>
      <c r="AHF4" s="252"/>
      <c r="AHG4" s="252"/>
      <c r="AHH4" s="252"/>
      <c r="AHI4" s="252"/>
      <c r="AHJ4" s="252"/>
      <c r="AHK4" s="252"/>
      <c r="AHL4" s="252"/>
      <c r="AHM4" s="252"/>
      <c r="AHN4" s="252"/>
      <c r="AHO4" s="252"/>
      <c r="AHP4" s="252"/>
      <c r="AHQ4" s="252"/>
      <c r="AHR4" s="252"/>
      <c r="AHS4" s="252"/>
      <c r="AHT4" s="252"/>
      <c r="AHU4" s="252"/>
      <c r="AHV4" s="252"/>
      <c r="AHW4" s="252"/>
      <c r="AHX4" s="252"/>
      <c r="AHY4" s="252"/>
      <c r="AHZ4" s="252"/>
      <c r="AIA4" s="252"/>
      <c r="AIB4" s="252"/>
      <c r="AIC4" s="252"/>
      <c r="AID4" s="252"/>
      <c r="AIE4" s="252"/>
      <c r="AIF4" s="252"/>
      <c r="AIG4" s="252"/>
      <c r="AIH4" s="252"/>
      <c r="AII4" s="252"/>
      <c r="AIJ4" s="252"/>
      <c r="AIK4" s="252"/>
      <c r="AIL4" s="252"/>
      <c r="AIM4" s="252"/>
      <c r="AIN4" s="252"/>
      <c r="AIO4" s="252"/>
      <c r="AIP4" s="252"/>
      <c r="AIQ4" s="252"/>
      <c r="AIR4" s="252"/>
      <c r="AIS4" s="252"/>
      <c r="AIT4" s="252"/>
      <c r="AIU4" s="252"/>
      <c r="AIV4" s="252"/>
      <c r="AIW4" s="252"/>
      <c r="AIX4" s="252"/>
      <c r="AIY4" s="252"/>
      <c r="AIZ4" s="252"/>
      <c r="AJA4" s="252"/>
      <c r="AJB4" s="252"/>
      <c r="AJC4" s="252"/>
      <c r="AJD4" s="252"/>
      <c r="AJE4" s="252"/>
      <c r="AJF4" s="252"/>
      <c r="AJG4" s="252"/>
      <c r="AJH4" s="252"/>
      <c r="AJI4" s="252"/>
      <c r="AJJ4" s="252"/>
      <c r="AJK4" s="252"/>
      <c r="AJL4" s="252"/>
      <c r="AJM4" s="252"/>
      <c r="AJN4" s="252"/>
      <c r="AJO4" s="252"/>
      <c r="AJP4" s="252"/>
      <c r="AJQ4" s="252"/>
      <c r="AJR4" s="252"/>
      <c r="AJS4" s="252"/>
      <c r="AJT4" s="252"/>
      <c r="AJU4" s="252"/>
      <c r="AJV4" s="252"/>
      <c r="AJW4" s="252"/>
      <c r="AJX4" s="252"/>
      <c r="AJY4" s="252"/>
      <c r="AJZ4" s="252"/>
      <c r="AKA4" s="252"/>
      <c r="AKB4" s="252"/>
      <c r="AKC4" s="252"/>
      <c r="AKD4" s="252"/>
      <c r="AKE4" s="252"/>
      <c r="AKF4" s="252"/>
      <c r="AKG4" s="252"/>
      <c r="AKH4" s="252"/>
      <c r="AKI4" s="252"/>
      <c r="AKJ4" s="252"/>
      <c r="AKK4" s="252"/>
      <c r="AKL4" s="252"/>
      <c r="AKM4" s="252"/>
      <c r="AKN4" s="252"/>
      <c r="AKO4" s="252"/>
      <c r="AKP4" s="252"/>
      <c r="AKQ4" s="252"/>
      <c r="AKR4" s="252"/>
      <c r="AKS4" s="252"/>
      <c r="AKT4" s="252"/>
      <c r="AKU4" s="252"/>
      <c r="AKV4" s="252"/>
      <c r="AKW4" s="252"/>
      <c r="AKX4" s="252"/>
      <c r="AKY4" s="252"/>
      <c r="AKZ4" s="252"/>
      <c r="ALA4" s="252"/>
      <c r="ALB4" s="252"/>
      <c r="ALC4" s="252"/>
      <c r="ALD4" s="252"/>
      <c r="ALE4" s="252"/>
      <c r="ALF4" s="252"/>
      <c r="ALG4" s="252"/>
      <c r="ALH4" s="252"/>
      <c r="ALI4" s="252"/>
      <c r="ALJ4" s="252"/>
      <c r="ALK4" s="252"/>
      <c r="ALL4" s="252"/>
      <c r="ALM4" s="252"/>
      <c r="ALN4" s="252"/>
      <c r="ALO4" s="252"/>
      <c r="ALP4" s="252"/>
      <c r="ALQ4" s="252"/>
      <c r="ALR4" s="252"/>
      <c r="ALS4" s="252"/>
    </row>
    <row r="5" spans="1:1007" s="3" customFormat="1" x14ac:dyDescent="0.2">
      <c r="A5" s="369" t="s">
        <v>294</v>
      </c>
      <c r="B5" s="380"/>
      <c r="C5" s="380">
        <v>15800</v>
      </c>
      <c r="D5" s="383"/>
      <c r="E5" s="729"/>
      <c r="F5" s="730"/>
      <c r="G5" s="730"/>
      <c r="H5" s="369"/>
      <c r="I5" s="736"/>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252"/>
      <c r="BL5" s="252"/>
      <c r="BM5" s="252"/>
      <c r="BN5" s="252"/>
      <c r="BO5" s="252"/>
      <c r="BP5" s="252"/>
      <c r="BQ5" s="252"/>
      <c r="BR5" s="252"/>
      <c r="BS5" s="252"/>
      <c r="BT5" s="252"/>
      <c r="BU5" s="252"/>
      <c r="BV5" s="252"/>
      <c r="BW5" s="252"/>
      <c r="BX5" s="252"/>
      <c r="BY5" s="252"/>
      <c r="BZ5" s="252"/>
      <c r="CA5" s="252"/>
      <c r="CB5" s="252"/>
      <c r="CC5" s="252"/>
      <c r="CD5" s="252"/>
      <c r="CE5" s="252"/>
      <c r="CF5" s="252"/>
      <c r="CG5" s="252"/>
      <c r="CH5" s="252"/>
      <c r="CI5" s="252"/>
      <c r="CJ5" s="252"/>
      <c r="CK5" s="252"/>
      <c r="CL5" s="252"/>
      <c r="CM5" s="252"/>
      <c r="CN5" s="252"/>
      <c r="CO5" s="252"/>
      <c r="CP5" s="252"/>
      <c r="CQ5" s="252"/>
      <c r="CR5" s="252"/>
      <c r="CS5" s="252"/>
      <c r="CT5" s="252"/>
      <c r="CU5" s="252"/>
      <c r="CV5" s="252"/>
      <c r="CW5" s="252"/>
      <c r="CX5" s="252"/>
      <c r="CY5" s="252"/>
      <c r="CZ5" s="252"/>
      <c r="DA5" s="252"/>
      <c r="DB5" s="252"/>
      <c r="DC5" s="252"/>
      <c r="DD5" s="252"/>
      <c r="DE5" s="252"/>
      <c r="DF5" s="252"/>
      <c r="DG5" s="252"/>
      <c r="DH5" s="252"/>
      <c r="DI5" s="252"/>
      <c r="DJ5" s="252"/>
      <c r="DK5" s="252"/>
      <c r="DL5" s="252"/>
      <c r="DM5" s="252"/>
      <c r="DN5" s="252"/>
      <c r="DO5" s="252"/>
      <c r="DP5" s="252"/>
      <c r="DQ5" s="252"/>
      <c r="DR5" s="252"/>
      <c r="DS5" s="252"/>
      <c r="DT5" s="252"/>
      <c r="DU5" s="252"/>
      <c r="DV5" s="252"/>
      <c r="DW5" s="252"/>
      <c r="DX5" s="252"/>
      <c r="DY5" s="252"/>
      <c r="DZ5" s="252"/>
      <c r="EA5" s="252"/>
      <c r="EB5" s="252"/>
      <c r="EC5" s="252"/>
      <c r="ED5" s="252"/>
      <c r="EE5" s="252"/>
      <c r="EF5" s="252"/>
      <c r="EG5" s="252"/>
      <c r="EH5" s="252"/>
      <c r="EI5" s="252"/>
      <c r="EJ5" s="252"/>
      <c r="EK5" s="252"/>
      <c r="EL5" s="252"/>
      <c r="EM5" s="252"/>
      <c r="EN5" s="252"/>
      <c r="EO5" s="252"/>
      <c r="EP5" s="252"/>
      <c r="EQ5" s="252"/>
      <c r="ER5" s="252"/>
      <c r="ES5" s="252"/>
      <c r="ET5" s="252"/>
      <c r="EU5" s="252"/>
      <c r="EV5" s="252"/>
      <c r="EW5" s="252"/>
      <c r="EX5" s="252"/>
      <c r="EY5" s="252"/>
      <c r="EZ5" s="252"/>
      <c r="FA5" s="252"/>
      <c r="FB5" s="252"/>
      <c r="FC5" s="252"/>
      <c r="FD5" s="252"/>
      <c r="FE5" s="252"/>
      <c r="FF5" s="252"/>
      <c r="FG5" s="252"/>
      <c r="FH5" s="252"/>
      <c r="FI5" s="252"/>
      <c r="FJ5" s="252"/>
      <c r="FK5" s="252"/>
      <c r="FL5" s="252"/>
      <c r="FM5" s="252"/>
      <c r="FN5" s="252"/>
      <c r="FO5" s="252"/>
      <c r="FP5" s="252"/>
      <c r="FQ5" s="252"/>
      <c r="FR5" s="252"/>
      <c r="FS5" s="252"/>
      <c r="FT5" s="252"/>
      <c r="FU5" s="252"/>
      <c r="FV5" s="252"/>
      <c r="FW5" s="252"/>
      <c r="FX5" s="252"/>
      <c r="FY5" s="252"/>
      <c r="FZ5" s="252"/>
      <c r="GA5" s="252"/>
      <c r="GB5" s="252"/>
      <c r="GC5" s="252"/>
      <c r="GD5" s="252"/>
      <c r="GE5" s="252"/>
      <c r="GF5" s="252"/>
      <c r="GG5" s="252"/>
      <c r="GH5" s="252"/>
      <c r="GI5" s="252"/>
      <c r="GJ5" s="252"/>
      <c r="GK5" s="252"/>
      <c r="GL5" s="252"/>
      <c r="GM5" s="252"/>
      <c r="GN5" s="252"/>
      <c r="GO5" s="252"/>
      <c r="GP5" s="252"/>
      <c r="GQ5" s="252"/>
      <c r="GR5" s="252"/>
      <c r="GS5" s="252"/>
      <c r="GT5" s="252"/>
      <c r="GU5" s="252"/>
      <c r="GV5" s="252"/>
      <c r="GW5" s="252"/>
      <c r="GX5" s="252"/>
      <c r="GY5" s="252"/>
      <c r="GZ5" s="252"/>
      <c r="HA5" s="252"/>
      <c r="HB5" s="252"/>
      <c r="HC5" s="252"/>
      <c r="HD5" s="252"/>
      <c r="HE5" s="252"/>
      <c r="HF5" s="252"/>
      <c r="HG5" s="252"/>
      <c r="HH5" s="252"/>
      <c r="HI5" s="252"/>
      <c r="HJ5" s="252"/>
      <c r="HK5" s="252"/>
      <c r="HL5" s="252"/>
      <c r="HM5" s="252"/>
      <c r="HN5" s="252"/>
      <c r="HO5" s="252"/>
      <c r="HP5" s="252"/>
      <c r="HQ5" s="252"/>
      <c r="HR5" s="252"/>
      <c r="HS5" s="252"/>
      <c r="HT5" s="252"/>
      <c r="HU5" s="252"/>
      <c r="HV5" s="252"/>
      <c r="HW5" s="252"/>
      <c r="HX5" s="252"/>
      <c r="HY5" s="252"/>
      <c r="HZ5" s="252"/>
      <c r="IA5" s="252"/>
      <c r="IB5" s="252"/>
      <c r="IC5" s="252"/>
      <c r="ID5" s="252"/>
      <c r="IE5" s="252"/>
      <c r="IF5" s="252"/>
      <c r="IG5" s="252"/>
      <c r="IH5" s="252"/>
      <c r="II5" s="252"/>
      <c r="IJ5" s="252"/>
      <c r="IK5" s="252"/>
      <c r="IL5" s="252"/>
      <c r="IM5" s="252"/>
      <c r="IN5" s="252"/>
      <c r="IO5" s="252"/>
      <c r="IP5" s="252"/>
      <c r="IQ5" s="252"/>
      <c r="IR5" s="252"/>
      <c r="IS5" s="252"/>
      <c r="IT5" s="252"/>
      <c r="IU5" s="252"/>
      <c r="IV5" s="252"/>
      <c r="IW5" s="252"/>
      <c r="IX5" s="252"/>
      <c r="IY5" s="252"/>
      <c r="IZ5" s="252"/>
      <c r="JA5" s="252"/>
      <c r="JB5" s="252"/>
      <c r="JC5" s="252"/>
      <c r="JD5" s="252"/>
      <c r="JE5" s="252"/>
      <c r="JF5" s="252"/>
      <c r="JG5" s="252"/>
      <c r="JH5" s="252"/>
      <c r="JI5" s="252"/>
      <c r="JJ5" s="252"/>
      <c r="JK5" s="252"/>
      <c r="JL5" s="252"/>
      <c r="JM5" s="252"/>
      <c r="JN5" s="252"/>
      <c r="JO5" s="252"/>
      <c r="JP5" s="252"/>
      <c r="JQ5" s="252"/>
      <c r="JR5" s="252"/>
      <c r="JS5" s="252"/>
      <c r="JT5" s="252"/>
      <c r="JU5" s="252"/>
      <c r="JV5" s="252"/>
      <c r="JW5" s="252"/>
      <c r="JX5" s="252"/>
      <c r="JY5" s="252"/>
      <c r="JZ5" s="252"/>
      <c r="KA5" s="252"/>
      <c r="KB5" s="252"/>
      <c r="KC5" s="252"/>
      <c r="KD5" s="252"/>
      <c r="KE5" s="252"/>
      <c r="KF5" s="252"/>
      <c r="KG5" s="252"/>
      <c r="KH5" s="252"/>
      <c r="KI5" s="252"/>
      <c r="KJ5" s="252"/>
      <c r="KK5" s="252"/>
      <c r="KL5" s="252"/>
      <c r="KM5" s="252"/>
      <c r="KN5" s="252"/>
      <c r="KO5" s="252"/>
      <c r="KP5" s="252"/>
      <c r="KQ5" s="252"/>
      <c r="KR5" s="252"/>
      <c r="KS5" s="252"/>
      <c r="KT5" s="252"/>
      <c r="KU5" s="252"/>
      <c r="KV5" s="252"/>
      <c r="KW5" s="252"/>
      <c r="KX5" s="252"/>
      <c r="KY5" s="252"/>
      <c r="KZ5" s="252"/>
      <c r="LA5" s="252"/>
      <c r="LB5" s="252"/>
      <c r="LC5" s="252"/>
      <c r="LD5" s="252"/>
      <c r="LE5" s="252"/>
      <c r="LF5" s="252"/>
      <c r="LG5" s="252"/>
      <c r="LH5" s="252"/>
      <c r="LI5" s="252"/>
      <c r="LJ5" s="252"/>
      <c r="LK5" s="252"/>
      <c r="LL5" s="252"/>
      <c r="LM5" s="252"/>
      <c r="LN5" s="252"/>
      <c r="LO5" s="252"/>
      <c r="LP5" s="252"/>
      <c r="LQ5" s="252"/>
      <c r="LR5" s="252"/>
      <c r="LS5" s="252"/>
      <c r="LT5" s="252"/>
      <c r="LU5" s="252"/>
      <c r="LV5" s="252"/>
      <c r="LW5" s="252"/>
      <c r="LX5" s="252"/>
      <c r="LY5" s="252"/>
      <c r="LZ5" s="252"/>
      <c r="MA5" s="252"/>
      <c r="MB5" s="252"/>
      <c r="MC5" s="252"/>
      <c r="MD5" s="252"/>
      <c r="ME5" s="252"/>
      <c r="MF5" s="252"/>
      <c r="MG5" s="252"/>
      <c r="MH5" s="252"/>
      <c r="MI5" s="252"/>
      <c r="MJ5" s="252"/>
      <c r="MK5" s="252"/>
      <c r="ML5" s="252"/>
      <c r="MM5" s="252"/>
      <c r="MN5" s="252"/>
      <c r="MO5" s="252"/>
      <c r="MP5" s="252"/>
      <c r="MQ5" s="252"/>
      <c r="MR5" s="252"/>
      <c r="MS5" s="252"/>
      <c r="MT5" s="252"/>
      <c r="MU5" s="252"/>
      <c r="MV5" s="252"/>
      <c r="MW5" s="252"/>
      <c r="MX5" s="252"/>
      <c r="MY5" s="252"/>
      <c r="MZ5" s="252"/>
      <c r="NA5" s="252"/>
      <c r="NB5" s="252"/>
      <c r="NC5" s="252"/>
      <c r="ND5" s="252"/>
      <c r="NE5" s="252"/>
      <c r="NF5" s="252"/>
      <c r="NG5" s="252"/>
      <c r="NH5" s="252"/>
      <c r="NI5" s="252"/>
      <c r="NJ5" s="252"/>
      <c r="NK5" s="252"/>
      <c r="NL5" s="252"/>
      <c r="NM5" s="252"/>
      <c r="NN5" s="252"/>
      <c r="NO5" s="252"/>
      <c r="NP5" s="252"/>
      <c r="NQ5" s="252"/>
      <c r="NR5" s="252"/>
      <c r="NS5" s="252"/>
      <c r="NT5" s="252"/>
      <c r="NU5" s="252"/>
      <c r="NV5" s="252"/>
      <c r="NW5" s="252"/>
      <c r="NX5" s="252"/>
      <c r="NY5" s="252"/>
      <c r="NZ5" s="252"/>
      <c r="OA5" s="252"/>
      <c r="OB5" s="252"/>
      <c r="OC5" s="252"/>
      <c r="OD5" s="252"/>
      <c r="OE5" s="252"/>
      <c r="OF5" s="252"/>
      <c r="OG5" s="252"/>
      <c r="OH5" s="252"/>
      <c r="OI5" s="252"/>
      <c r="OJ5" s="252"/>
      <c r="OK5" s="252"/>
      <c r="OL5" s="252"/>
      <c r="OM5" s="252"/>
      <c r="ON5" s="252"/>
      <c r="OO5" s="252"/>
      <c r="OP5" s="252"/>
      <c r="OQ5" s="252"/>
      <c r="OR5" s="252"/>
      <c r="OS5" s="252"/>
      <c r="OT5" s="252"/>
      <c r="OU5" s="252"/>
      <c r="OV5" s="252"/>
      <c r="OW5" s="252"/>
      <c r="OX5" s="252"/>
      <c r="OY5" s="252"/>
      <c r="OZ5" s="252"/>
      <c r="PA5" s="252"/>
      <c r="PB5" s="252"/>
      <c r="PC5" s="252"/>
      <c r="PD5" s="252"/>
      <c r="PE5" s="252"/>
      <c r="PF5" s="252"/>
      <c r="PG5" s="252"/>
      <c r="PH5" s="252"/>
      <c r="PI5" s="252"/>
      <c r="PJ5" s="252"/>
      <c r="PK5" s="252"/>
      <c r="PL5" s="252"/>
      <c r="PM5" s="252"/>
      <c r="PN5" s="252"/>
      <c r="PO5" s="252"/>
      <c r="PP5" s="252"/>
      <c r="PQ5" s="252"/>
      <c r="PR5" s="252"/>
      <c r="PS5" s="252"/>
      <c r="PT5" s="252"/>
      <c r="PU5" s="252"/>
      <c r="PV5" s="252"/>
      <c r="PW5" s="252"/>
      <c r="PX5" s="252"/>
      <c r="PY5" s="252"/>
      <c r="PZ5" s="252"/>
      <c r="QA5" s="252"/>
      <c r="QB5" s="252"/>
      <c r="QC5" s="252"/>
      <c r="QD5" s="252"/>
      <c r="QE5" s="252"/>
      <c r="QF5" s="252"/>
      <c r="QG5" s="252"/>
      <c r="QH5" s="252"/>
      <c r="QI5" s="252"/>
      <c r="QJ5" s="252"/>
      <c r="QK5" s="252"/>
      <c r="QL5" s="252"/>
      <c r="QM5" s="252"/>
      <c r="QN5" s="252"/>
      <c r="QO5" s="252"/>
      <c r="QP5" s="252"/>
      <c r="QQ5" s="252"/>
      <c r="QR5" s="252"/>
      <c r="QS5" s="252"/>
      <c r="QT5" s="252"/>
      <c r="QU5" s="252"/>
      <c r="QV5" s="252"/>
      <c r="QW5" s="252"/>
      <c r="QX5" s="252"/>
      <c r="QY5" s="252"/>
      <c r="QZ5" s="252"/>
      <c r="RA5" s="252"/>
      <c r="RB5" s="252"/>
      <c r="RC5" s="252"/>
      <c r="RD5" s="252"/>
      <c r="RE5" s="252"/>
      <c r="RF5" s="252"/>
      <c r="RG5" s="252"/>
      <c r="RH5" s="252"/>
      <c r="RI5" s="252"/>
      <c r="RJ5" s="252"/>
      <c r="RK5" s="252"/>
      <c r="RL5" s="252"/>
      <c r="RM5" s="252"/>
      <c r="RN5" s="252"/>
      <c r="RO5" s="252"/>
      <c r="RP5" s="252"/>
      <c r="RQ5" s="252"/>
      <c r="RR5" s="252"/>
      <c r="RS5" s="252"/>
      <c r="RT5" s="252"/>
      <c r="RU5" s="252"/>
      <c r="RV5" s="252"/>
      <c r="RW5" s="252"/>
      <c r="RX5" s="252"/>
      <c r="RY5" s="252"/>
      <c r="RZ5" s="252"/>
      <c r="SA5" s="252"/>
      <c r="SB5" s="252"/>
      <c r="SC5" s="252"/>
      <c r="SD5" s="252"/>
      <c r="SE5" s="252"/>
      <c r="SF5" s="252"/>
      <c r="SG5" s="252"/>
      <c r="SH5" s="252"/>
      <c r="SI5" s="252"/>
      <c r="SJ5" s="252"/>
      <c r="SK5" s="252"/>
      <c r="SL5" s="252"/>
      <c r="SM5" s="252"/>
      <c r="SN5" s="252"/>
      <c r="SO5" s="252"/>
      <c r="SP5" s="252"/>
      <c r="SQ5" s="252"/>
      <c r="SR5" s="252"/>
      <c r="SS5" s="252"/>
      <c r="ST5" s="252"/>
      <c r="SU5" s="252"/>
      <c r="SV5" s="252"/>
      <c r="SW5" s="252"/>
      <c r="SX5" s="252"/>
      <c r="SY5" s="252"/>
      <c r="SZ5" s="252"/>
      <c r="TA5" s="252"/>
      <c r="TB5" s="252"/>
      <c r="TC5" s="252"/>
      <c r="TD5" s="252"/>
      <c r="TE5" s="252"/>
      <c r="TF5" s="252"/>
      <c r="TG5" s="252"/>
      <c r="TH5" s="252"/>
      <c r="TI5" s="252"/>
      <c r="TJ5" s="252"/>
      <c r="TK5" s="252"/>
      <c r="TL5" s="252"/>
      <c r="TM5" s="252"/>
      <c r="TN5" s="252"/>
      <c r="TO5" s="252"/>
      <c r="TP5" s="252"/>
      <c r="TQ5" s="252"/>
      <c r="TR5" s="252"/>
      <c r="TS5" s="252"/>
      <c r="TT5" s="252"/>
      <c r="TU5" s="252"/>
      <c r="TV5" s="252"/>
      <c r="TW5" s="252"/>
      <c r="TX5" s="252"/>
      <c r="TY5" s="252"/>
      <c r="TZ5" s="252"/>
      <c r="UA5" s="252"/>
      <c r="UB5" s="252"/>
      <c r="UC5" s="252"/>
      <c r="UD5" s="252"/>
      <c r="UE5" s="252"/>
      <c r="UF5" s="252"/>
      <c r="UG5" s="252"/>
      <c r="UH5" s="252"/>
      <c r="UI5" s="252"/>
      <c r="UJ5" s="252"/>
      <c r="UK5" s="252"/>
      <c r="UL5" s="252"/>
      <c r="UM5" s="252"/>
      <c r="UN5" s="252"/>
      <c r="UO5" s="252"/>
      <c r="UP5" s="252"/>
      <c r="UQ5" s="252"/>
      <c r="UR5" s="252"/>
      <c r="US5" s="252"/>
      <c r="UT5" s="252"/>
      <c r="UU5" s="252"/>
      <c r="UV5" s="252"/>
      <c r="UW5" s="252"/>
      <c r="UX5" s="252"/>
      <c r="UY5" s="252"/>
      <c r="UZ5" s="252"/>
      <c r="VA5" s="252"/>
      <c r="VB5" s="252"/>
      <c r="VC5" s="252"/>
      <c r="VD5" s="252"/>
      <c r="VE5" s="252"/>
      <c r="VF5" s="252"/>
      <c r="VG5" s="252"/>
      <c r="VH5" s="252"/>
      <c r="VI5" s="252"/>
      <c r="VJ5" s="252"/>
      <c r="VK5" s="252"/>
      <c r="VL5" s="252"/>
      <c r="VM5" s="252"/>
      <c r="VN5" s="252"/>
      <c r="VO5" s="252"/>
      <c r="VP5" s="252"/>
      <c r="VQ5" s="252"/>
      <c r="VR5" s="252"/>
      <c r="VS5" s="252"/>
      <c r="VT5" s="252"/>
      <c r="VU5" s="252"/>
      <c r="VV5" s="252"/>
      <c r="VW5" s="252"/>
      <c r="VX5" s="252"/>
      <c r="VY5" s="252"/>
      <c r="VZ5" s="252"/>
      <c r="WA5" s="252"/>
      <c r="WB5" s="252"/>
      <c r="WC5" s="252"/>
      <c r="WD5" s="252"/>
      <c r="WE5" s="252"/>
      <c r="WF5" s="252"/>
      <c r="WG5" s="252"/>
      <c r="WH5" s="252"/>
      <c r="WI5" s="252"/>
      <c r="WJ5" s="252"/>
      <c r="WK5" s="252"/>
      <c r="WL5" s="252"/>
      <c r="WM5" s="252"/>
      <c r="WN5" s="252"/>
      <c r="WO5" s="252"/>
      <c r="WP5" s="252"/>
      <c r="WQ5" s="252"/>
      <c r="WR5" s="252"/>
      <c r="WS5" s="252"/>
      <c r="WT5" s="252"/>
      <c r="WU5" s="252"/>
      <c r="WV5" s="252"/>
      <c r="WW5" s="252"/>
      <c r="WX5" s="252"/>
      <c r="WY5" s="252"/>
      <c r="WZ5" s="252"/>
      <c r="XA5" s="252"/>
      <c r="XB5" s="252"/>
      <c r="XC5" s="252"/>
      <c r="XD5" s="252"/>
      <c r="XE5" s="252"/>
      <c r="XF5" s="252"/>
      <c r="XG5" s="252"/>
      <c r="XH5" s="252"/>
      <c r="XI5" s="252"/>
      <c r="XJ5" s="252"/>
      <c r="XK5" s="252"/>
      <c r="XL5" s="252"/>
      <c r="XM5" s="252"/>
      <c r="XN5" s="252"/>
      <c r="XO5" s="252"/>
      <c r="XP5" s="252"/>
      <c r="XQ5" s="252"/>
      <c r="XR5" s="252"/>
      <c r="XS5" s="252"/>
      <c r="XT5" s="252"/>
      <c r="XU5" s="252"/>
      <c r="XV5" s="252"/>
      <c r="XW5" s="252"/>
      <c r="XX5" s="252"/>
      <c r="XY5" s="252"/>
      <c r="XZ5" s="252"/>
      <c r="YA5" s="252"/>
      <c r="YB5" s="252"/>
      <c r="YC5" s="252"/>
      <c r="YD5" s="252"/>
      <c r="YE5" s="252"/>
      <c r="YF5" s="252"/>
      <c r="YG5" s="252"/>
      <c r="YH5" s="252"/>
      <c r="YI5" s="252"/>
      <c r="YJ5" s="252"/>
      <c r="YK5" s="252"/>
      <c r="YL5" s="252"/>
      <c r="YM5" s="252"/>
      <c r="YN5" s="252"/>
      <c r="YO5" s="252"/>
      <c r="YP5" s="252"/>
      <c r="YQ5" s="252"/>
      <c r="YR5" s="252"/>
      <c r="YS5" s="252"/>
      <c r="YT5" s="252"/>
      <c r="YU5" s="252"/>
      <c r="YV5" s="252"/>
      <c r="YW5" s="252"/>
      <c r="YX5" s="252"/>
      <c r="YY5" s="252"/>
      <c r="YZ5" s="252"/>
      <c r="ZA5" s="252"/>
      <c r="ZB5" s="252"/>
      <c r="ZC5" s="252"/>
      <c r="ZD5" s="252"/>
      <c r="ZE5" s="252"/>
      <c r="ZF5" s="252"/>
      <c r="ZG5" s="252"/>
      <c r="ZH5" s="252"/>
      <c r="ZI5" s="252"/>
      <c r="ZJ5" s="252"/>
      <c r="ZK5" s="252"/>
      <c r="ZL5" s="252"/>
      <c r="ZM5" s="252"/>
      <c r="ZN5" s="252"/>
      <c r="ZO5" s="252"/>
      <c r="ZP5" s="252"/>
      <c r="ZQ5" s="252"/>
      <c r="ZR5" s="252"/>
      <c r="ZS5" s="252"/>
      <c r="ZT5" s="252"/>
      <c r="ZU5" s="252"/>
      <c r="ZV5" s="252"/>
      <c r="ZW5" s="252"/>
      <c r="ZX5" s="252"/>
      <c r="ZY5" s="252"/>
      <c r="ZZ5" s="252"/>
      <c r="AAA5" s="252"/>
      <c r="AAB5" s="252"/>
      <c r="AAC5" s="252"/>
      <c r="AAD5" s="252"/>
      <c r="AAE5" s="252"/>
      <c r="AAF5" s="252"/>
      <c r="AAG5" s="252"/>
      <c r="AAH5" s="252"/>
      <c r="AAI5" s="252"/>
      <c r="AAJ5" s="252"/>
      <c r="AAK5" s="252"/>
      <c r="AAL5" s="252"/>
      <c r="AAM5" s="252"/>
      <c r="AAN5" s="252"/>
      <c r="AAO5" s="252"/>
      <c r="AAP5" s="252"/>
      <c r="AAQ5" s="252"/>
      <c r="AAR5" s="252"/>
      <c r="AAS5" s="252"/>
      <c r="AAT5" s="252"/>
      <c r="AAU5" s="252"/>
      <c r="AAV5" s="252"/>
      <c r="AAW5" s="252"/>
      <c r="AAX5" s="252"/>
      <c r="AAY5" s="252"/>
      <c r="AAZ5" s="252"/>
      <c r="ABA5" s="252"/>
      <c r="ABB5" s="252"/>
      <c r="ABC5" s="252"/>
      <c r="ABD5" s="252"/>
      <c r="ABE5" s="252"/>
      <c r="ABF5" s="252"/>
      <c r="ABG5" s="252"/>
      <c r="ABH5" s="252"/>
      <c r="ABI5" s="252"/>
      <c r="ABJ5" s="252"/>
      <c r="ABK5" s="252"/>
      <c r="ABL5" s="252"/>
      <c r="ABM5" s="252"/>
      <c r="ABN5" s="252"/>
      <c r="ABO5" s="252"/>
      <c r="ABP5" s="252"/>
      <c r="ABQ5" s="252"/>
      <c r="ABR5" s="252"/>
      <c r="ABS5" s="252"/>
      <c r="ABT5" s="252"/>
      <c r="ABU5" s="252"/>
      <c r="ABV5" s="252"/>
      <c r="ABW5" s="252"/>
      <c r="ABX5" s="252"/>
      <c r="ABY5" s="252"/>
      <c r="ABZ5" s="252"/>
      <c r="ACA5" s="252"/>
      <c r="ACB5" s="252"/>
      <c r="ACC5" s="252"/>
      <c r="ACD5" s="252"/>
      <c r="ACE5" s="252"/>
      <c r="ACF5" s="252"/>
      <c r="ACG5" s="252"/>
      <c r="ACH5" s="252"/>
      <c r="ACI5" s="252"/>
      <c r="ACJ5" s="252"/>
      <c r="ACK5" s="252"/>
      <c r="ACL5" s="252"/>
      <c r="ACM5" s="252"/>
      <c r="ACN5" s="252"/>
      <c r="ACO5" s="252"/>
      <c r="ACP5" s="252"/>
      <c r="ACQ5" s="252"/>
      <c r="ACR5" s="252"/>
      <c r="ACS5" s="252"/>
      <c r="ACT5" s="252"/>
      <c r="ACU5" s="252"/>
      <c r="ACV5" s="252"/>
      <c r="ACW5" s="252"/>
      <c r="ACX5" s="252"/>
      <c r="ACY5" s="252"/>
      <c r="ACZ5" s="252"/>
      <c r="ADA5" s="252"/>
      <c r="ADB5" s="252"/>
      <c r="ADC5" s="252"/>
      <c r="ADD5" s="252"/>
      <c r="ADE5" s="252"/>
      <c r="ADF5" s="252"/>
      <c r="ADG5" s="252"/>
      <c r="ADH5" s="252"/>
      <c r="ADI5" s="252"/>
      <c r="ADJ5" s="252"/>
      <c r="ADK5" s="252"/>
      <c r="ADL5" s="252"/>
      <c r="ADM5" s="252"/>
      <c r="ADN5" s="252"/>
      <c r="ADO5" s="252"/>
      <c r="ADP5" s="252"/>
      <c r="ADQ5" s="252"/>
      <c r="ADR5" s="252"/>
      <c r="ADS5" s="252"/>
      <c r="ADT5" s="252"/>
      <c r="ADU5" s="252"/>
      <c r="ADV5" s="252"/>
      <c r="ADW5" s="252"/>
      <c r="ADX5" s="252"/>
      <c r="ADY5" s="252"/>
      <c r="ADZ5" s="252"/>
      <c r="AEA5" s="252"/>
      <c r="AEB5" s="252"/>
      <c r="AEC5" s="252"/>
      <c r="AED5" s="252"/>
      <c r="AEE5" s="252"/>
      <c r="AEF5" s="252"/>
      <c r="AEG5" s="252"/>
      <c r="AEH5" s="252"/>
      <c r="AEI5" s="252"/>
      <c r="AEJ5" s="252"/>
      <c r="AEK5" s="252"/>
      <c r="AEL5" s="252"/>
      <c r="AEM5" s="252"/>
      <c r="AEN5" s="252"/>
      <c r="AEO5" s="252"/>
      <c r="AEP5" s="252"/>
      <c r="AEQ5" s="252"/>
      <c r="AER5" s="252"/>
      <c r="AES5" s="252"/>
      <c r="AET5" s="252"/>
      <c r="AEU5" s="252"/>
      <c r="AEV5" s="252"/>
      <c r="AEW5" s="252"/>
      <c r="AEX5" s="252"/>
      <c r="AEY5" s="252"/>
      <c r="AEZ5" s="252"/>
      <c r="AFA5" s="252"/>
      <c r="AFB5" s="252"/>
      <c r="AFC5" s="252"/>
      <c r="AFD5" s="252"/>
      <c r="AFE5" s="252"/>
      <c r="AFF5" s="252"/>
      <c r="AFG5" s="252"/>
      <c r="AFH5" s="252"/>
      <c r="AFI5" s="252"/>
      <c r="AFJ5" s="252"/>
      <c r="AFK5" s="252"/>
      <c r="AFL5" s="252"/>
      <c r="AFM5" s="252"/>
      <c r="AFN5" s="252"/>
      <c r="AFO5" s="252"/>
      <c r="AFP5" s="252"/>
      <c r="AFQ5" s="252"/>
      <c r="AFR5" s="252"/>
      <c r="AFS5" s="252"/>
      <c r="AFT5" s="252"/>
      <c r="AFU5" s="252"/>
      <c r="AFV5" s="252"/>
      <c r="AFW5" s="252"/>
      <c r="AFX5" s="252"/>
      <c r="AFY5" s="252"/>
      <c r="AFZ5" s="252"/>
      <c r="AGA5" s="252"/>
      <c r="AGB5" s="252"/>
      <c r="AGC5" s="252"/>
      <c r="AGD5" s="252"/>
      <c r="AGE5" s="252"/>
      <c r="AGF5" s="252"/>
      <c r="AGG5" s="252"/>
      <c r="AGH5" s="252"/>
      <c r="AGI5" s="252"/>
      <c r="AGJ5" s="252"/>
      <c r="AGK5" s="252"/>
      <c r="AGL5" s="252"/>
      <c r="AGM5" s="252"/>
      <c r="AGN5" s="252"/>
      <c r="AGO5" s="252"/>
      <c r="AGP5" s="252"/>
      <c r="AGQ5" s="252"/>
      <c r="AGR5" s="252"/>
      <c r="AGS5" s="252"/>
      <c r="AGT5" s="252"/>
      <c r="AGU5" s="252"/>
      <c r="AGV5" s="252"/>
      <c r="AGW5" s="252"/>
      <c r="AGX5" s="252"/>
      <c r="AGY5" s="252"/>
      <c r="AGZ5" s="252"/>
      <c r="AHA5" s="252"/>
      <c r="AHB5" s="252"/>
      <c r="AHC5" s="252"/>
      <c r="AHD5" s="252"/>
      <c r="AHE5" s="252"/>
      <c r="AHF5" s="252"/>
      <c r="AHG5" s="252"/>
      <c r="AHH5" s="252"/>
      <c r="AHI5" s="252"/>
      <c r="AHJ5" s="252"/>
      <c r="AHK5" s="252"/>
      <c r="AHL5" s="252"/>
      <c r="AHM5" s="252"/>
      <c r="AHN5" s="252"/>
      <c r="AHO5" s="252"/>
      <c r="AHP5" s="252"/>
      <c r="AHQ5" s="252"/>
      <c r="AHR5" s="252"/>
      <c r="AHS5" s="252"/>
      <c r="AHT5" s="252"/>
      <c r="AHU5" s="252"/>
      <c r="AHV5" s="252"/>
      <c r="AHW5" s="252"/>
      <c r="AHX5" s="252"/>
      <c r="AHY5" s="252"/>
      <c r="AHZ5" s="252"/>
      <c r="AIA5" s="252"/>
      <c r="AIB5" s="252"/>
      <c r="AIC5" s="252"/>
      <c r="AID5" s="252"/>
      <c r="AIE5" s="252"/>
      <c r="AIF5" s="252"/>
      <c r="AIG5" s="252"/>
      <c r="AIH5" s="252"/>
      <c r="AII5" s="252"/>
      <c r="AIJ5" s="252"/>
      <c r="AIK5" s="252"/>
      <c r="AIL5" s="252"/>
      <c r="AIM5" s="252"/>
      <c r="AIN5" s="252"/>
      <c r="AIO5" s="252"/>
      <c r="AIP5" s="252"/>
      <c r="AIQ5" s="252"/>
      <c r="AIR5" s="252"/>
      <c r="AIS5" s="252"/>
      <c r="AIT5" s="252"/>
      <c r="AIU5" s="252"/>
      <c r="AIV5" s="252"/>
      <c r="AIW5" s="252"/>
      <c r="AIX5" s="252"/>
      <c r="AIY5" s="252"/>
      <c r="AIZ5" s="252"/>
      <c r="AJA5" s="252"/>
      <c r="AJB5" s="252"/>
      <c r="AJC5" s="252"/>
      <c r="AJD5" s="252"/>
      <c r="AJE5" s="252"/>
      <c r="AJF5" s="252"/>
      <c r="AJG5" s="252"/>
      <c r="AJH5" s="252"/>
      <c r="AJI5" s="252"/>
      <c r="AJJ5" s="252"/>
      <c r="AJK5" s="252"/>
      <c r="AJL5" s="252"/>
      <c r="AJM5" s="252"/>
      <c r="AJN5" s="252"/>
      <c r="AJO5" s="252"/>
      <c r="AJP5" s="252"/>
      <c r="AJQ5" s="252"/>
      <c r="AJR5" s="252"/>
      <c r="AJS5" s="252"/>
      <c r="AJT5" s="252"/>
      <c r="AJU5" s="252"/>
      <c r="AJV5" s="252"/>
      <c r="AJW5" s="252"/>
      <c r="AJX5" s="252"/>
      <c r="AJY5" s="252"/>
      <c r="AJZ5" s="252"/>
      <c r="AKA5" s="252"/>
      <c r="AKB5" s="252"/>
      <c r="AKC5" s="252"/>
      <c r="AKD5" s="252"/>
      <c r="AKE5" s="252"/>
      <c r="AKF5" s="252"/>
      <c r="AKG5" s="252"/>
      <c r="AKH5" s="252"/>
      <c r="AKI5" s="252"/>
      <c r="AKJ5" s="252"/>
      <c r="AKK5" s="252"/>
      <c r="AKL5" s="252"/>
      <c r="AKM5" s="252"/>
      <c r="AKN5" s="252"/>
      <c r="AKO5" s="252"/>
      <c r="AKP5" s="252"/>
      <c r="AKQ5" s="252"/>
      <c r="AKR5" s="252"/>
      <c r="AKS5" s="252"/>
      <c r="AKT5" s="252"/>
      <c r="AKU5" s="252"/>
      <c r="AKV5" s="252"/>
      <c r="AKW5" s="252"/>
      <c r="AKX5" s="252"/>
      <c r="AKY5" s="252"/>
      <c r="AKZ5" s="252"/>
      <c r="ALA5" s="252"/>
      <c r="ALB5" s="252"/>
      <c r="ALC5" s="252"/>
      <c r="ALD5" s="252"/>
      <c r="ALE5" s="252"/>
      <c r="ALF5" s="252"/>
      <c r="ALG5" s="252"/>
      <c r="ALH5" s="252"/>
      <c r="ALI5" s="252"/>
      <c r="ALJ5" s="252"/>
      <c r="ALK5" s="252"/>
      <c r="ALL5" s="252"/>
      <c r="ALM5" s="252"/>
      <c r="ALN5" s="252"/>
      <c r="ALO5" s="252"/>
      <c r="ALP5" s="252"/>
      <c r="ALQ5" s="252"/>
      <c r="ALR5" s="252"/>
      <c r="ALS5" s="252"/>
    </row>
    <row r="6" spans="1:1007" s="3" customFormat="1" x14ac:dyDescent="0.2">
      <c r="A6" s="749" t="s">
        <v>295</v>
      </c>
      <c r="B6" s="380"/>
      <c r="C6" s="380"/>
      <c r="D6" s="382">
        <v>12500</v>
      </c>
      <c r="E6" s="740">
        <v>13500</v>
      </c>
      <c r="F6" s="730"/>
      <c r="G6" s="730"/>
      <c r="H6" s="369"/>
      <c r="I6" s="736"/>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Q6" s="252"/>
      <c r="AR6" s="252"/>
      <c r="AS6" s="252"/>
      <c r="AT6" s="252"/>
      <c r="AU6" s="252"/>
      <c r="AV6" s="252"/>
      <c r="AW6" s="252"/>
      <c r="AX6" s="252"/>
      <c r="AY6" s="252"/>
      <c r="AZ6" s="252"/>
      <c r="BA6" s="252"/>
      <c r="BB6" s="252"/>
      <c r="BC6" s="252"/>
      <c r="BD6" s="252"/>
      <c r="BE6" s="252"/>
      <c r="BF6" s="252"/>
      <c r="BG6" s="252"/>
      <c r="BH6" s="252"/>
      <c r="BI6" s="252"/>
      <c r="BJ6" s="252"/>
      <c r="BK6" s="252"/>
      <c r="BL6" s="252"/>
      <c r="BM6" s="252"/>
      <c r="BN6" s="252"/>
      <c r="BO6" s="252"/>
      <c r="BP6" s="252"/>
      <c r="BQ6" s="252"/>
      <c r="BR6" s="252"/>
      <c r="BS6" s="252"/>
      <c r="BT6" s="252"/>
      <c r="BU6" s="252"/>
      <c r="BV6" s="252"/>
      <c r="BW6" s="252"/>
      <c r="BX6" s="252"/>
      <c r="BY6" s="252"/>
      <c r="BZ6" s="252"/>
      <c r="CA6" s="252"/>
      <c r="CB6" s="252"/>
      <c r="CC6" s="252"/>
      <c r="CD6" s="252"/>
      <c r="CE6" s="252"/>
      <c r="CF6" s="252"/>
      <c r="CG6" s="252"/>
      <c r="CH6" s="252"/>
      <c r="CI6" s="252"/>
      <c r="CJ6" s="252"/>
      <c r="CK6" s="252"/>
      <c r="CL6" s="252"/>
      <c r="CM6" s="252"/>
      <c r="CN6" s="252"/>
      <c r="CO6" s="252"/>
      <c r="CP6" s="252"/>
      <c r="CQ6" s="252"/>
      <c r="CR6" s="252"/>
      <c r="CS6" s="252"/>
      <c r="CT6" s="252"/>
      <c r="CU6" s="252"/>
      <c r="CV6" s="252"/>
      <c r="CW6" s="252"/>
      <c r="CX6" s="252"/>
      <c r="CY6" s="252"/>
      <c r="CZ6" s="252"/>
      <c r="DA6" s="252"/>
      <c r="DB6" s="252"/>
      <c r="DC6" s="252"/>
      <c r="DD6" s="252"/>
      <c r="DE6" s="252"/>
      <c r="DF6" s="252"/>
      <c r="DG6" s="252"/>
      <c r="DH6" s="252"/>
      <c r="DI6" s="252"/>
      <c r="DJ6" s="252"/>
      <c r="DK6" s="252"/>
      <c r="DL6" s="252"/>
      <c r="DM6" s="252"/>
      <c r="DN6" s="252"/>
      <c r="DO6" s="252"/>
      <c r="DP6" s="252"/>
      <c r="DQ6" s="252"/>
      <c r="DR6" s="252"/>
      <c r="DS6" s="252"/>
      <c r="DT6" s="252"/>
      <c r="DU6" s="252"/>
      <c r="DV6" s="252"/>
      <c r="DW6" s="252"/>
      <c r="DX6" s="252"/>
      <c r="DY6" s="252"/>
      <c r="DZ6" s="252"/>
      <c r="EA6" s="252"/>
      <c r="EB6" s="252"/>
      <c r="EC6" s="252"/>
      <c r="ED6" s="252"/>
      <c r="EE6" s="252"/>
      <c r="EF6" s="252"/>
      <c r="EG6" s="252"/>
      <c r="EH6" s="252"/>
      <c r="EI6" s="252"/>
      <c r="EJ6" s="252"/>
      <c r="EK6" s="252"/>
      <c r="EL6" s="252"/>
      <c r="EM6" s="252"/>
      <c r="EN6" s="252"/>
      <c r="EO6" s="252"/>
      <c r="EP6" s="252"/>
      <c r="EQ6" s="252"/>
      <c r="ER6" s="252"/>
      <c r="ES6" s="252"/>
      <c r="ET6" s="252"/>
      <c r="EU6" s="252"/>
      <c r="EV6" s="252"/>
      <c r="EW6" s="252"/>
      <c r="EX6" s="252"/>
      <c r="EY6" s="252"/>
      <c r="EZ6" s="252"/>
      <c r="FA6" s="252"/>
      <c r="FB6" s="252"/>
      <c r="FC6" s="252"/>
      <c r="FD6" s="252"/>
      <c r="FE6" s="252"/>
      <c r="FF6" s="252"/>
      <c r="FG6" s="252"/>
      <c r="FH6" s="252"/>
      <c r="FI6" s="252"/>
      <c r="FJ6" s="252"/>
      <c r="FK6" s="252"/>
      <c r="FL6" s="252"/>
      <c r="FM6" s="252"/>
      <c r="FN6" s="252"/>
      <c r="FO6" s="252"/>
      <c r="FP6" s="252"/>
      <c r="FQ6" s="252"/>
      <c r="FR6" s="252"/>
      <c r="FS6" s="252"/>
      <c r="FT6" s="252"/>
      <c r="FU6" s="252"/>
      <c r="FV6" s="252"/>
      <c r="FW6" s="252"/>
      <c r="FX6" s="252"/>
      <c r="FY6" s="252"/>
      <c r="FZ6" s="252"/>
      <c r="GA6" s="252"/>
      <c r="GB6" s="252"/>
      <c r="GC6" s="252"/>
      <c r="GD6" s="252"/>
      <c r="GE6" s="252"/>
      <c r="GF6" s="252"/>
      <c r="GG6" s="252"/>
      <c r="GH6" s="252"/>
      <c r="GI6" s="252"/>
      <c r="GJ6" s="252"/>
      <c r="GK6" s="252"/>
      <c r="GL6" s="252"/>
      <c r="GM6" s="252"/>
      <c r="GN6" s="252"/>
      <c r="GO6" s="252"/>
      <c r="GP6" s="252"/>
      <c r="GQ6" s="252"/>
      <c r="GR6" s="252"/>
      <c r="GS6" s="252"/>
      <c r="GT6" s="252"/>
      <c r="GU6" s="252"/>
      <c r="GV6" s="252"/>
      <c r="GW6" s="252"/>
      <c r="GX6" s="252"/>
      <c r="GY6" s="252"/>
      <c r="GZ6" s="252"/>
      <c r="HA6" s="252"/>
      <c r="HB6" s="252"/>
      <c r="HC6" s="252"/>
      <c r="HD6" s="252"/>
      <c r="HE6" s="252"/>
      <c r="HF6" s="252"/>
      <c r="HG6" s="252"/>
      <c r="HH6" s="252"/>
      <c r="HI6" s="252"/>
      <c r="HJ6" s="252"/>
      <c r="HK6" s="252"/>
      <c r="HL6" s="252"/>
      <c r="HM6" s="252"/>
      <c r="HN6" s="252"/>
      <c r="HO6" s="252"/>
      <c r="HP6" s="252"/>
      <c r="HQ6" s="252"/>
      <c r="HR6" s="252"/>
      <c r="HS6" s="252"/>
      <c r="HT6" s="252"/>
      <c r="HU6" s="252"/>
      <c r="HV6" s="252"/>
      <c r="HW6" s="252"/>
      <c r="HX6" s="252"/>
      <c r="HY6" s="252"/>
      <c r="HZ6" s="252"/>
      <c r="IA6" s="252"/>
      <c r="IB6" s="252"/>
      <c r="IC6" s="252"/>
      <c r="ID6" s="252"/>
      <c r="IE6" s="252"/>
      <c r="IF6" s="252"/>
      <c r="IG6" s="252"/>
      <c r="IH6" s="252"/>
      <c r="II6" s="252"/>
      <c r="IJ6" s="252"/>
      <c r="IK6" s="252"/>
      <c r="IL6" s="252"/>
      <c r="IM6" s="252"/>
      <c r="IN6" s="252"/>
      <c r="IO6" s="252"/>
      <c r="IP6" s="252"/>
      <c r="IQ6" s="252"/>
      <c r="IR6" s="252"/>
      <c r="IS6" s="252"/>
      <c r="IT6" s="252"/>
      <c r="IU6" s="252"/>
      <c r="IV6" s="252"/>
      <c r="IW6" s="252"/>
      <c r="IX6" s="252"/>
      <c r="IY6" s="252"/>
      <c r="IZ6" s="252"/>
      <c r="JA6" s="252"/>
      <c r="JB6" s="252"/>
      <c r="JC6" s="252"/>
      <c r="JD6" s="252"/>
      <c r="JE6" s="252"/>
      <c r="JF6" s="252"/>
      <c r="JG6" s="252"/>
      <c r="JH6" s="252"/>
      <c r="JI6" s="252"/>
      <c r="JJ6" s="252"/>
      <c r="JK6" s="252"/>
      <c r="JL6" s="252"/>
      <c r="JM6" s="252"/>
      <c r="JN6" s="252"/>
      <c r="JO6" s="252"/>
      <c r="JP6" s="252"/>
      <c r="JQ6" s="252"/>
      <c r="JR6" s="252"/>
      <c r="JS6" s="252"/>
      <c r="JT6" s="252"/>
      <c r="JU6" s="252"/>
      <c r="JV6" s="252"/>
      <c r="JW6" s="252"/>
      <c r="JX6" s="252"/>
      <c r="JY6" s="252"/>
      <c r="JZ6" s="252"/>
      <c r="KA6" s="252"/>
      <c r="KB6" s="252"/>
      <c r="KC6" s="252"/>
      <c r="KD6" s="252"/>
      <c r="KE6" s="252"/>
      <c r="KF6" s="252"/>
      <c r="KG6" s="252"/>
      <c r="KH6" s="252"/>
      <c r="KI6" s="252"/>
      <c r="KJ6" s="252"/>
      <c r="KK6" s="252"/>
      <c r="KL6" s="252"/>
      <c r="KM6" s="252"/>
      <c r="KN6" s="252"/>
      <c r="KO6" s="252"/>
      <c r="KP6" s="252"/>
      <c r="KQ6" s="252"/>
      <c r="KR6" s="252"/>
      <c r="KS6" s="252"/>
      <c r="KT6" s="252"/>
      <c r="KU6" s="252"/>
      <c r="KV6" s="252"/>
      <c r="KW6" s="252"/>
      <c r="KX6" s="252"/>
      <c r="KY6" s="252"/>
      <c r="KZ6" s="252"/>
      <c r="LA6" s="252"/>
      <c r="LB6" s="252"/>
      <c r="LC6" s="252"/>
      <c r="LD6" s="252"/>
      <c r="LE6" s="252"/>
      <c r="LF6" s="252"/>
      <c r="LG6" s="252"/>
      <c r="LH6" s="252"/>
      <c r="LI6" s="252"/>
      <c r="LJ6" s="252"/>
      <c r="LK6" s="252"/>
      <c r="LL6" s="252"/>
      <c r="LM6" s="252"/>
      <c r="LN6" s="252"/>
      <c r="LO6" s="252"/>
      <c r="LP6" s="252"/>
      <c r="LQ6" s="252"/>
      <c r="LR6" s="252"/>
      <c r="LS6" s="252"/>
      <c r="LT6" s="252"/>
      <c r="LU6" s="252"/>
      <c r="LV6" s="252"/>
      <c r="LW6" s="252"/>
      <c r="LX6" s="252"/>
      <c r="LY6" s="252"/>
      <c r="LZ6" s="252"/>
      <c r="MA6" s="252"/>
      <c r="MB6" s="252"/>
      <c r="MC6" s="252"/>
      <c r="MD6" s="252"/>
      <c r="ME6" s="252"/>
      <c r="MF6" s="252"/>
      <c r="MG6" s="252"/>
      <c r="MH6" s="252"/>
      <c r="MI6" s="252"/>
      <c r="MJ6" s="252"/>
      <c r="MK6" s="252"/>
      <c r="ML6" s="252"/>
      <c r="MM6" s="252"/>
      <c r="MN6" s="252"/>
      <c r="MO6" s="252"/>
      <c r="MP6" s="252"/>
      <c r="MQ6" s="252"/>
      <c r="MR6" s="252"/>
      <c r="MS6" s="252"/>
      <c r="MT6" s="252"/>
      <c r="MU6" s="252"/>
      <c r="MV6" s="252"/>
      <c r="MW6" s="252"/>
      <c r="MX6" s="252"/>
      <c r="MY6" s="252"/>
      <c r="MZ6" s="252"/>
      <c r="NA6" s="252"/>
      <c r="NB6" s="252"/>
      <c r="NC6" s="252"/>
      <c r="ND6" s="252"/>
      <c r="NE6" s="252"/>
      <c r="NF6" s="252"/>
      <c r="NG6" s="252"/>
      <c r="NH6" s="252"/>
      <c r="NI6" s="252"/>
      <c r="NJ6" s="252"/>
      <c r="NK6" s="252"/>
      <c r="NL6" s="252"/>
      <c r="NM6" s="252"/>
      <c r="NN6" s="252"/>
      <c r="NO6" s="252"/>
      <c r="NP6" s="252"/>
      <c r="NQ6" s="252"/>
      <c r="NR6" s="252"/>
      <c r="NS6" s="252"/>
      <c r="NT6" s="252"/>
      <c r="NU6" s="252"/>
      <c r="NV6" s="252"/>
      <c r="NW6" s="252"/>
      <c r="NX6" s="252"/>
      <c r="NY6" s="252"/>
      <c r="NZ6" s="252"/>
      <c r="OA6" s="252"/>
      <c r="OB6" s="252"/>
      <c r="OC6" s="252"/>
      <c r="OD6" s="252"/>
      <c r="OE6" s="252"/>
      <c r="OF6" s="252"/>
      <c r="OG6" s="252"/>
      <c r="OH6" s="252"/>
      <c r="OI6" s="252"/>
      <c r="OJ6" s="252"/>
      <c r="OK6" s="252"/>
      <c r="OL6" s="252"/>
      <c r="OM6" s="252"/>
      <c r="ON6" s="252"/>
      <c r="OO6" s="252"/>
      <c r="OP6" s="252"/>
      <c r="OQ6" s="252"/>
      <c r="OR6" s="252"/>
      <c r="OS6" s="252"/>
      <c r="OT6" s="252"/>
      <c r="OU6" s="252"/>
      <c r="OV6" s="252"/>
      <c r="OW6" s="252"/>
      <c r="OX6" s="252"/>
      <c r="OY6" s="252"/>
      <c r="OZ6" s="252"/>
      <c r="PA6" s="252"/>
      <c r="PB6" s="252"/>
      <c r="PC6" s="252"/>
      <c r="PD6" s="252"/>
      <c r="PE6" s="252"/>
      <c r="PF6" s="252"/>
      <c r="PG6" s="252"/>
      <c r="PH6" s="252"/>
      <c r="PI6" s="252"/>
      <c r="PJ6" s="252"/>
      <c r="PK6" s="252"/>
      <c r="PL6" s="252"/>
      <c r="PM6" s="252"/>
      <c r="PN6" s="252"/>
      <c r="PO6" s="252"/>
      <c r="PP6" s="252"/>
      <c r="PQ6" s="252"/>
      <c r="PR6" s="252"/>
      <c r="PS6" s="252"/>
      <c r="PT6" s="252"/>
      <c r="PU6" s="252"/>
      <c r="PV6" s="252"/>
      <c r="PW6" s="252"/>
      <c r="PX6" s="252"/>
      <c r="PY6" s="252"/>
      <c r="PZ6" s="252"/>
      <c r="QA6" s="252"/>
      <c r="QB6" s="252"/>
      <c r="QC6" s="252"/>
      <c r="QD6" s="252"/>
      <c r="QE6" s="252"/>
      <c r="QF6" s="252"/>
      <c r="QG6" s="252"/>
      <c r="QH6" s="252"/>
      <c r="QI6" s="252"/>
      <c r="QJ6" s="252"/>
      <c r="QK6" s="252"/>
      <c r="QL6" s="252"/>
      <c r="QM6" s="252"/>
      <c r="QN6" s="252"/>
      <c r="QO6" s="252"/>
      <c r="QP6" s="252"/>
      <c r="QQ6" s="252"/>
      <c r="QR6" s="252"/>
      <c r="QS6" s="252"/>
      <c r="QT6" s="252"/>
      <c r="QU6" s="252"/>
      <c r="QV6" s="252"/>
      <c r="QW6" s="252"/>
      <c r="QX6" s="252"/>
      <c r="QY6" s="252"/>
      <c r="QZ6" s="252"/>
      <c r="RA6" s="252"/>
      <c r="RB6" s="252"/>
      <c r="RC6" s="252"/>
      <c r="RD6" s="252"/>
      <c r="RE6" s="252"/>
      <c r="RF6" s="252"/>
      <c r="RG6" s="252"/>
      <c r="RH6" s="252"/>
      <c r="RI6" s="252"/>
      <c r="RJ6" s="252"/>
      <c r="RK6" s="252"/>
      <c r="RL6" s="252"/>
      <c r="RM6" s="252"/>
      <c r="RN6" s="252"/>
      <c r="RO6" s="252"/>
      <c r="RP6" s="252"/>
      <c r="RQ6" s="252"/>
      <c r="RR6" s="252"/>
      <c r="RS6" s="252"/>
      <c r="RT6" s="252"/>
      <c r="RU6" s="252"/>
      <c r="RV6" s="252"/>
      <c r="RW6" s="252"/>
      <c r="RX6" s="252"/>
      <c r="RY6" s="252"/>
      <c r="RZ6" s="252"/>
      <c r="SA6" s="252"/>
      <c r="SB6" s="252"/>
      <c r="SC6" s="252"/>
      <c r="SD6" s="252"/>
      <c r="SE6" s="252"/>
      <c r="SF6" s="252"/>
      <c r="SG6" s="252"/>
      <c r="SH6" s="252"/>
      <c r="SI6" s="252"/>
      <c r="SJ6" s="252"/>
      <c r="SK6" s="252"/>
      <c r="SL6" s="252"/>
      <c r="SM6" s="252"/>
      <c r="SN6" s="252"/>
      <c r="SO6" s="252"/>
      <c r="SP6" s="252"/>
      <c r="SQ6" s="252"/>
      <c r="SR6" s="252"/>
      <c r="SS6" s="252"/>
      <c r="ST6" s="252"/>
      <c r="SU6" s="252"/>
      <c r="SV6" s="252"/>
      <c r="SW6" s="252"/>
      <c r="SX6" s="252"/>
      <c r="SY6" s="252"/>
      <c r="SZ6" s="252"/>
      <c r="TA6" s="252"/>
      <c r="TB6" s="252"/>
      <c r="TC6" s="252"/>
      <c r="TD6" s="252"/>
      <c r="TE6" s="252"/>
      <c r="TF6" s="252"/>
      <c r="TG6" s="252"/>
      <c r="TH6" s="252"/>
      <c r="TI6" s="252"/>
      <c r="TJ6" s="252"/>
      <c r="TK6" s="252"/>
      <c r="TL6" s="252"/>
      <c r="TM6" s="252"/>
      <c r="TN6" s="252"/>
      <c r="TO6" s="252"/>
      <c r="TP6" s="252"/>
      <c r="TQ6" s="252"/>
      <c r="TR6" s="252"/>
      <c r="TS6" s="252"/>
      <c r="TT6" s="252"/>
      <c r="TU6" s="252"/>
      <c r="TV6" s="252"/>
      <c r="TW6" s="252"/>
      <c r="TX6" s="252"/>
      <c r="TY6" s="252"/>
      <c r="TZ6" s="252"/>
      <c r="UA6" s="252"/>
      <c r="UB6" s="252"/>
      <c r="UC6" s="252"/>
      <c r="UD6" s="252"/>
      <c r="UE6" s="252"/>
      <c r="UF6" s="252"/>
      <c r="UG6" s="252"/>
      <c r="UH6" s="252"/>
      <c r="UI6" s="252"/>
      <c r="UJ6" s="252"/>
      <c r="UK6" s="252"/>
      <c r="UL6" s="252"/>
      <c r="UM6" s="252"/>
      <c r="UN6" s="252"/>
      <c r="UO6" s="252"/>
      <c r="UP6" s="252"/>
      <c r="UQ6" s="252"/>
      <c r="UR6" s="252"/>
      <c r="US6" s="252"/>
      <c r="UT6" s="252"/>
      <c r="UU6" s="252"/>
      <c r="UV6" s="252"/>
      <c r="UW6" s="252"/>
      <c r="UX6" s="252"/>
      <c r="UY6" s="252"/>
      <c r="UZ6" s="252"/>
      <c r="VA6" s="252"/>
      <c r="VB6" s="252"/>
      <c r="VC6" s="252"/>
      <c r="VD6" s="252"/>
      <c r="VE6" s="252"/>
      <c r="VF6" s="252"/>
      <c r="VG6" s="252"/>
      <c r="VH6" s="252"/>
      <c r="VI6" s="252"/>
      <c r="VJ6" s="252"/>
      <c r="VK6" s="252"/>
      <c r="VL6" s="252"/>
      <c r="VM6" s="252"/>
      <c r="VN6" s="252"/>
      <c r="VO6" s="252"/>
      <c r="VP6" s="252"/>
      <c r="VQ6" s="252"/>
      <c r="VR6" s="252"/>
      <c r="VS6" s="252"/>
      <c r="VT6" s="252"/>
      <c r="VU6" s="252"/>
      <c r="VV6" s="252"/>
      <c r="VW6" s="252"/>
      <c r="VX6" s="252"/>
      <c r="VY6" s="252"/>
      <c r="VZ6" s="252"/>
      <c r="WA6" s="252"/>
      <c r="WB6" s="252"/>
      <c r="WC6" s="252"/>
      <c r="WD6" s="252"/>
      <c r="WE6" s="252"/>
      <c r="WF6" s="252"/>
      <c r="WG6" s="252"/>
      <c r="WH6" s="252"/>
      <c r="WI6" s="252"/>
      <c r="WJ6" s="252"/>
      <c r="WK6" s="252"/>
      <c r="WL6" s="252"/>
      <c r="WM6" s="252"/>
      <c r="WN6" s="252"/>
      <c r="WO6" s="252"/>
      <c r="WP6" s="252"/>
      <c r="WQ6" s="252"/>
      <c r="WR6" s="252"/>
      <c r="WS6" s="252"/>
      <c r="WT6" s="252"/>
      <c r="WU6" s="252"/>
      <c r="WV6" s="252"/>
      <c r="WW6" s="252"/>
      <c r="WX6" s="252"/>
      <c r="WY6" s="252"/>
      <c r="WZ6" s="252"/>
      <c r="XA6" s="252"/>
      <c r="XB6" s="252"/>
      <c r="XC6" s="252"/>
      <c r="XD6" s="252"/>
      <c r="XE6" s="252"/>
      <c r="XF6" s="252"/>
      <c r="XG6" s="252"/>
      <c r="XH6" s="252"/>
      <c r="XI6" s="252"/>
      <c r="XJ6" s="252"/>
      <c r="XK6" s="252"/>
      <c r="XL6" s="252"/>
      <c r="XM6" s="252"/>
      <c r="XN6" s="252"/>
      <c r="XO6" s="252"/>
      <c r="XP6" s="252"/>
      <c r="XQ6" s="252"/>
      <c r="XR6" s="252"/>
      <c r="XS6" s="252"/>
      <c r="XT6" s="252"/>
      <c r="XU6" s="252"/>
      <c r="XV6" s="252"/>
      <c r="XW6" s="252"/>
      <c r="XX6" s="252"/>
      <c r="XY6" s="252"/>
      <c r="XZ6" s="252"/>
      <c r="YA6" s="252"/>
      <c r="YB6" s="252"/>
      <c r="YC6" s="252"/>
      <c r="YD6" s="252"/>
      <c r="YE6" s="252"/>
      <c r="YF6" s="252"/>
      <c r="YG6" s="252"/>
      <c r="YH6" s="252"/>
      <c r="YI6" s="252"/>
      <c r="YJ6" s="252"/>
      <c r="YK6" s="252"/>
      <c r="YL6" s="252"/>
      <c r="YM6" s="252"/>
      <c r="YN6" s="252"/>
      <c r="YO6" s="252"/>
      <c r="YP6" s="252"/>
      <c r="YQ6" s="252"/>
      <c r="YR6" s="252"/>
      <c r="YS6" s="252"/>
      <c r="YT6" s="252"/>
      <c r="YU6" s="252"/>
      <c r="YV6" s="252"/>
      <c r="YW6" s="252"/>
      <c r="YX6" s="252"/>
      <c r="YY6" s="252"/>
      <c r="YZ6" s="252"/>
      <c r="ZA6" s="252"/>
      <c r="ZB6" s="252"/>
      <c r="ZC6" s="252"/>
      <c r="ZD6" s="252"/>
      <c r="ZE6" s="252"/>
      <c r="ZF6" s="252"/>
      <c r="ZG6" s="252"/>
      <c r="ZH6" s="252"/>
      <c r="ZI6" s="252"/>
      <c r="ZJ6" s="252"/>
      <c r="ZK6" s="252"/>
      <c r="ZL6" s="252"/>
      <c r="ZM6" s="252"/>
      <c r="ZN6" s="252"/>
      <c r="ZO6" s="252"/>
      <c r="ZP6" s="252"/>
      <c r="ZQ6" s="252"/>
      <c r="ZR6" s="252"/>
      <c r="ZS6" s="252"/>
      <c r="ZT6" s="252"/>
      <c r="ZU6" s="252"/>
      <c r="ZV6" s="252"/>
      <c r="ZW6" s="252"/>
      <c r="ZX6" s="252"/>
      <c r="ZY6" s="252"/>
      <c r="ZZ6" s="252"/>
      <c r="AAA6" s="252"/>
      <c r="AAB6" s="252"/>
      <c r="AAC6" s="252"/>
      <c r="AAD6" s="252"/>
      <c r="AAE6" s="252"/>
      <c r="AAF6" s="252"/>
      <c r="AAG6" s="252"/>
      <c r="AAH6" s="252"/>
      <c r="AAI6" s="252"/>
      <c r="AAJ6" s="252"/>
      <c r="AAK6" s="252"/>
      <c r="AAL6" s="252"/>
      <c r="AAM6" s="252"/>
      <c r="AAN6" s="252"/>
      <c r="AAO6" s="252"/>
      <c r="AAP6" s="252"/>
      <c r="AAQ6" s="252"/>
      <c r="AAR6" s="252"/>
      <c r="AAS6" s="252"/>
      <c r="AAT6" s="252"/>
      <c r="AAU6" s="252"/>
      <c r="AAV6" s="252"/>
      <c r="AAW6" s="252"/>
      <c r="AAX6" s="252"/>
      <c r="AAY6" s="252"/>
      <c r="AAZ6" s="252"/>
      <c r="ABA6" s="252"/>
      <c r="ABB6" s="252"/>
      <c r="ABC6" s="252"/>
      <c r="ABD6" s="252"/>
      <c r="ABE6" s="252"/>
      <c r="ABF6" s="252"/>
      <c r="ABG6" s="252"/>
      <c r="ABH6" s="252"/>
      <c r="ABI6" s="252"/>
      <c r="ABJ6" s="252"/>
      <c r="ABK6" s="252"/>
      <c r="ABL6" s="252"/>
      <c r="ABM6" s="252"/>
      <c r="ABN6" s="252"/>
      <c r="ABO6" s="252"/>
      <c r="ABP6" s="252"/>
      <c r="ABQ6" s="252"/>
      <c r="ABR6" s="252"/>
      <c r="ABS6" s="252"/>
      <c r="ABT6" s="252"/>
      <c r="ABU6" s="252"/>
      <c r="ABV6" s="252"/>
      <c r="ABW6" s="252"/>
      <c r="ABX6" s="252"/>
      <c r="ABY6" s="252"/>
      <c r="ABZ6" s="252"/>
      <c r="ACA6" s="252"/>
      <c r="ACB6" s="252"/>
      <c r="ACC6" s="252"/>
      <c r="ACD6" s="252"/>
      <c r="ACE6" s="252"/>
      <c r="ACF6" s="252"/>
      <c r="ACG6" s="252"/>
      <c r="ACH6" s="252"/>
      <c r="ACI6" s="252"/>
      <c r="ACJ6" s="252"/>
      <c r="ACK6" s="252"/>
      <c r="ACL6" s="252"/>
      <c r="ACM6" s="252"/>
      <c r="ACN6" s="252"/>
      <c r="ACO6" s="252"/>
      <c r="ACP6" s="252"/>
      <c r="ACQ6" s="252"/>
      <c r="ACR6" s="252"/>
      <c r="ACS6" s="252"/>
      <c r="ACT6" s="252"/>
      <c r="ACU6" s="252"/>
      <c r="ACV6" s="252"/>
      <c r="ACW6" s="252"/>
      <c r="ACX6" s="252"/>
      <c r="ACY6" s="252"/>
      <c r="ACZ6" s="252"/>
      <c r="ADA6" s="252"/>
      <c r="ADB6" s="252"/>
      <c r="ADC6" s="252"/>
      <c r="ADD6" s="252"/>
      <c r="ADE6" s="252"/>
      <c r="ADF6" s="252"/>
      <c r="ADG6" s="252"/>
      <c r="ADH6" s="252"/>
      <c r="ADI6" s="252"/>
      <c r="ADJ6" s="252"/>
      <c r="ADK6" s="252"/>
      <c r="ADL6" s="252"/>
      <c r="ADM6" s="252"/>
      <c r="ADN6" s="252"/>
      <c r="ADO6" s="252"/>
      <c r="ADP6" s="252"/>
      <c r="ADQ6" s="252"/>
      <c r="ADR6" s="252"/>
      <c r="ADS6" s="252"/>
      <c r="ADT6" s="252"/>
      <c r="ADU6" s="252"/>
      <c r="ADV6" s="252"/>
      <c r="ADW6" s="252"/>
      <c r="ADX6" s="252"/>
      <c r="ADY6" s="252"/>
      <c r="ADZ6" s="252"/>
      <c r="AEA6" s="252"/>
      <c r="AEB6" s="252"/>
      <c r="AEC6" s="252"/>
      <c r="AED6" s="252"/>
      <c r="AEE6" s="252"/>
      <c r="AEF6" s="252"/>
      <c r="AEG6" s="252"/>
      <c r="AEH6" s="252"/>
      <c r="AEI6" s="252"/>
      <c r="AEJ6" s="252"/>
      <c r="AEK6" s="252"/>
      <c r="AEL6" s="252"/>
      <c r="AEM6" s="252"/>
      <c r="AEN6" s="252"/>
      <c r="AEO6" s="252"/>
      <c r="AEP6" s="252"/>
      <c r="AEQ6" s="252"/>
      <c r="AER6" s="252"/>
      <c r="AES6" s="252"/>
      <c r="AET6" s="252"/>
      <c r="AEU6" s="252"/>
      <c r="AEV6" s="252"/>
      <c r="AEW6" s="252"/>
      <c r="AEX6" s="252"/>
      <c r="AEY6" s="252"/>
      <c r="AEZ6" s="252"/>
      <c r="AFA6" s="252"/>
      <c r="AFB6" s="252"/>
      <c r="AFC6" s="252"/>
      <c r="AFD6" s="252"/>
      <c r="AFE6" s="252"/>
      <c r="AFF6" s="252"/>
      <c r="AFG6" s="252"/>
      <c r="AFH6" s="252"/>
      <c r="AFI6" s="252"/>
      <c r="AFJ6" s="252"/>
      <c r="AFK6" s="252"/>
      <c r="AFL6" s="252"/>
      <c r="AFM6" s="252"/>
      <c r="AFN6" s="252"/>
      <c r="AFO6" s="252"/>
      <c r="AFP6" s="252"/>
      <c r="AFQ6" s="252"/>
      <c r="AFR6" s="252"/>
      <c r="AFS6" s="252"/>
      <c r="AFT6" s="252"/>
      <c r="AFU6" s="252"/>
      <c r="AFV6" s="252"/>
      <c r="AFW6" s="252"/>
      <c r="AFX6" s="252"/>
      <c r="AFY6" s="252"/>
      <c r="AFZ6" s="252"/>
      <c r="AGA6" s="252"/>
      <c r="AGB6" s="252"/>
      <c r="AGC6" s="252"/>
      <c r="AGD6" s="252"/>
      <c r="AGE6" s="252"/>
      <c r="AGF6" s="252"/>
      <c r="AGG6" s="252"/>
      <c r="AGH6" s="252"/>
      <c r="AGI6" s="252"/>
      <c r="AGJ6" s="252"/>
      <c r="AGK6" s="252"/>
      <c r="AGL6" s="252"/>
      <c r="AGM6" s="252"/>
      <c r="AGN6" s="252"/>
      <c r="AGO6" s="252"/>
      <c r="AGP6" s="252"/>
      <c r="AGQ6" s="252"/>
      <c r="AGR6" s="252"/>
      <c r="AGS6" s="252"/>
      <c r="AGT6" s="252"/>
      <c r="AGU6" s="252"/>
      <c r="AGV6" s="252"/>
      <c r="AGW6" s="252"/>
      <c r="AGX6" s="252"/>
      <c r="AGY6" s="252"/>
      <c r="AGZ6" s="252"/>
      <c r="AHA6" s="252"/>
      <c r="AHB6" s="252"/>
      <c r="AHC6" s="252"/>
      <c r="AHD6" s="252"/>
      <c r="AHE6" s="252"/>
      <c r="AHF6" s="252"/>
      <c r="AHG6" s="252"/>
      <c r="AHH6" s="252"/>
      <c r="AHI6" s="252"/>
      <c r="AHJ6" s="252"/>
      <c r="AHK6" s="252"/>
      <c r="AHL6" s="252"/>
      <c r="AHM6" s="252"/>
      <c r="AHN6" s="252"/>
      <c r="AHO6" s="252"/>
      <c r="AHP6" s="252"/>
      <c r="AHQ6" s="252"/>
      <c r="AHR6" s="252"/>
      <c r="AHS6" s="252"/>
      <c r="AHT6" s="252"/>
      <c r="AHU6" s="252"/>
      <c r="AHV6" s="252"/>
      <c r="AHW6" s="252"/>
      <c r="AHX6" s="252"/>
      <c r="AHY6" s="252"/>
      <c r="AHZ6" s="252"/>
      <c r="AIA6" s="252"/>
      <c r="AIB6" s="252"/>
      <c r="AIC6" s="252"/>
      <c r="AID6" s="252"/>
      <c r="AIE6" s="252"/>
      <c r="AIF6" s="252"/>
      <c r="AIG6" s="252"/>
      <c r="AIH6" s="252"/>
      <c r="AII6" s="252"/>
      <c r="AIJ6" s="252"/>
      <c r="AIK6" s="252"/>
      <c r="AIL6" s="252"/>
      <c r="AIM6" s="252"/>
      <c r="AIN6" s="252"/>
      <c r="AIO6" s="252"/>
      <c r="AIP6" s="252"/>
      <c r="AIQ6" s="252"/>
      <c r="AIR6" s="252"/>
      <c r="AIS6" s="252"/>
      <c r="AIT6" s="252"/>
      <c r="AIU6" s="252"/>
      <c r="AIV6" s="252"/>
      <c r="AIW6" s="252"/>
      <c r="AIX6" s="252"/>
      <c r="AIY6" s="252"/>
      <c r="AIZ6" s="252"/>
      <c r="AJA6" s="252"/>
      <c r="AJB6" s="252"/>
      <c r="AJC6" s="252"/>
      <c r="AJD6" s="252"/>
      <c r="AJE6" s="252"/>
      <c r="AJF6" s="252"/>
      <c r="AJG6" s="252"/>
      <c r="AJH6" s="252"/>
      <c r="AJI6" s="252"/>
      <c r="AJJ6" s="252"/>
      <c r="AJK6" s="252"/>
      <c r="AJL6" s="252"/>
      <c r="AJM6" s="252"/>
      <c r="AJN6" s="252"/>
      <c r="AJO6" s="252"/>
      <c r="AJP6" s="252"/>
      <c r="AJQ6" s="252"/>
      <c r="AJR6" s="252"/>
      <c r="AJS6" s="252"/>
      <c r="AJT6" s="252"/>
      <c r="AJU6" s="252"/>
      <c r="AJV6" s="252"/>
      <c r="AJW6" s="252"/>
      <c r="AJX6" s="252"/>
      <c r="AJY6" s="252"/>
      <c r="AJZ6" s="252"/>
      <c r="AKA6" s="252"/>
      <c r="AKB6" s="252"/>
      <c r="AKC6" s="252"/>
      <c r="AKD6" s="252"/>
      <c r="AKE6" s="252"/>
      <c r="AKF6" s="252"/>
      <c r="AKG6" s="252"/>
      <c r="AKH6" s="252"/>
      <c r="AKI6" s="252"/>
      <c r="AKJ6" s="252"/>
      <c r="AKK6" s="252"/>
      <c r="AKL6" s="252"/>
      <c r="AKM6" s="252"/>
      <c r="AKN6" s="252"/>
      <c r="AKO6" s="252"/>
      <c r="AKP6" s="252"/>
      <c r="AKQ6" s="252"/>
      <c r="AKR6" s="252"/>
      <c r="AKS6" s="252"/>
      <c r="AKT6" s="252"/>
      <c r="AKU6" s="252"/>
      <c r="AKV6" s="252"/>
      <c r="AKW6" s="252"/>
      <c r="AKX6" s="252"/>
      <c r="AKY6" s="252"/>
      <c r="AKZ6" s="252"/>
      <c r="ALA6" s="252"/>
      <c r="ALB6" s="252"/>
      <c r="ALC6" s="252"/>
      <c r="ALD6" s="252"/>
      <c r="ALE6" s="252"/>
      <c r="ALF6" s="252"/>
      <c r="ALG6" s="252"/>
      <c r="ALH6" s="252"/>
      <c r="ALI6" s="252"/>
      <c r="ALJ6" s="252"/>
      <c r="ALK6" s="252"/>
      <c r="ALL6" s="252"/>
      <c r="ALM6" s="252"/>
      <c r="ALN6" s="252"/>
      <c r="ALO6" s="252"/>
      <c r="ALP6" s="252"/>
      <c r="ALQ6" s="252"/>
      <c r="ALR6" s="252"/>
      <c r="ALS6" s="252"/>
    </row>
    <row r="7" spans="1:1007" s="3" customFormat="1" x14ac:dyDescent="0.2">
      <c r="A7" s="749" t="s">
        <v>296</v>
      </c>
      <c r="B7" s="380"/>
      <c r="C7" s="380"/>
      <c r="D7" s="382">
        <v>14500</v>
      </c>
      <c r="E7" s="740">
        <v>15100</v>
      </c>
      <c r="F7" s="730"/>
      <c r="G7" s="730"/>
      <c r="H7" s="369"/>
      <c r="I7" s="730"/>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2"/>
      <c r="AY7" s="252"/>
      <c r="AZ7" s="252"/>
      <c r="BA7" s="252"/>
      <c r="BB7" s="252"/>
      <c r="BC7" s="252"/>
      <c r="BD7" s="252"/>
      <c r="BE7" s="252"/>
      <c r="BF7" s="252"/>
      <c r="BG7" s="252"/>
      <c r="BH7" s="252"/>
      <c r="BI7" s="252"/>
      <c r="BJ7" s="252"/>
      <c r="BK7" s="252"/>
      <c r="BL7" s="252"/>
      <c r="BM7" s="252"/>
      <c r="BN7" s="252"/>
      <c r="BO7" s="252"/>
      <c r="BP7" s="252"/>
      <c r="BQ7" s="252"/>
      <c r="BR7" s="252"/>
      <c r="BS7" s="252"/>
      <c r="BT7" s="252"/>
      <c r="BU7" s="252"/>
      <c r="BV7" s="252"/>
      <c r="BW7" s="252"/>
      <c r="BX7" s="252"/>
      <c r="BY7" s="252"/>
      <c r="BZ7" s="252"/>
      <c r="CA7" s="252"/>
      <c r="CB7" s="252"/>
      <c r="CC7" s="252"/>
      <c r="CD7" s="252"/>
      <c r="CE7" s="252"/>
      <c r="CF7" s="252"/>
      <c r="CG7" s="252"/>
      <c r="CH7" s="252"/>
      <c r="CI7" s="252"/>
      <c r="CJ7" s="252"/>
      <c r="CK7" s="252"/>
      <c r="CL7" s="252"/>
      <c r="CM7" s="252"/>
      <c r="CN7" s="252"/>
      <c r="CO7" s="252"/>
      <c r="CP7" s="252"/>
      <c r="CQ7" s="252"/>
      <c r="CR7" s="252"/>
      <c r="CS7" s="252"/>
      <c r="CT7" s="252"/>
      <c r="CU7" s="252"/>
      <c r="CV7" s="252"/>
      <c r="CW7" s="252"/>
      <c r="CX7" s="252"/>
      <c r="CY7" s="252"/>
      <c r="CZ7" s="252"/>
      <c r="DA7" s="252"/>
      <c r="DB7" s="252"/>
      <c r="DC7" s="252"/>
      <c r="DD7" s="252"/>
      <c r="DE7" s="252"/>
      <c r="DF7" s="252"/>
      <c r="DG7" s="252"/>
      <c r="DH7" s="252"/>
      <c r="DI7" s="252"/>
      <c r="DJ7" s="252"/>
      <c r="DK7" s="252"/>
      <c r="DL7" s="252"/>
      <c r="DM7" s="252"/>
      <c r="DN7" s="252"/>
      <c r="DO7" s="252"/>
      <c r="DP7" s="252"/>
      <c r="DQ7" s="252"/>
      <c r="DR7" s="252"/>
      <c r="DS7" s="252"/>
      <c r="DT7" s="252"/>
      <c r="DU7" s="252"/>
      <c r="DV7" s="252"/>
      <c r="DW7" s="252"/>
      <c r="DX7" s="252"/>
      <c r="DY7" s="252"/>
      <c r="DZ7" s="252"/>
      <c r="EA7" s="252"/>
      <c r="EB7" s="252"/>
      <c r="EC7" s="252"/>
      <c r="ED7" s="252"/>
      <c r="EE7" s="252"/>
      <c r="EF7" s="252"/>
      <c r="EG7" s="252"/>
      <c r="EH7" s="252"/>
      <c r="EI7" s="252"/>
      <c r="EJ7" s="252"/>
      <c r="EK7" s="252"/>
      <c r="EL7" s="252"/>
      <c r="EM7" s="252"/>
      <c r="EN7" s="252"/>
      <c r="EO7" s="252"/>
      <c r="EP7" s="252"/>
      <c r="EQ7" s="252"/>
      <c r="ER7" s="252"/>
      <c r="ES7" s="252"/>
      <c r="ET7" s="252"/>
      <c r="EU7" s="252"/>
      <c r="EV7" s="252"/>
      <c r="EW7" s="252"/>
      <c r="EX7" s="252"/>
      <c r="EY7" s="252"/>
      <c r="EZ7" s="252"/>
      <c r="FA7" s="252"/>
      <c r="FB7" s="252"/>
      <c r="FC7" s="252"/>
      <c r="FD7" s="252"/>
      <c r="FE7" s="252"/>
      <c r="FF7" s="252"/>
      <c r="FG7" s="252"/>
      <c r="FH7" s="252"/>
      <c r="FI7" s="252"/>
      <c r="FJ7" s="252"/>
      <c r="FK7" s="252"/>
      <c r="FL7" s="252"/>
      <c r="FM7" s="252"/>
      <c r="FN7" s="252"/>
      <c r="FO7" s="252"/>
      <c r="FP7" s="252"/>
      <c r="FQ7" s="252"/>
      <c r="FR7" s="252"/>
      <c r="FS7" s="252"/>
      <c r="FT7" s="252"/>
      <c r="FU7" s="252"/>
      <c r="FV7" s="252"/>
      <c r="FW7" s="252"/>
      <c r="FX7" s="252"/>
      <c r="FY7" s="252"/>
      <c r="FZ7" s="252"/>
      <c r="GA7" s="252"/>
      <c r="GB7" s="252"/>
      <c r="GC7" s="252"/>
      <c r="GD7" s="252"/>
      <c r="GE7" s="252"/>
      <c r="GF7" s="252"/>
      <c r="GG7" s="252"/>
      <c r="GH7" s="252"/>
      <c r="GI7" s="252"/>
      <c r="GJ7" s="252"/>
      <c r="GK7" s="252"/>
      <c r="GL7" s="252"/>
      <c r="GM7" s="252"/>
      <c r="GN7" s="252"/>
      <c r="GO7" s="252"/>
      <c r="GP7" s="252"/>
      <c r="GQ7" s="252"/>
      <c r="GR7" s="252"/>
      <c r="GS7" s="252"/>
      <c r="GT7" s="252"/>
      <c r="GU7" s="252"/>
      <c r="GV7" s="252"/>
      <c r="GW7" s="252"/>
      <c r="GX7" s="252"/>
      <c r="GY7" s="252"/>
      <c r="GZ7" s="252"/>
      <c r="HA7" s="252"/>
      <c r="HB7" s="252"/>
      <c r="HC7" s="252"/>
      <c r="HD7" s="252"/>
      <c r="HE7" s="252"/>
      <c r="HF7" s="252"/>
      <c r="HG7" s="252"/>
      <c r="HH7" s="252"/>
      <c r="HI7" s="252"/>
      <c r="HJ7" s="252"/>
      <c r="HK7" s="252"/>
      <c r="HL7" s="252"/>
      <c r="HM7" s="252"/>
      <c r="HN7" s="252"/>
      <c r="HO7" s="252"/>
      <c r="HP7" s="252"/>
      <c r="HQ7" s="252"/>
      <c r="HR7" s="252"/>
      <c r="HS7" s="252"/>
      <c r="HT7" s="252"/>
      <c r="HU7" s="252"/>
      <c r="HV7" s="252"/>
      <c r="HW7" s="252"/>
      <c r="HX7" s="252"/>
      <c r="HY7" s="252"/>
      <c r="HZ7" s="252"/>
      <c r="IA7" s="252"/>
      <c r="IB7" s="252"/>
      <c r="IC7" s="252"/>
      <c r="ID7" s="252"/>
      <c r="IE7" s="252"/>
      <c r="IF7" s="252"/>
      <c r="IG7" s="252"/>
      <c r="IH7" s="252"/>
      <c r="II7" s="252"/>
      <c r="IJ7" s="252"/>
      <c r="IK7" s="252"/>
      <c r="IL7" s="252"/>
      <c r="IM7" s="252"/>
      <c r="IN7" s="252"/>
      <c r="IO7" s="252"/>
      <c r="IP7" s="252"/>
      <c r="IQ7" s="252"/>
      <c r="IR7" s="252"/>
      <c r="IS7" s="252"/>
      <c r="IT7" s="252"/>
      <c r="IU7" s="252"/>
      <c r="IV7" s="252"/>
      <c r="IW7" s="252"/>
      <c r="IX7" s="252"/>
      <c r="IY7" s="252"/>
      <c r="IZ7" s="252"/>
      <c r="JA7" s="252"/>
      <c r="JB7" s="252"/>
      <c r="JC7" s="252"/>
      <c r="JD7" s="252"/>
      <c r="JE7" s="252"/>
      <c r="JF7" s="252"/>
      <c r="JG7" s="252"/>
      <c r="JH7" s="252"/>
      <c r="JI7" s="252"/>
      <c r="JJ7" s="252"/>
      <c r="JK7" s="252"/>
      <c r="JL7" s="252"/>
      <c r="JM7" s="252"/>
      <c r="JN7" s="252"/>
      <c r="JO7" s="252"/>
      <c r="JP7" s="252"/>
      <c r="JQ7" s="252"/>
      <c r="JR7" s="252"/>
      <c r="JS7" s="252"/>
      <c r="JT7" s="252"/>
      <c r="JU7" s="252"/>
      <c r="JV7" s="252"/>
      <c r="JW7" s="252"/>
      <c r="JX7" s="252"/>
      <c r="JY7" s="252"/>
      <c r="JZ7" s="252"/>
      <c r="KA7" s="252"/>
      <c r="KB7" s="252"/>
      <c r="KC7" s="252"/>
      <c r="KD7" s="252"/>
      <c r="KE7" s="252"/>
      <c r="KF7" s="252"/>
      <c r="KG7" s="252"/>
      <c r="KH7" s="252"/>
      <c r="KI7" s="252"/>
      <c r="KJ7" s="252"/>
      <c r="KK7" s="252"/>
      <c r="KL7" s="252"/>
      <c r="KM7" s="252"/>
      <c r="KN7" s="252"/>
      <c r="KO7" s="252"/>
      <c r="KP7" s="252"/>
      <c r="KQ7" s="252"/>
      <c r="KR7" s="252"/>
      <c r="KS7" s="252"/>
      <c r="KT7" s="252"/>
      <c r="KU7" s="252"/>
      <c r="KV7" s="252"/>
      <c r="KW7" s="252"/>
      <c r="KX7" s="252"/>
      <c r="KY7" s="252"/>
      <c r="KZ7" s="252"/>
      <c r="LA7" s="252"/>
      <c r="LB7" s="252"/>
      <c r="LC7" s="252"/>
      <c r="LD7" s="252"/>
      <c r="LE7" s="252"/>
      <c r="LF7" s="252"/>
      <c r="LG7" s="252"/>
      <c r="LH7" s="252"/>
      <c r="LI7" s="252"/>
      <c r="LJ7" s="252"/>
      <c r="LK7" s="252"/>
      <c r="LL7" s="252"/>
      <c r="LM7" s="252"/>
      <c r="LN7" s="252"/>
      <c r="LO7" s="252"/>
      <c r="LP7" s="252"/>
      <c r="LQ7" s="252"/>
      <c r="LR7" s="252"/>
      <c r="LS7" s="252"/>
      <c r="LT7" s="252"/>
      <c r="LU7" s="252"/>
      <c r="LV7" s="252"/>
      <c r="LW7" s="252"/>
      <c r="LX7" s="252"/>
      <c r="LY7" s="252"/>
      <c r="LZ7" s="252"/>
      <c r="MA7" s="252"/>
      <c r="MB7" s="252"/>
      <c r="MC7" s="252"/>
      <c r="MD7" s="252"/>
      <c r="ME7" s="252"/>
      <c r="MF7" s="252"/>
      <c r="MG7" s="252"/>
      <c r="MH7" s="252"/>
      <c r="MI7" s="252"/>
      <c r="MJ7" s="252"/>
      <c r="MK7" s="252"/>
      <c r="ML7" s="252"/>
      <c r="MM7" s="252"/>
      <c r="MN7" s="252"/>
      <c r="MO7" s="252"/>
      <c r="MP7" s="252"/>
      <c r="MQ7" s="252"/>
      <c r="MR7" s="252"/>
      <c r="MS7" s="252"/>
      <c r="MT7" s="252"/>
      <c r="MU7" s="252"/>
      <c r="MV7" s="252"/>
      <c r="MW7" s="252"/>
      <c r="MX7" s="252"/>
      <c r="MY7" s="252"/>
      <c r="MZ7" s="252"/>
      <c r="NA7" s="252"/>
      <c r="NB7" s="252"/>
      <c r="NC7" s="252"/>
      <c r="ND7" s="252"/>
      <c r="NE7" s="252"/>
      <c r="NF7" s="252"/>
      <c r="NG7" s="252"/>
      <c r="NH7" s="252"/>
      <c r="NI7" s="252"/>
      <c r="NJ7" s="252"/>
      <c r="NK7" s="252"/>
      <c r="NL7" s="252"/>
      <c r="NM7" s="252"/>
      <c r="NN7" s="252"/>
      <c r="NO7" s="252"/>
      <c r="NP7" s="252"/>
      <c r="NQ7" s="252"/>
      <c r="NR7" s="252"/>
      <c r="NS7" s="252"/>
      <c r="NT7" s="252"/>
      <c r="NU7" s="252"/>
      <c r="NV7" s="252"/>
      <c r="NW7" s="252"/>
      <c r="NX7" s="252"/>
      <c r="NY7" s="252"/>
      <c r="NZ7" s="252"/>
      <c r="OA7" s="252"/>
      <c r="OB7" s="252"/>
      <c r="OC7" s="252"/>
      <c r="OD7" s="252"/>
      <c r="OE7" s="252"/>
      <c r="OF7" s="252"/>
      <c r="OG7" s="252"/>
      <c r="OH7" s="252"/>
      <c r="OI7" s="252"/>
      <c r="OJ7" s="252"/>
      <c r="OK7" s="252"/>
      <c r="OL7" s="252"/>
      <c r="OM7" s="252"/>
      <c r="ON7" s="252"/>
      <c r="OO7" s="252"/>
      <c r="OP7" s="252"/>
      <c r="OQ7" s="252"/>
      <c r="OR7" s="252"/>
      <c r="OS7" s="252"/>
      <c r="OT7" s="252"/>
      <c r="OU7" s="252"/>
      <c r="OV7" s="252"/>
      <c r="OW7" s="252"/>
      <c r="OX7" s="252"/>
      <c r="OY7" s="252"/>
      <c r="OZ7" s="252"/>
      <c r="PA7" s="252"/>
      <c r="PB7" s="252"/>
      <c r="PC7" s="252"/>
      <c r="PD7" s="252"/>
      <c r="PE7" s="252"/>
      <c r="PF7" s="252"/>
      <c r="PG7" s="252"/>
      <c r="PH7" s="252"/>
      <c r="PI7" s="252"/>
      <c r="PJ7" s="252"/>
      <c r="PK7" s="252"/>
      <c r="PL7" s="252"/>
      <c r="PM7" s="252"/>
      <c r="PN7" s="252"/>
      <c r="PO7" s="252"/>
      <c r="PP7" s="252"/>
      <c r="PQ7" s="252"/>
      <c r="PR7" s="252"/>
      <c r="PS7" s="252"/>
      <c r="PT7" s="252"/>
      <c r="PU7" s="252"/>
      <c r="PV7" s="252"/>
      <c r="PW7" s="252"/>
      <c r="PX7" s="252"/>
      <c r="PY7" s="252"/>
      <c r="PZ7" s="252"/>
      <c r="QA7" s="252"/>
      <c r="QB7" s="252"/>
      <c r="QC7" s="252"/>
      <c r="QD7" s="252"/>
      <c r="QE7" s="252"/>
      <c r="QF7" s="252"/>
      <c r="QG7" s="252"/>
      <c r="QH7" s="252"/>
      <c r="QI7" s="252"/>
      <c r="QJ7" s="252"/>
      <c r="QK7" s="252"/>
      <c r="QL7" s="252"/>
      <c r="QM7" s="252"/>
      <c r="QN7" s="252"/>
      <c r="QO7" s="252"/>
      <c r="QP7" s="252"/>
      <c r="QQ7" s="252"/>
      <c r="QR7" s="252"/>
      <c r="QS7" s="252"/>
      <c r="QT7" s="252"/>
      <c r="QU7" s="252"/>
      <c r="QV7" s="252"/>
      <c r="QW7" s="252"/>
      <c r="QX7" s="252"/>
      <c r="QY7" s="252"/>
      <c r="QZ7" s="252"/>
      <c r="RA7" s="252"/>
      <c r="RB7" s="252"/>
      <c r="RC7" s="252"/>
      <c r="RD7" s="252"/>
      <c r="RE7" s="252"/>
      <c r="RF7" s="252"/>
      <c r="RG7" s="252"/>
      <c r="RH7" s="252"/>
      <c r="RI7" s="252"/>
      <c r="RJ7" s="252"/>
      <c r="RK7" s="252"/>
      <c r="RL7" s="252"/>
      <c r="RM7" s="252"/>
      <c r="RN7" s="252"/>
      <c r="RO7" s="252"/>
      <c r="RP7" s="252"/>
      <c r="RQ7" s="252"/>
      <c r="RR7" s="252"/>
      <c r="RS7" s="252"/>
      <c r="RT7" s="252"/>
      <c r="RU7" s="252"/>
      <c r="RV7" s="252"/>
      <c r="RW7" s="252"/>
      <c r="RX7" s="252"/>
      <c r="RY7" s="252"/>
      <c r="RZ7" s="252"/>
      <c r="SA7" s="252"/>
      <c r="SB7" s="252"/>
      <c r="SC7" s="252"/>
      <c r="SD7" s="252"/>
      <c r="SE7" s="252"/>
      <c r="SF7" s="252"/>
      <c r="SG7" s="252"/>
      <c r="SH7" s="252"/>
      <c r="SI7" s="252"/>
      <c r="SJ7" s="252"/>
      <c r="SK7" s="252"/>
      <c r="SL7" s="252"/>
      <c r="SM7" s="252"/>
      <c r="SN7" s="252"/>
      <c r="SO7" s="252"/>
      <c r="SP7" s="252"/>
      <c r="SQ7" s="252"/>
      <c r="SR7" s="252"/>
      <c r="SS7" s="252"/>
      <c r="ST7" s="252"/>
      <c r="SU7" s="252"/>
      <c r="SV7" s="252"/>
      <c r="SW7" s="252"/>
      <c r="SX7" s="252"/>
      <c r="SY7" s="252"/>
      <c r="SZ7" s="252"/>
      <c r="TA7" s="252"/>
      <c r="TB7" s="252"/>
      <c r="TC7" s="252"/>
      <c r="TD7" s="252"/>
      <c r="TE7" s="252"/>
      <c r="TF7" s="252"/>
      <c r="TG7" s="252"/>
      <c r="TH7" s="252"/>
      <c r="TI7" s="252"/>
      <c r="TJ7" s="252"/>
      <c r="TK7" s="252"/>
      <c r="TL7" s="252"/>
      <c r="TM7" s="252"/>
      <c r="TN7" s="252"/>
      <c r="TO7" s="252"/>
      <c r="TP7" s="252"/>
      <c r="TQ7" s="252"/>
      <c r="TR7" s="252"/>
      <c r="TS7" s="252"/>
      <c r="TT7" s="252"/>
      <c r="TU7" s="252"/>
      <c r="TV7" s="252"/>
      <c r="TW7" s="252"/>
      <c r="TX7" s="252"/>
      <c r="TY7" s="252"/>
      <c r="TZ7" s="252"/>
      <c r="UA7" s="252"/>
      <c r="UB7" s="252"/>
      <c r="UC7" s="252"/>
      <c r="UD7" s="252"/>
      <c r="UE7" s="252"/>
      <c r="UF7" s="252"/>
      <c r="UG7" s="252"/>
      <c r="UH7" s="252"/>
      <c r="UI7" s="252"/>
      <c r="UJ7" s="252"/>
      <c r="UK7" s="252"/>
      <c r="UL7" s="252"/>
      <c r="UM7" s="252"/>
      <c r="UN7" s="252"/>
      <c r="UO7" s="252"/>
      <c r="UP7" s="252"/>
      <c r="UQ7" s="252"/>
      <c r="UR7" s="252"/>
      <c r="US7" s="252"/>
      <c r="UT7" s="252"/>
      <c r="UU7" s="252"/>
      <c r="UV7" s="252"/>
      <c r="UW7" s="252"/>
      <c r="UX7" s="252"/>
      <c r="UY7" s="252"/>
      <c r="UZ7" s="252"/>
      <c r="VA7" s="252"/>
      <c r="VB7" s="252"/>
      <c r="VC7" s="252"/>
      <c r="VD7" s="252"/>
      <c r="VE7" s="252"/>
      <c r="VF7" s="252"/>
      <c r="VG7" s="252"/>
      <c r="VH7" s="252"/>
      <c r="VI7" s="252"/>
      <c r="VJ7" s="252"/>
      <c r="VK7" s="252"/>
      <c r="VL7" s="252"/>
      <c r="VM7" s="252"/>
      <c r="VN7" s="252"/>
      <c r="VO7" s="252"/>
      <c r="VP7" s="252"/>
      <c r="VQ7" s="252"/>
      <c r="VR7" s="252"/>
      <c r="VS7" s="252"/>
      <c r="VT7" s="252"/>
      <c r="VU7" s="252"/>
      <c r="VV7" s="252"/>
      <c r="VW7" s="252"/>
      <c r="VX7" s="252"/>
      <c r="VY7" s="252"/>
      <c r="VZ7" s="252"/>
      <c r="WA7" s="252"/>
      <c r="WB7" s="252"/>
      <c r="WC7" s="252"/>
      <c r="WD7" s="252"/>
      <c r="WE7" s="252"/>
      <c r="WF7" s="252"/>
      <c r="WG7" s="252"/>
      <c r="WH7" s="252"/>
      <c r="WI7" s="252"/>
      <c r="WJ7" s="252"/>
      <c r="WK7" s="252"/>
      <c r="WL7" s="252"/>
      <c r="WM7" s="252"/>
      <c r="WN7" s="252"/>
      <c r="WO7" s="252"/>
      <c r="WP7" s="252"/>
      <c r="WQ7" s="252"/>
      <c r="WR7" s="252"/>
      <c r="WS7" s="252"/>
      <c r="WT7" s="252"/>
      <c r="WU7" s="252"/>
      <c r="WV7" s="252"/>
      <c r="WW7" s="252"/>
      <c r="WX7" s="252"/>
      <c r="WY7" s="252"/>
      <c r="WZ7" s="252"/>
      <c r="XA7" s="252"/>
      <c r="XB7" s="252"/>
      <c r="XC7" s="252"/>
      <c r="XD7" s="252"/>
      <c r="XE7" s="252"/>
      <c r="XF7" s="252"/>
      <c r="XG7" s="252"/>
      <c r="XH7" s="252"/>
      <c r="XI7" s="252"/>
      <c r="XJ7" s="252"/>
      <c r="XK7" s="252"/>
      <c r="XL7" s="252"/>
      <c r="XM7" s="252"/>
      <c r="XN7" s="252"/>
      <c r="XO7" s="252"/>
      <c r="XP7" s="252"/>
      <c r="XQ7" s="252"/>
      <c r="XR7" s="252"/>
      <c r="XS7" s="252"/>
      <c r="XT7" s="252"/>
      <c r="XU7" s="252"/>
      <c r="XV7" s="252"/>
      <c r="XW7" s="252"/>
      <c r="XX7" s="252"/>
      <c r="XY7" s="252"/>
      <c r="XZ7" s="252"/>
      <c r="YA7" s="252"/>
      <c r="YB7" s="252"/>
      <c r="YC7" s="252"/>
      <c r="YD7" s="252"/>
      <c r="YE7" s="252"/>
      <c r="YF7" s="252"/>
      <c r="YG7" s="252"/>
      <c r="YH7" s="252"/>
      <c r="YI7" s="252"/>
      <c r="YJ7" s="252"/>
      <c r="YK7" s="252"/>
      <c r="YL7" s="252"/>
      <c r="YM7" s="252"/>
      <c r="YN7" s="252"/>
      <c r="YO7" s="252"/>
      <c r="YP7" s="252"/>
      <c r="YQ7" s="252"/>
      <c r="YR7" s="252"/>
      <c r="YS7" s="252"/>
      <c r="YT7" s="252"/>
      <c r="YU7" s="252"/>
      <c r="YV7" s="252"/>
      <c r="YW7" s="252"/>
      <c r="YX7" s="252"/>
      <c r="YY7" s="252"/>
      <c r="YZ7" s="252"/>
      <c r="ZA7" s="252"/>
      <c r="ZB7" s="252"/>
      <c r="ZC7" s="252"/>
      <c r="ZD7" s="252"/>
      <c r="ZE7" s="252"/>
      <c r="ZF7" s="252"/>
      <c r="ZG7" s="252"/>
      <c r="ZH7" s="252"/>
      <c r="ZI7" s="252"/>
      <c r="ZJ7" s="252"/>
      <c r="ZK7" s="252"/>
      <c r="ZL7" s="252"/>
      <c r="ZM7" s="252"/>
      <c r="ZN7" s="252"/>
      <c r="ZO7" s="252"/>
      <c r="ZP7" s="252"/>
      <c r="ZQ7" s="252"/>
      <c r="ZR7" s="252"/>
      <c r="ZS7" s="252"/>
      <c r="ZT7" s="252"/>
      <c r="ZU7" s="252"/>
      <c r="ZV7" s="252"/>
      <c r="ZW7" s="252"/>
      <c r="ZX7" s="252"/>
      <c r="ZY7" s="252"/>
      <c r="ZZ7" s="252"/>
      <c r="AAA7" s="252"/>
      <c r="AAB7" s="252"/>
      <c r="AAC7" s="252"/>
      <c r="AAD7" s="252"/>
      <c r="AAE7" s="252"/>
      <c r="AAF7" s="252"/>
      <c r="AAG7" s="252"/>
      <c r="AAH7" s="252"/>
      <c r="AAI7" s="252"/>
      <c r="AAJ7" s="252"/>
      <c r="AAK7" s="252"/>
      <c r="AAL7" s="252"/>
      <c r="AAM7" s="252"/>
      <c r="AAN7" s="252"/>
      <c r="AAO7" s="252"/>
      <c r="AAP7" s="252"/>
      <c r="AAQ7" s="252"/>
      <c r="AAR7" s="252"/>
      <c r="AAS7" s="252"/>
      <c r="AAT7" s="252"/>
      <c r="AAU7" s="252"/>
      <c r="AAV7" s="252"/>
      <c r="AAW7" s="252"/>
      <c r="AAX7" s="252"/>
      <c r="AAY7" s="252"/>
      <c r="AAZ7" s="252"/>
      <c r="ABA7" s="252"/>
      <c r="ABB7" s="252"/>
      <c r="ABC7" s="252"/>
      <c r="ABD7" s="252"/>
      <c r="ABE7" s="252"/>
      <c r="ABF7" s="252"/>
      <c r="ABG7" s="252"/>
      <c r="ABH7" s="252"/>
      <c r="ABI7" s="252"/>
      <c r="ABJ7" s="252"/>
      <c r="ABK7" s="252"/>
      <c r="ABL7" s="252"/>
      <c r="ABM7" s="252"/>
      <c r="ABN7" s="252"/>
      <c r="ABO7" s="252"/>
      <c r="ABP7" s="252"/>
      <c r="ABQ7" s="252"/>
      <c r="ABR7" s="252"/>
      <c r="ABS7" s="252"/>
      <c r="ABT7" s="252"/>
      <c r="ABU7" s="252"/>
      <c r="ABV7" s="252"/>
      <c r="ABW7" s="252"/>
      <c r="ABX7" s="252"/>
      <c r="ABY7" s="252"/>
      <c r="ABZ7" s="252"/>
      <c r="ACA7" s="252"/>
      <c r="ACB7" s="252"/>
      <c r="ACC7" s="252"/>
      <c r="ACD7" s="252"/>
      <c r="ACE7" s="252"/>
      <c r="ACF7" s="252"/>
      <c r="ACG7" s="252"/>
      <c r="ACH7" s="252"/>
      <c r="ACI7" s="252"/>
      <c r="ACJ7" s="252"/>
      <c r="ACK7" s="252"/>
      <c r="ACL7" s="252"/>
      <c r="ACM7" s="252"/>
      <c r="ACN7" s="252"/>
      <c r="ACO7" s="252"/>
      <c r="ACP7" s="252"/>
      <c r="ACQ7" s="252"/>
      <c r="ACR7" s="252"/>
      <c r="ACS7" s="252"/>
      <c r="ACT7" s="252"/>
      <c r="ACU7" s="252"/>
      <c r="ACV7" s="252"/>
      <c r="ACW7" s="252"/>
      <c r="ACX7" s="252"/>
      <c r="ACY7" s="252"/>
      <c r="ACZ7" s="252"/>
      <c r="ADA7" s="252"/>
      <c r="ADB7" s="252"/>
      <c r="ADC7" s="252"/>
      <c r="ADD7" s="252"/>
      <c r="ADE7" s="252"/>
      <c r="ADF7" s="252"/>
      <c r="ADG7" s="252"/>
      <c r="ADH7" s="252"/>
      <c r="ADI7" s="252"/>
      <c r="ADJ7" s="252"/>
      <c r="ADK7" s="252"/>
      <c r="ADL7" s="252"/>
      <c r="ADM7" s="252"/>
      <c r="ADN7" s="252"/>
      <c r="ADO7" s="252"/>
      <c r="ADP7" s="252"/>
      <c r="ADQ7" s="252"/>
      <c r="ADR7" s="252"/>
      <c r="ADS7" s="252"/>
      <c r="ADT7" s="252"/>
      <c r="ADU7" s="252"/>
      <c r="ADV7" s="252"/>
      <c r="ADW7" s="252"/>
      <c r="ADX7" s="252"/>
      <c r="ADY7" s="252"/>
      <c r="ADZ7" s="252"/>
      <c r="AEA7" s="252"/>
      <c r="AEB7" s="252"/>
      <c r="AEC7" s="252"/>
      <c r="AED7" s="252"/>
      <c r="AEE7" s="252"/>
      <c r="AEF7" s="252"/>
      <c r="AEG7" s="252"/>
      <c r="AEH7" s="252"/>
      <c r="AEI7" s="252"/>
      <c r="AEJ7" s="252"/>
      <c r="AEK7" s="252"/>
      <c r="AEL7" s="252"/>
      <c r="AEM7" s="252"/>
      <c r="AEN7" s="252"/>
      <c r="AEO7" s="252"/>
      <c r="AEP7" s="252"/>
      <c r="AEQ7" s="252"/>
      <c r="AER7" s="252"/>
      <c r="AES7" s="252"/>
      <c r="AET7" s="252"/>
      <c r="AEU7" s="252"/>
      <c r="AEV7" s="252"/>
      <c r="AEW7" s="252"/>
      <c r="AEX7" s="252"/>
      <c r="AEY7" s="252"/>
      <c r="AEZ7" s="252"/>
      <c r="AFA7" s="252"/>
      <c r="AFB7" s="252"/>
      <c r="AFC7" s="252"/>
      <c r="AFD7" s="252"/>
      <c r="AFE7" s="252"/>
      <c r="AFF7" s="252"/>
      <c r="AFG7" s="252"/>
      <c r="AFH7" s="252"/>
      <c r="AFI7" s="252"/>
      <c r="AFJ7" s="252"/>
      <c r="AFK7" s="252"/>
      <c r="AFL7" s="252"/>
      <c r="AFM7" s="252"/>
      <c r="AFN7" s="252"/>
      <c r="AFO7" s="252"/>
      <c r="AFP7" s="252"/>
      <c r="AFQ7" s="252"/>
      <c r="AFR7" s="252"/>
      <c r="AFS7" s="252"/>
      <c r="AFT7" s="252"/>
      <c r="AFU7" s="252"/>
      <c r="AFV7" s="252"/>
      <c r="AFW7" s="252"/>
      <c r="AFX7" s="252"/>
      <c r="AFY7" s="252"/>
      <c r="AFZ7" s="252"/>
      <c r="AGA7" s="252"/>
      <c r="AGB7" s="252"/>
      <c r="AGC7" s="252"/>
      <c r="AGD7" s="252"/>
      <c r="AGE7" s="252"/>
      <c r="AGF7" s="252"/>
      <c r="AGG7" s="252"/>
      <c r="AGH7" s="252"/>
      <c r="AGI7" s="252"/>
      <c r="AGJ7" s="252"/>
      <c r="AGK7" s="252"/>
      <c r="AGL7" s="252"/>
      <c r="AGM7" s="252"/>
      <c r="AGN7" s="252"/>
      <c r="AGO7" s="252"/>
      <c r="AGP7" s="252"/>
      <c r="AGQ7" s="252"/>
      <c r="AGR7" s="252"/>
      <c r="AGS7" s="252"/>
      <c r="AGT7" s="252"/>
      <c r="AGU7" s="252"/>
      <c r="AGV7" s="252"/>
      <c r="AGW7" s="252"/>
      <c r="AGX7" s="252"/>
      <c r="AGY7" s="252"/>
      <c r="AGZ7" s="252"/>
      <c r="AHA7" s="252"/>
      <c r="AHB7" s="252"/>
      <c r="AHC7" s="252"/>
      <c r="AHD7" s="252"/>
      <c r="AHE7" s="252"/>
      <c r="AHF7" s="252"/>
      <c r="AHG7" s="252"/>
      <c r="AHH7" s="252"/>
      <c r="AHI7" s="252"/>
      <c r="AHJ7" s="252"/>
      <c r="AHK7" s="252"/>
      <c r="AHL7" s="252"/>
      <c r="AHM7" s="252"/>
      <c r="AHN7" s="252"/>
      <c r="AHO7" s="252"/>
      <c r="AHP7" s="252"/>
      <c r="AHQ7" s="252"/>
      <c r="AHR7" s="252"/>
      <c r="AHS7" s="252"/>
      <c r="AHT7" s="252"/>
      <c r="AHU7" s="252"/>
      <c r="AHV7" s="252"/>
      <c r="AHW7" s="252"/>
      <c r="AHX7" s="252"/>
      <c r="AHY7" s="252"/>
      <c r="AHZ7" s="252"/>
      <c r="AIA7" s="252"/>
      <c r="AIB7" s="252"/>
      <c r="AIC7" s="252"/>
      <c r="AID7" s="252"/>
      <c r="AIE7" s="252"/>
      <c r="AIF7" s="252"/>
      <c r="AIG7" s="252"/>
      <c r="AIH7" s="252"/>
      <c r="AII7" s="252"/>
      <c r="AIJ7" s="252"/>
      <c r="AIK7" s="252"/>
      <c r="AIL7" s="252"/>
      <c r="AIM7" s="252"/>
      <c r="AIN7" s="252"/>
      <c r="AIO7" s="252"/>
      <c r="AIP7" s="252"/>
      <c r="AIQ7" s="252"/>
      <c r="AIR7" s="252"/>
      <c r="AIS7" s="252"/>
      <c r="AIT7" s="252"/>
      <c r="AIU7" s="252"/>
      <c r="AIV7" s="252"/>
      <c r="AIW7" s="252"/>
      <c r="AIX7" s="252"/>
      <c r="AIY7" s="252"/>
      <c r="AIZ7" s="252"/>
      <c r="AJA7" s="252"/>
      <c r="AJB7" s="252"/>
      <c r="AJC7" s="252"/>
      <c r="AJD7" s="252"/>
      <c r="AJE7" s="252"/>
      <c r="AJF7" s="252"/>
      <c r="AJG7" s="252"/>
      <c r="AJH7" s="252"/>
      <c r="AJI7" s="252"/>
      <c r="AJJ7" s="252"/>
      <c r="AJK7" s="252"/>
      <c r="AJL7" s="252"/>
      <c r="AJM7" s="252"/>
      <c r="AJN7" s="252"/>
      <c r="AJO7" s="252"/>
      <c r="AJP7" s="252"/>
      <c r="AJQ7" s="252"/>
      <c r="AJR7" s="252"/>
      <c r="AJS7" s="252"/>
      <c r="AJT7" s="252"/>
      <c r="AJU7" s="252"/>
      <c r="AJV7" s="252"/>
      <c r="AJW7" s="252"/>
      <c r="AJX7" s="252"/>
      <c r="AJY7" s="252"/>
      <c r="AJZ7" s="252"/>
      <c r="AKA7" s="252"/>
      <c r="AKB7" s="252"/>
      <c r="AKC7" s="252"/>
      <c r="AKD7" s="252"/>
      <c r="AKE7" s="252"/>
      <c r="AKF7" s="252"/>
      <c r="AKG7" s="252"/>
      <c r="AKH7" s="252"/>
      <c r="AKI7" s="252"/>
      <c r="AKJ7" s="252"/>
      <c r="AKK7" s="252"/>
      <c r="AKL7" s="252"/>
      <c r="AKM7" s="252"/>
      <c r="AKN7" s="252"/>
      <c r="AKO7" s="252"/>
      <c r="AKP7" s="252"/>
      <c r="AKQ7" s="252"/>
      <c r="AKR7" s="252"/>
      <c r="AKS7" s="252"/>
      <c r="AKT7" s="252"/>
      <c r="AKU7" s="252"/>
      <c r="AKV7" s="252"/>
      <c r="AKW7" s="252"/>
      <c r="AKX7" s="252"/>
      <c r="AKY7" s="252"/>
      <c r="AKZ7" s="252"/>
      <c r="ALA7" s="252"/>
      <c r="ALB7" s="252"/>
      <c r="ALC7" s="252"/>
      <c r="ALD7" s="252"/>
      <c r="ALE7" s="252"/>
      <c r="ALF7" s="252"/>
      <c r="ALG7" s="252"/>
      <c r="ALH7" s="252"/>
      <c r="ALI7" s="252"/>
      <c r="ALJ7" s="252"/>
      <c r="ALK7" s="252"/>
      <c r="ALL7" s="252"/>
      <c r="ALM7" s="252"/>
      <c r="ALN7" s="252"/>
      <c r="ALO7" s="252"/>
      <c r="ALP7" s="252"/>
      <c r="ALQ7" s="252"/>
      <c r="ALR7" s="252"/>
      <c r="ALS7" s="252"/>
    </row>
    <row r="8" spans="1:1007" x14ac:dyDescent="0.2">
      <c r="A8" s="749" t="s">
        <v>289</v>
      </c>
      <c r="B8" s="382">
        <v>13400</v>
      </c>
      <c r="C8" s="382">
        <v>12100</v>
      </c>
      <c r="D8" s="382">
        <v>11400</v>
      </c>
      <c r="E8" s="740">
        <v>11200</v>
      </c>
      <c r="F8" s="730"/>
      <c r="G8" s="730"/>
      <c r="H8" s="369"/>
      <c r="I8" s="730"/>
    </row>
    <row r="9" spans="1:1007" s="3" customFormat="1" x14ac:dyDescent="0.2">
      <c r="A9" s="749" t="s">
        <v>287</v>
      </c>
      <c r="B9" s="382">
        <v>15000</v>
      </c>
      <c r="C9" s="382">
        <v>14500</v>
      </c>
      <c r="D9" s="382">
        <v>12800</v>
      </c>
      <c r="E9" s="740">
        <v>13700</v>
      </c>
      <c r="F9" s="730"/>
      <c r="G9" s="730"/>
      <c r="H9" s="369"/>
      <c r="I9" s="730"/>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252"/>
      <c r="BK9" s="252"/>
      <c r="BL9" s="252"/>
      <c r="BM9" s="252"/>
      <c r="BN9" s="252"/>
      <c r="BO9" s="252"/>
      <c r="BP9" s="252"/>
      <c r="BQ9" s="252"/>
      <c r="BR9" s="252"/>
      <c r="BS9" s="252"/>
      <c r="BT9" s="252"/>
      <c r="BU9" s="252"/>
      <c r="BV9" s="252"/>
      <c r="BW9" s="252"/>
      <c r="BX9" s="252"/>
      <c r="BY9" s="252"/>
      <c r="BZ9" s="252"/>
      <c r="CA9" s="252"/>
      <c r="CB9" s="252"/>
      <c r="CC9" s="252"/>
      <c r="CD9" s="252"/>
      <c r="CE9" s="252"/>
      <c r="CF9" s="252"/>
      <c r="CG9" s="252"/>
      <c r="CH9" s="252"/>
      <c r="CI9" s="252"/>
      <c r="CJ9" s="252"/>
      <c r="CK9" s="252"/>
      <c r="CL9" s="252"/>
      <c r="CM9" s="252"/>
      <c r="CN9" s="252"/>
      <c r="CO9" s="252"/>
      <c r="CP9" s="252"/>
      <c r="CQ9" s="252"/>
      <c r="CR9" s="252"/>
      <c r="CS9" s="252"/>
      <c r="CT9" s="252"/>
      <c r="CU9" s="252"/>
      <c r="CV9" s="252"/>
      <c r="CW9" s="252"/>
      <c r="CX9" s="252"/>
      <c r="CY9" s="252"/>
      <c r="CZ9" s="252"/>
      <c r="DA9" s="252"/>
      <c r="DB9" s="252"/>
      <c r="DC9" s="252"/>
      <c r="DD9" s="252"/>
      <c r="DE9" s="252"/>
      <c r="DF9" s="252"/>
      <c r="DG9" s="252"/>
      <c r="DH9" s="252"/>
      <c r="DI9" s="252"/>
      <c r="DJ9" s="252"/>
      <c r="DK9" s="252"/>
      <c r="DL9" s="252"/>
      <c r="DM9" s="252"/>
      <c r="DN9" s="252"/>
      <c r="DO9" s="252"/>
      <c r="DP9" s="252"/>
      <c r="DQ9" s="252"/>
      <c r="DR9" s="252"/>
      <c r="DS9" s="252"/>
      <c r="DT9" s="252"/>
      <c r="DU9" s="252"/>
      <c r="DV9" s="252"/>
      <c r="DW9" s="252"/>
      <c r="DX9" s="252"/>
      <c r="DY9" s="252"/>
      <c r="DZ9" s="252"/>
      <c r="EA9" s="252"/>
      <c r="EB9" s="252"/>
      <c r="EC9" s="252"/>
      <c r="ED9" s="252"/>
      <c r="EE9" s="252"/>
      <c r="EF9" s="252"/>
      <c r="EG9" s="252"/>
      <c r="EH9" s="252"/>
      <c r="EI9" s="252"/>
      <c r="EJ9" s="252"/>
      <c r="EK9" s="252"/>
      <c r="EL9" s="252"/>
      <c r="EM9" s="252"/>
      <c r="EN9" s="252"/>
      <c r="EO9" s="252"/>
      <c r="EP9" s="252"/>
      <c r="EQ9" s="252"/>
      <c r="ER9" s="252"/>
      <c r="ES9" s="252"/>
      <c r="ET9" s="252"/>
      <c r="EU9" s="252"/>
      <c r="EV9" s="252"/>
      <c r="EW9" s="252"/>
      <c r="EX9" s="252"/>
      <c r="EY9" s="252"/>
      <c r="EZ9" s="252"/>
      <c r="FA9" s="252"/>
      <c r="FB9" s="252"/>
      <c r="FC9" s="252"/>
      <c r="FD9" s="252"/>
      <c r="FE9" s="252"/>
      <c r="FF9" s="252"/>
      <c r="FG9" s="252"/>
      <c r="FH9" s="252"/>
      <c r="FI9" s="252"/>
      <c r="FJ9" s="252"/>
      <c r="FK9" s="252"/>
      <c r="FL9" s="252"/>
      <c r="FM9" s="252"/>
      <c r="FN9" s="252"/>
      <c r="FO9" s="252"/>
      <c r="FP9" s="252"/>
      <c r="FQ9" s="252"/>
      <c r="FR9" s="252"/>
      <c r="FS9" s="252"/>
      <c r="FT9" s="252"/>
      <c r="FU9" s="252"/>
      <c r="FV9" s="252"/>
      <c r="FW9" s="252"/>
      <c r="FX9" s="252"/>
      <c r="FY9" s="252"/>
      <c r="FZ9" s="252"/>
      <c r="GA9" s="252"/>
      <c r="GB9" s="252"/>
      <c r="GC9" s="252"/>
      <c r="GD9" s="252"/>
      <c r="GE9" s="252"/>
      <c r="GF9" s="252"/>
      <c r="GG9" s="252"/>
      <c r="GH9" s="252"/>
      <c r="GI9" s="252"/>
      <c r="GJ9" s="252"/>
      <c r="GK9" s="252"/>
      <c r="GL9" s="252"/>
      <c r="GM9" s="252"/>
      <c r="GN9" s="252"/>
      <c r="GO9" s="252"/>
      <c r="GP9" s="252"/>
      <c r="GQ9" s="252"/>
      <c r="GR9" s="252"/>
      <c r="GS9" s="252"/>
      <c r="GT9" s="252"/>
      <c r="GU9" s="252"/>
      <c r="GV9" s="252"/>
      <c r="GW9" s="252"/>
      <c r="GX9" s="252"/>
      <c r="GY9" s="252"/>
      <c r="GZ9" s="252"/>
      <c r="HA9" s="252"/>
      <c r="HB9" s="252"/>
      <c r="HC9" s="252"/>
      <c r="HD9" s="252"/>
      <c r="HE9" s="252"/>
      <c r="HF9" s="252"/>
      <c r="HG9" s="252"/>
      <c r="HH9" s="252"/>
      <c r="HI9" s="252"/>
      <c r="HJ9" s="252"/>
      <c r="HK9" s="252"/>
      <c r="HL9" s="252"/>
      <c r="HM9" s="252"/>
      <c r="HN9" s="252"/>
      <c r="HO9" s="252"/>
      <c r="HP9" s="252"/>
      <c r="HQ9" s="252"/>
      <c r="HR9" s="252"/>
      <c r="HS9" s="252"/>
      <c r="HT9" s="252"/>
      <c r="HU9" s="252"/>
      <c r="HV9" s="252"/>
      <c r="HW9" s="252"/>
      <c r="HX9" s="252"/>
      <c r="HY9" s="252"/>
      <c r="HZ9" s="252"/>
      <c r="IA9" s="252"/>
      <c r="IB9" s="252"/>
      <c r="IC9" s="252"/>
      <c r="ID9" s="252"/>
      <c r="IE9" s="252"/>
      <c r="IF9" s="252"/>
      <c r="IG9" s="252"/>
      <c r="IH9" s="252"/>
      <c r="II9" s="252"/>
      <c r="IJ9" s="252"/>
      <c r="IK9" s="252"/>
      <c r="IL9" s="252"/>
      <c r="IM9" s="252"/>
      <c r="IN9" s="252"/>
      <c r="IO9" s="252"/>
      <c r="IP9" s="252"/>
      <c r="IQ9" s="252"/>
      <c r="IR9" s="252"/>
      <c r="IS9" s="252"/>
      <c r="IT9" s="252"/>
      <c r="IU9" s="252"/>
      <c r="IV9" s="252"/>
      <c r="IW9" s="252"/>
      <c r="IX9" s="252"/>
      <c r="IY9" s="252"/>
      <c r="IZ9" s="252"/>
      <c r="JA9" s="252"/>
      <c r="JB9" s="252"/>
      <c r="JC9" s="252"/>
      <c r="JD9" s="252"/>
      <c r="JE9" s="252"/>
      <c r="JF9" s="252"/>
      <c r="JG9" s="252"/>
      <c r="JH9" s="252"/>
      <c r="JI9" s="252"/>
      <c r="JJ9" s="252"/>
      <c r="JK9" s="252"/>
      <c r="JL9" s="252"/>
      <c r="JM9" s="252"/>
      <c r="JN9" s="252"/>
      <c r="JO9" s="252"/>
      <c r="JP9" s="252"/>
      <c r="JQ9" s="252"/>
      <c r="JR9" s="252"/>
      <c r="JS9" s="252"/>
      <c r="JT9" s="252"/>
      <c r="JU9" s="252"/>
      <c r="JV9" s="252"/>
      <c r="JW9" s="252"/>
      <c r="JX9" s="252"/>
      <c r="JY9" s="252"/>
      <c r="JZ9" s="252"/>
      <c r="KA9" s="252"/>
      <c r="KB9" s="252"/>
      <c r="KC9" s="252"/>
      <c r="KD9" s="252"/>
      <c r="KE9" s="252"/>
      <c r="KF9" s="252"/>
      <c r="KG9" s="252"/>
      <c r="KH9" s="252"/>
      <c r="KI9" s="252"/>
      <c r="KJ9" s="252"/>
      <c r="KK9" s="252"/>
      <c r="KL9" s="252"/>
      <c r="KM9" s="252"/>
      <c r="KN9" s="252"/>
      <c r="KO9" s="252"/>
      <c r="KP9" s="252"/>
      <c r="KQ9" s="252"/>
      <c r="KR9" s="252"/>
      <c r="KS9" s="252"/>
      <c r="KT9" s="252"/>
      <c r="KU9" s="252"/>
      <c r="KV9" s="252"/>
      <c r="KW9" s="252"/>
      <c r="KX9" s="252"/>
      <c r="KY9" s="252"/>
      <c r="KZ9" s="252"/>
      <c r="LA9" s="252"/>
      <c r="LB9" s="252"/>
      <c r="LC9" s="252"/>
      <c r="LD9" s="252"/>
      <c r="LE9" s="252"/>
      <c r="LF9" s="252"/>
      <c r="LG9" s="252"/>
      <c r="LH9" s="252"/>
      <c r="LI9" s="252"/>
      <c r="LJ9" s="252"/>
      <c r="LK9" s="252"/>
      <c r="LL9" s="252"/>
      <c r="LM9" s="252"/>
      <c r="LN9" s="252"/>
      <c r="LO9" s="252"/>
      <c r="LP9" s="252"/>
      <c r="LQ9" s="252"/>
      <c r="LR9" s="252"/>
      <c r="LS9" s="252"/>
      <c r="LT9" s="252"/>
      <c r="LU9" s="252"/>
      <c r="LV9" s="252"/>
      <c r="LW9" s="252"/>
      <c r="LX9" s="252"/>
      <c r="LY9" s="252"/>
      <c r="LZ9" s="252"/>
      <c r="MA9" s="252"/>
      <c r="MB9" s="252"/>
      <c r="MC9" s="252"/>
      <c r="MD9" s="252"/>
      <c r="ME9" s="252"/>
      <c r="MF9" s="252"/>
      <c r="MG9" s="252"/>
      <c r="MH9" s="252"/>
      <c r="MI9" s="252"/>
      <c r="MJ9" s="252"/>
      <c r="MK9" s="252"/>
      <c r="ML9" s="252"/>
      <c r="MM9" s="252"/>
      <c r="MN9" s="252"/>
      <c r="MO9" s="252"/>
      <c r="MP9" s="252"/>
      <c r="MQ9" s="252"/>
      <c r="MR9" s="252"/>
      <c r="MS9" s="252"/>
      <c r="MT9" s="252"/>
      <c r="MU9" s="252"/>
      <c r="MV9" s="252"/>
      <c r="MW9" s="252"/>
      <c r="MX9" s="252"/>
      <c r="MY9" s="252"/>
      <c r="MZ9" s="252"/>
      <c r="NA9" s="252"/>
      <c r="NB9" s="252"/>
      <c r="NC9" s="252"/>
      <c r="ND9" s="252"/>
      <c r="NE9" s="252"/>
      <c r="NF9" s="252"/>
      <c r="NG9" s="252"/>
      <c r="NH9" s="252"/>
      <c r="NI9" s="252"/>
      <c r="NJ9" s="252"/>
      <c r="NK9" s="252"/>
      <c r="NL9" s="252"/>
      <c r="NM9" s="252"/>
      <c r="NN9" s="252"/>
      <c r="NO9" s="252"/>
      <c r="NP9" s="252"/>
      <c r="NQ9" s="252"/>
      <c r="NR9" s="252"/>
      <c r="NS9" s="252"/>
      <c r="NT9" s="252"/>
      <c r="NU9" s="252"/>
      <c r="NV9" s="252"/>
      <c r="NW9" s="252"/>
      <c r="NX9" s="252"/>
      <c r="NY9" s="252"/>
      <c r="NZ9" s="252"/>
      <c r="OA9" s="252"/>
      <c r="OB9" s="252"/>
      <c r="OC9" s="252"/>
      <c r="OD9" s="252"/>
      <c r="OE9" s="252"/>
      <c r="OF9" s="252"/>
      <c r="OG9" s="252"/>
      <c r="OH9" s="252"/>
      <c r="OI9" s="252"/>
      <c r="OJ9" s="252"/>
      <c r="OK9" s="252"/>
      <c r="OL9" s="252"/>
      <c r="OM9" s="252"/>
      <c r="ON9" s="252"/>
      <c r="OO9" s="252"/>
      <c r="OP9" s="252"/>
      <c r="OQ9" s="252"/>
      <c r="OR9" s="252"/>
      <c r="OS9" s="252"/>
      <c r="OT9" s="252"/>
      <c r="OU9" s="252"/>
      <c r="OV9" s="252"/>
      <c r="OW9" s="252"/>
      <c r="OX9" s="252"/>
      <c r="OY9" s="252"/>
      <c r="OZ9" s="252"/>
      <c r="PA9" s="252"/>
      <c r="PB9" s="252"/>
      <c r="PC9" s="252"/>
      <c r="PD9" s="252"/>
      <c r="PE9" s="252"/>
      <c r="PF9" s="252"/>
      <c r="PG9" s="252"/>
      <c r="PH9" s="252"/>
      <c r="PI9" s="252"/>
      <c r="PJ9" s="252"/>
      <c r="PK9" s="252"/>
      <c r="PL9" s="252"/>
      <c r="PM9" s="252"/>
      <c r="PN9" s="252"/>
      <c r="PO9" s="252"/>
      <c r="PP9" s="252"/>
      <c r="PQ9" s="252"/>
      <c r="PR9" s="252"/>
      <c r="PS9" s="252"/>
      <c r="PT9" s="252"/>
      <c r="PU9" s="252"/>
      <c r="PV9" s="252"/>
      <c r="PW9" s="252"/>
      <c r="PX9" s="252"/>
      <c r="PY9" s="252"/>
      <c r="PZ9" s="252"/>
      <c r="QA9" s="252"/>
      <c r="QB9" s="252"/>
      <c r="QC9" s="252"/>
      <c r="QD9" s="252"/>
      <c r="QE9" s="252"/>
      <c r="QF9" s="252"/>
      <c r="QG9" s="252"/>
      <c r="QH9" s="252"/>
      <c r="QI9" s="252"/>
      <c r="QJ9" s="252"/>
      <c r="QK9" s="252"/>
      <c r="QL9" s="252"/>
      <c r="QM9" s="252"/>
      <c r="QN9" s="252"/>
      <c r="QO9" s="252"/>
      <c r="QP9" s="252"/>
      <c r="QQ9" s="252"/>
      <c r="QR9" s="252"/>
      <c r="QS9" s="252"/>
      <c r="QT9" s="252"/>
      <c r="QU9" s="252"/>
      <c r="QV9" s="252"/>
      <c r="QW9" s="252"/>
      <c r="QX9" s="252"/>
      <c r="QY9" s="252"/>
      <c r="QZ9" s="252"/>
      <c r="RA9" s="252"/>
      <c r="RB9" s="252"/>
      <c r="RC9" s="252"/>
      <c r="RD9" s="252"/>
      <c r="RE9" s="252"/>
      <c r="RF9" s="252"/>
      <c r="RG9" s="252"/>
      <c r="RH9" s="252"/>
      <c r="RI9" s="252"/>
      <c r="RJ9" s="252"/>
      <c r="RK9" s="252"/>
      <c r="RL9" s="252"/>
      <c r="RM9" s="252"/>
      <c r="RN9" s="252"/>
      <c r="RO9" s="252"/>
      <c r="RP9" s="252"/>
      <c r="RQ9" s="252"/>
      <c r="RR9" s="252"/>
      <c r="RS9" s="252"/>
      <c r="RT9" s="252"/>
      <c r="RU9" s="252"/>
      <c r="RV9" s="252"/>
      <c r="RW9" s="252"/>
      <c r="RX9" s="252"/>
      <c r="RY9" s="252"/>
      <c r="RZ9" s="252"/>
      <c r="SA9" s="252"/>
      <c r="SB9" s="252"/>
      <c r="SC9" s="252"/>
      <c r="SD9" s="252"/>
      <c r="SE9" s="252"/>
      <c r="SF9" s="252"/>
      <c r="SG9" s="252"/>
      <c r="SH9" s="252"/>
      <c r="SI9" s="252"/>
      <c r="SJ9" s="252"/>
      <c r="SK9" s="252"/>
      <c r="SL9" s="252"/>
      <c r="SM9" s="252"/>
      <c r="SN9" s="252"/>
      <c r="SO9" s="252"/>
      <c r="SP9" s="252"/>
      <c r="SQ9" s="252"/>
      <c r="SR9" s="252"/>
      <c r="SS9" s="252"/>
      <c r="ST9" s="252"/>
      <c r="SU9" s="252"/>
      <c r="SV9" s="252"/>
      <c r="SW9" s="252"/>
      <c r="SX9" s="252"/>
      <c r="SY9" s="252"/>
      <c r="SZ9" s="252"/>
      <c r="TA9" s="252"/>
      <c r="TB9" s="252"/>
      <c r="TC9" s="252"/>
      <c r="TD9" s="252"/>
      <c r="TE9" s="252"/>
      <c r="TF9" s="252"/>
      <c r="TG9" s="252"/>
      <c r="TH9" s="252"/>
      <c r="TI9" s="252"/>
      <c r="TJ9" s="252"/>
      <c r="TK9" s="252"/>
      <c r="TL9" s="252"/>
      <c r="TM9" s="252"/>
      <c r="TN9" s="252"/>
      <c r="TO9" s="252"/>
      <c r="TP9" s="252"/>
      <c r="TQ9" s="252"/>
      <c r="TR9" s="252"/>
      <c r="TS9" s="252"/>
      <c r="TT9" s="252"/>
      <c r="TU9" s="252"/>
      <c r="TV9" s="252"/>
      <c r="TW9" s="252"/>
      <c r="TX9" s="252"/>
      <c r="TY9" s="252"/>
      <c r="TZ9" s="252"/>
      <c r="UA9" s="252"/>
      <c r="UB9" s="252"/>
      <c r="UC9" s="252"/>
      <c r="UD9" s="252"/>
      <c r="UE9" s="252"/>
      <c r="UF9" s="252"/>
      <c r="UG9" s="252"/>
      <c r="UH9" s="252"/>
      <c r="UI9" s="252"/>
      <c r="UJ9" s="252"/>
      <c r="UK9" s="252"/>
      <c r="UL9" s="252"/>
      <c r="UM9" s="252"/>
      <c r="UN9" s="252"/>
      <c r="UO9" s="252"/>
      <c r="UP9" s="252"/>
      <c r="UQ9" s="252"/>
      <c r="UR9" s="252"/>
      <c r="US9" s="252"/>
      <c r="UT9" s="252"/>
      <c r="UU9" s="252"/>
      <c r="UV9" s="252"/>
      <c r="UW9" s="252"/>
      <c r="UX9" s="252"/>
      <c r="UY9" s="252"/>
      <c r="UZ9" s="252"/>
      <c r="VA9" s="252"/>
      <c r="VB9" s="252"/>
      <c r="VC9" s="252"/>
      <c r="VD9" s="252"/>
      <c r="VE9" s="252"/>
      <c r="VF9" s="252"/>
      <c r="VG9" s="252"/>
      <c r="VH9" s="252"/>
      <c r="VI9" s="252"/>
      <c r="VJ9" s="252"/>
      <c r="VK9" s="252"/>
      <c r="VL9" s="252"/>
      <c r="VM9" s="252"/>
      <c r="VN9" s="252"/>
      <c r="VO9" s="252"/>
      <c r="VP9" s="252"/>
      <c r="VQ9" s="252"/>
      <c r="VR9" s="252"/>
      <c r="VS9" s="252"/>
      <c r="VT9" s="252"/>
      <c r="VU9" s="252"/>
      <c r="VV9" s="252"/>
      <c r="VW9" s="252"/>
      <c r="VX9" s="252"/>
      <c r="VY9" s="252"/>
      <c r="VZ9" s="252"/>
      <c r="WA9" s="252"/>
      <c r="WB9" s="252"/>
      <c r="WC9" s="252"/>
      <c r="WD9" s="252"/>
      <c r="WE9" s="252"/>
      <c r="WF9" s="252"/>
      <c r="WG9" s="252"/>
      <c r="WH9" s="252"/>
      <c r="WI9" s="252"/>
      <c r="WJ9" s="252"/>
      <c r="WK9" s="252"/>
      <c r="WL9" s="252"/>
      <c r="WM9" s="252"/>
      <c r="WN9" s="252"/>
      <c r="WO9" s="252"/>
      <c r="WP9" s="252"/>
      <c r="WQ9" s="252"/>
      <c r="WR9" s="252"/>
      <c r="WS9" s="252"/>
      <c r="WT9" s="252"/>
      <c r="WU9" s="252"/>
      <c r="WV9" s="252"/>
      <c r="WW9" s="252"/>
      <c r="WX9" s="252"/>
      <c r="WY9" s="252"/>
      <c r="WZ9" s="252"/>
      <c r="XA9" s="252"/>
      <c r="XB9" s="252"/>
      <c r="XC9" s="252"/>
      <c r="XD9" s="252"/>
      <c r="XE9" s="252"/>
      <c r="XF9" s="252"/>
      <c r="XG9" s="252"/>
      <c r="XH9" s="252"/>
      <c r="XI9" s="252"/>
      <c r="XJ9" s="252"/>
      <c r="XK9" s="252"/>
      <c r="XL9" s="252"/>
      <c r="XM9" s="252"/>
      <c r="XN9" s="252"/>
      <c r="XO9" s="252"/>
      <c r="XP9" s="252"/>
      <c r="XQ9" s="252"/>
      <c r="XR9" s="252"/>
      <c r="XS9" s="252"/>
      <c r="XT9" s="252"/>
      <c r="XU9" s="252"/>
      <c r="XV9" s="252"/>
      <c r="XW9" s="252"/>
      <c r="XX9" s="252"/>
      <c r="XY9" s="252"/>
      <c r="XZ9" s="252"/>
      <c r="YA9" s="252"/>
      <c r="YB9" s="252"/>
      <c r="YC9" s="252"/>
      <c r="YD9" s="252"/>
      <c r="YE9" s="252"/>
      <c r="YF9" s="252"/>
      <c r="YG9" s="252"/>
      <c r="YH9" s="252"/>
      <c r="YI9" s="252"/>
      <c r="YJ9" s="252"/>
      <c r="YK9" s="252"/>
      <c r="YL9" s="252"/>
      <c r="YM9" s="252"/>
      <c r="YN9" s="252"/>
      <c r="YO9" s="252"/>
      <c r="YP9" s="252"/>
      <c r="YQ9" s="252"/>
      <c r="YR9" s="252"/>
      <c r="YS9" s="252"/>
      <c r="YT9" s="252"/>
      <c r="YU9" s="252"/>
      <c r="YV9" s="252"/>
      <c r="YW9" s="252"/>
      <c r="YX9" s="252"/>
      <c r="YY9" s="252"/>
      <c r="YZ9" s="252"/>
      <c r="ZA9" s="252"/>
      <c r="ZB9" s="252"/>
      <c r="ZC9" s="252"/>
      <c r="ZD9" s="252"/>
      <c r="ZE9" s="252"/>
      <c r="ZF9" s="252"/>
      <c r="ZG9" s="252"/>
      <c r="ZH9" s="252"/>
      <c r="ZI9" s="252"/>
      <c r="ZJ9" s="252"/>
      <c r="ZK9" s="252"/>
      <c r="ZL9" s="252"/>
      <c r="ZM9" s="252"/>
      <c r="ZN9" s="252"/>
      <c r="ZO9" s="252"/>
      <c r="ZP9" s="252"/>
      <c r="ZQ9" s="252"/>
      <c r="ZR9" s="252"/>
      <c r="ZS9" s="252"/>
      <c r="ZT9" s="252"/>
      <c r="ZU9" s="252"/>
      <c r="ZV9" s="252"/>
      <c r="ZW9" s="252"/>
      <c r="ZX9" s="252"/>
      <c r="ZY9" s="252"/>
      <c r="ZZ9" s="252"/>
      <c r="AAA9" s="252"/>
      <c r="AAB9" s="252"/>
      <c r="AAC9" s="252"/>
      <c r="AAD9" s="252"/>
      <c r="AAE9" s="252"/>
      <c r="AAF9" s="252"/>
      <c r="AAG9" s="252"/>
      <c r="AAH9" s="252"/>
      <c r="AAI9" s="252"/>
      <c r="AAJ9" s="252"/>
      <c r="AAK9" s="252"/>
      <c r="AAL9" s="252"/>
      <c r="AAM9" s="252"/>
      <c r="AAN9" s="252"/>
      <c r="AAO9" s="252"/>
      <c r="AAP9" s="252"/>
      <c r="AAQ9" s="252"/>
      <c r="AAR9" s="252"/>
      <c r="AAS9" s="252"/>
      <c r="AAT9" s="252"/>
      <c r="AAU9" s="252"/>
      <c r="AAV9" s="252"/>
      <c r="AAW9" s="252"/>
      <c r="AAX9" s="252"/>
      <c r="AAY9" s="252"/>
      <c r="AAZ9" s="252"/>
      <c r="ABA9" s="252"/>
      <c r="ABB9" s="252"/>
      <c r="ABC9" s="252"/>
      <c r="ABD9" s="252"/>
      <c r="ABE9" s="252"/>
      <c r="ABF9" s="252"/>
      <c r="ABG9" s="252"/>
      <c r="ABH9" s="252"/>
      <c r="ABI9" s="252"/>
      <c r="ABJ9" s="252"/>
      <c r="ABK9" s="252"/>
      <c r="ABL9" s="252"/>
      <c r="ABM9" s="252"/>
      <c r="ABN9" s="252"/>
      <c r="ABO9" s="252"/>
      <c r="ABP9" s="252"/>
      <c r="ABQ9" s="252"/>
      <c r="ABR9" s="252"/>
      <c r="ABS9" s="252"/>
      <c r="ABT9" s="252"/>
      <c r="ABU9" s="252"/>
      <c r="ABV9" s="252"/>
      <c r="ABW9" s="252"/>
      <c r="ABX9" s="252"/>
      <c r="ABY9" s="252"/>
      <c r="ABZ9" s="252"/>
      <c r="ACA9" s="252"/>
      <c r="ACB9" s="252"/>
      <c r="ACC9" s="252"/>
      <c r="ACD9" s="252"/>
      <c r="ACE9" s="252"/>
      <c r="ACF9" s="252"/>
      <c r="ACG9" s="252"/>
      <c r="ACH9" s="252"/>
      <c r="ACI9" s="252"/>
      <c r="ACJ9" s="252"/>
      <c r="ACK9" s="252"/>
      <c r="ACL9" s="252"/>
      <c r="ACM9" s="252"/>
      <c r="ACN9" s="252"/>
      <c r="ACO9" s="252"/>
      <c r="ACP9" s="252"/>
      <c r="ACQ9" s="252"/>
      <c r="ACR9" s="252"/>
      <c r="ACS9" s="252"/>
      <c r="ACT9" s="252"/>
      <c r="ACU9" s="252"/>
      <c r="ACV9" s="252"/>
      <c r="ACW9" s="252"/>
      <c r="ACX9" s="252"/>
      <c r="ACY9" s="252"/>
      <c r="ACZ9" s="252"/>
      <c r="ADA9" s="252"/>
      <c r="ADB9" s="252"/>
      <c r="ADC9" s="252"/>
      <c r="ADD9" s="252"/>
      <c r="ADE9" s="252"/>
      <c r="ADF9" s="252"/>
      <c r="ADG9" s="252"/>
      <c r="ADH9" s="252"/>
      <c r="ADI9" s="252"/>
      <c r="ADJ9" s="252"/>
      <c r="ADK9" s="252"/>
      <c r="ADL9" s="252"/>
      <c r="ADM9" s="252"/>
      <c r="ADN9" s="252"/>
      <c r="ADO9" s="252"/>
      <c r="ADP9" s="252"/>
      <c r="ADQ9" s="252"/>
      <c r="ADR9" s="252"/>
      <c r="ADS9" s="252"/>
      <c r="ADT9" s="252"/>
      <c r="ADU9" s="252"/>
      <c r="ADV9" s="252"/>
      <c r="ADW9" s="252"/>
      <c r="ADX9" s="252"/>
      <c r="ADY9" s="252"/>
      <c r="ADZ9" s="252"/>
      <c r="AEA9" s="252"/>
      <c r="AEB9" s="252"/>
      <c r="AEC9" s="252"/>
      <c r="AED9" s="252"/>
      <c r="AEE9" s="252"/>
      <c r="AEF9" s="252"/>
      <c r="AEG9" s="252"/>
      <c r="AEH9" s="252"/>
      <c r="AEI9" s="252"/>
      <c r="AEJ9" s="252"/>
      <c r="AEK9" s="252"/>
      <c r="AEL9" s="252"/>
      <c r="AEM9" s="252"/>
      <c r="AEN9" s="252"/>
      <c r="AEO9" s="252"/>
      <c r="AEP9" s="252"/>
      <c r="AEQ9" s="252"/>
      <c r="AER9" s="252"/>
      <c r="AES9" s="252"/>
      <c r="AET9" s="252"/>
      <c r="AEU9" s="252"/>
      <c r="AEV9" s="252"/>
      <c r="AEW9" s="252"/>
      <c r="AEX9" s="252"/>
      <c r="AEY9" s="252"/>
      <c r="AEZ9" s="252"/>
      <c r="AFA9" s="252"/>
      <c r="AFB9" s="252"/>
      <c r="AFC9" s="252"/>
      <c r="AFD9" s="252"/>
      <c r="AFE9" s="252"/>
      <c r="AFF9" s="252"/>
      <c r="AFG9" s="252"/>
      <c r="AFH9" s="252"/>
      <c r="AFI9" s="252"/>
      <c r="AFJ9" s="252"/>
      <c r="AFK9" s="252"/>
      <c r="AFL9" s="252"/>
      <c r="AFM9" s="252"/>
      <c r="AFN9" s="252"/>
      <c r="AFO9" s="252"/>
      <c r="AFP9" s="252"/>
      <c r="AFQ9" s="252"/>
      <c r="AFR9" s="252"/>
      <c r="AFS9" s="252"/>
      <c r="AFT9" s="252"/>
      <c r="AFU9" s="252"/>
      <c r="AFV9" s="252"/>
      <c r="AFW9" s="252"/>
      <c r="AFX9" s="252"/>
      <c r="AFY9" s="252"/>
      <c r="AFZ9" s="252"/>
      <c r="AGA9" s="252"/>
      <c r="AGB9" s="252"/>
      <c r="AGC9" s="252"/>
      <c r="AGD9" s="252"/>
      <c r="AGE9" s="252"/>
      <c r="AGF9" s="252"/>
      <c r="AGG9" s="252"/>
      <c r="AGH9" s="252"/>
      <c r="AGI9" s="252"/>
      <c r="AGJ9" s="252"/>
      <c r="AGK9" s="252"/>
      <c r="AGL9" s="252"/>
      <c r="AGM9" s="252"/>
      <c r="AGN9" s="252"/>
      <c r="AGO9" s="252"/>
      <c r="AGP9" s="252"/>
      <c r="AGQ9" s="252"/>
      <c r="AGR9" s="252"/>
      <c r="AGS9" s="252"/>
      <c r="AGT9" s="252"/>
      <c r="AGU9" s="252"/>
      <c r="AGV9" s="252"/>
      <c r="AGW9" s="252"/>
      <c r="AGX9" s="252"/>
      <c r="AGY9" s="252"/>
      <c r="AGZ9" s="252"/>
      <c r="AHA9" s="252"/>
      <c r="AHB9" s="252"/>
      <c r="AHC9" s="252"/>
      <c r="AHD9" s="252"/>
      <c r="AHE9" s="252"/>
      <c r="AHF9" s="252"/>
      <c r="AHG9" s="252"/>
      <c r="AHH9" s="252"/>
      <c r="AHI9" s="252"/>
      <c r="AHJ9" s="252"/>
      <c r="AHK9" s="252"/>
      <c r="AHL9" s="252"/>
      <c r="AHM9" s="252"/>
      <c r="AHN9" s="252"/>
      <c r="AHO9" s="252"/>
      <c r="AHP9" s="252"/>
      <c r="AHQ9" s="252"/>
      <c r="AHR9" s="252"/>
      <c r="AHS9" s="252"/>
      <c r="AHT9" s="252"/>
      <c r="AHU9" s="252"/>
      <c r="AHV9" s="252"/>
      <c r="AHW9" s="252"/>
      <c r="AHX9" s="252"/>
      <c r="AHY9" s="252"/>
      <c r="AHZ9" s="252"/>
      <c r="AIA9" s="252"/>
      <c r="AIB9" s="252"/>
      <c r="AIC9" s="252"/>
      <c r="AID9" s="252"/>
      <c r="AIE9" s="252"/>
      <c r="AIF9" s="252"/>
      <c r="AIG9" s="252"/>
      <c r="AIH9" s="252"/>
      <c r="AII9" s="252"/>
      <c r="AIJ9" s="252"/>
      <c r="AIK9" s="252"/>
      <c r="AIL9" s="252"/>
      <c r="AIM9" s="252"/>
      <c r="AIN9" s="252"/>
      <c r="AIO9" s="252"/>
      <c r="AIP9" s="252"/>
      <c r="AIQ9" s="252"/>
      <c r="AIR9" s="252"/>
      <c r="AIS9" s="252"/>
      <c r="AIT9" s="252"/>
      <c r="AIU9" s="252"/>
      <c r="AIV9" s="252"/>
      <c r="AIW9" s="252"/>
      <c r="AIX9" s="252"/>
      <c r="AIY9" s="252"/>
      <c r="AIZ9" s="252"/>
      <c r="AJA9" s="252"/>
      <c r="AJB9" s="252"/>
      <c r="AJC9" s="252"/>
      <c r="AJD9" s="252"/>
      <c r="AJE9" s="252"/>
      <c r="AJF9" s="252"/>
      <c r="AJG9" s="252"/>
      <c r="AJH9" s="252"/>
      <c r="AJI9" s="252"/>
      <c r="AJJ9" s="252"/>
      <c r="AJK9" s="252"/>
      <c r="AJL9" s="252"/>
      <c r="AJM9" s="252"/>
      <c r="AJN9" s="252"/>
      <c r="AJO9" s="252"/>
      <c r="AJP9" s="252"/>
      <c r="AJQ9" s="252"/>
      <c r="AJR9" s="252"/>
      <c r="AJS9" s="252"/>
      <c r="AJT9" s="252"/>
      <c r="AJU9" s="252"/>
      <c r="AJV9" s="252"/>
      <c r="AJW9" s="252"/>
      <c r="AJX9" s="252"/>
      <c r="AJY9" s="252"/>
      <c r="AJZ9" s="252"/>
      <c r="AKA9" s="252"/>
      <c r="AKB9" s="252"/>
      <c r="AKC9" s="252"/>
      <c r="AKD9" s="252"/>
      <c r="AKE9" s="252"/>
      <c r="AKF9" s="252"/>
      <c r="AKG9" s="252"/>
      <c r="AKH9" s="252"/>
      <c r="AKI9" s="252"/>
      <c r="AKJ9" s="252"/>
      <c r="AKK9" s="252"/>
      <c r="AKL9" s="252"/>
      <c r="AKM9" s="252"/>
      <c r="AKN9" s="252"/>
      <c r="AKO9" s="252"/>
      <c r="AKP9" s="252"/>
      <c r="AKQ9" s="252"/>
      <c r="AKR9" s="252"/>
      <c r="AKS9" s="252"/>
      <c r="AKT9" s="252"/>
      <c r="AKU9" s="252"/>
      <c r="AKV9" s="252"/>
      <c r="AKW9" s="252"/>
      <c r="AKX9" s="252"/>
      <c r="AKY9" s="252"/>
      <c r="AKZ9" s="252"/>
      <c r="ALA9" s="252"/>
      <c r="ALB9" s="252"/>
      <c r="ALC9" s="252"/>
      <c r="ALD9" s="252"/>
      <c r="ALE9" s="252"/>
      <c r="ALF9" s="252"/>
      <c r="ALG9" s="252"/>
      <c r="ALH9" s="252"/>
      <c r="ALI9" s="252"/>
      <c r="ALJ9" s="252"/>
      <c r="ALK9" s="252"/>
      <c r="ALL9" s="252"/>
      <c r="ALM9" s="252"/>
      <c r="ALN9" s="252"/>
      <c r="ALO9" s="252"/>
      <c r="ALP9" s="252"/>
      <c r="ALQ9" s="252"/>
      <c r="ALR9" s="252"/>
      <c r="ALS9" s="252"/>
    </row>
    <row r="10" spans="1:1007" s="3" customFormat="1" x14ac:dyDescent="0.2">
      <c r="A10" s="369" t="s">
        <v>290</v>
      </c>
      <c r="B10" s="382">
        <v>12600</v>
      </c>
      <c r="C10" s="382">
        <v>11800</v>
      </c>
      <c r="D10" s="382"/>
      <c r="E10" s="733"/>
      <c r="F10" s="730"/>
      <c r="G10" s="730"/>
      <c r="H10" s="369"/>
      <c r="I10" s="730"/>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2"/>
      <c r="BL10" s="252"/>
      <c r="BM10" s="252"/>
      <c r="BN10" s="252"/>
      <c r="BO10" s="252"/>
      <c r="BP10" s="252"/>
      <c r="BQ10" s="252"/>
      <c r="BR10" s="252"/>
      <c r="BS10" s="252"/>
      <c r="BT10" s="252"/>
      <c r="BU10" s="252"/>
      <c r="BV10" s="252"/>
      <c r="BW10" s="252"/>
      <c r="BX10" s="252"/>
      <c r="BY10" s="252"/>
      <c r="BZ10" s="252"/>
      <c r="CA10" s="252"/>
      <c r="CB10" s="252"/>
      <c r="CC10" s="252"/>
      <c r="CD10" s="252"/>
      <c r="CE10" s="252"/>
      <c r="CF10" s="252"/>
      <c r="CG10" s="252"/>
      <c r="CH10" s="252"/>
      <c r="CI10" s="252"/>
      <c r="CJ10" s="252"/>
      <c r="CK10" s="252"/>
      <c r="CL10" s="252"/>
      <c r="CM10" s="252"/>
      <c r="CN10" s="252"/>
      <c r="CO10" s="252"/>
      <c r="CP10" s="252"/>
      <c r="CQ10" s="252"/>
      <c r="CR10" s="252"/>
      <c r="CS10" s="252"/>
      <c r="CT10" s="252"/>
      <c r="CU10" s="252"/>
      <c r="CV10" s="252"/>
      <c r="CW10" s="252"/>
      <c r="CX10" s="252"/>
      <c r="CY10" s="252"/>
      <c r="CZ10" s="252"/>
      <c r="DA10" s="252"/>
      <c r="DB10" s="252"/>
      <c r="DC10" s="252"/>
      <c r="DD10" s="252"/>
      <c r="DE10" s="252"/>
      <c r="DF10" s="252"/>
      <c r="DG10" s="252"/>
      <c r="DH10" s="252"/>
      <c r="DI10" s="252"/>
      <c r="DJ10" s="252"/>
      <c r="DK10" s="252"/>
      <c r="DL10" s="252"/>
      <c r="DM10" s="252"/>
      <c r="DN10" s="252"/>
      <c r="DO10" s="252"/>
      <c r="DP10" s="252"/>
      <c r="DQ10" s="252"/>
      <c r="DR10" s="252"/>
      <c r="DS10" s="252"/>
      <c r="DT10" s="252"/>
      <c r="DU10" s="252"/>
      <c r="DV10" s="252"/>
      <c r="DW10" s="252"/>
      <c r="DX10" s="252"/>
      <c r="DY10" s="252"/>
      <c r="DZ10" s="252"/>
      <c r="EA10" s="252"/>
      <c r="EB10" s="252"/>
      <c r="EC10" s="252"/>
      <c r="ED10" s="252"/>
      <c r="EE10" s="252"/>
      <c r="EF10" s="252"/>
      <c r="EG10" s="252"/>
      <c r="EH10" s="252"/>
      <c r="EI10" s="252"/>
      <c r="EJ10" s="252"/>
      <c r="EK10" s="252"/>
      <c r="EL10" s="252"/>
      <c r="EM10" s="252"/>
      <c r="EN10" s="252"/>
      <c r="EO10" s="252"/>
      <c r="EP10" s="252"/>
      <c r="EQ10" s="252"/>
      <c r="ER10" s="252"/>
      <c r="ES10" s="252"/>
      <c r="ET10" s="252"/>
      <c r="EU10" s="252"/>
      <c r="EV10" s="252"/>
      <c r="EW10" s="252"/>
      <c r="EX10" s="252"/>
      <c r="EY10" s="252"/>
      <c r="EZ10" s="252"/>
      <c r="FA10" s="252"/>
      <c r="FB10" s="252"/>
      <c r="FC10" s="252"/>
      <c r="FD10" s="252"/>
      <c r="FE10" s="252"/>
      <c r="FF10" s="252"/>
      <c r="FG10" s="252"/>
      <c r="FH10" s="252"/>
      <c r="FI10" s="252"/>
      <c r="FJ10" s="252"/>
      <c r="FK10" s="252"/>
      <c r="FL10" s="252"/>
      <c r="FM10" s="252"/>
      <c r="FN10" s="252"/>
      <c r="FO10" s="252"/>
      <c r="FP10" s="252"/>
      <c r="FQ10" s="252"/>
      <c r="FR10" s="252"/>
      <c r="FS10" s="252"/>
      <c r="FT10" s="252"/>
      <c r="FU10" s="252"/>
      <c r="FV10" s="252"/>
      <c r="FW10" s="252"/>
      <c r="FX10" s="252"/>
      <c r="FY10" s="252"/>
      <c r="FZ10" s="252"/>
      <c r="GA10" s="252"/>
      <c r="GB10" s="252"/>
      <c r="GC10" s="252"/>
      <c r="GD10" s="252"/>
      <c r="GE10" s="252"/>
      <c r="GF10" s="252"/>
      <c r="GG10" s="252"/>
      <c r="GH10" s="252"/>
      <c r="GI10" s="252"/>
      <c r="GJ10" s="252"/>
      <c r="GK10" s="252"/>
      <c r="GL10" s="252"/>
      <c r="GM10" s="252"/>
      <c r="GN10" s="252"/>
      <c r="GO10" s="252"/>
      <c r="GP10" s="252"/>
      <c r="GQ10" s="252"/>
      <c r="GR10" s="252"/>
      <c r="GS10" s="252"/>
      <c r="GT10" s="252"/>
      <c r="GU10" s="252"/>
      <c r="GV10" s="252"/>
      <c r="GW10" s="252"/>
      <c r="GX10" s="252"/>
      <c r="GY10" s="252"/>
      <c r="GZ10" s="252"/>
      <c r="HA10" s="252"/>
      <c r="HB10" s="252"/>
      <c r="HC10" s="252"/>
      <c r="HD10" s="252"/>
      <c r="HE10" s="252"/>
      <c r="HF10" s="252"/>
      <c r="HG10" s="252"/>
      <c r="HH10" s="252"/>
      <c r="HI10" s="252"/>
      <c r="HJ10" s="252"/>
      <c r="HK10" s="252"/>
      <c r="HL10" s="252"/>
      <c r="HM10" s="252"/>
      <c r="HN10" s="252"/>
      <c r="HO10" s="252"/>
      <c r="HP10" s="252"/>
      <c r="HQ10" s="252"/>
      <c r="HR10" s="252"/>
      <c r="HS10" s="252"/>
      <c r="HT10" s="252"/>
      <c r="HU10" s="252"/>
      <c r="HV10" s="252"/>
      <c r="HW10" s="252"/>
      <c r="HX10" s="252"/>
      <c r="HY10" s="252"/>
      <c r="HZ10" s="252"/>
      <c r="IA10" s="252"/>
      <c r="IB10" s="252"/>
      <c r="IC10" s="252"/>
      <c r="ID10" s="252"/>
      <c r="IE10" s="252"/>
      <c r="IF10" s="252"/>
      <c r="IG10" s="252"/>
      <c r="IH10" s="252"/>
      <c r="II10" s="252"/>
      <c r="IJ10" s="252"/>
      <c r="IK10" s="252"/>
      <c r="IL10" s="252"/>
      <c r="IM10" s="252"/>
      <c r="IN10" s="252"/>
      <c r="IO10" s="252"/>
      <c r="IP10" s="252"/>
      <c r="IQ10" s="252"/>
      <c r="IR10" s="252"/>
      <c r="IS10" s="252"/>
      <c r="IT10" s="252"/>
      <c r="IU10" s="252"/>
      <c r="IV10" s="252"/>
      <c r="IW10" s="252"/>
      <c r="IX10" s="252"/>
      <c r="IY10" s="252"/>
      <c r="IZ10" s="252"/>
      <c r="JA10" s="252"/>
      <c r="JB10" s="252"/>
      <c r="JC10" s="252"/>
      <c r="JD10" s="252"/>
      <c r="JE10" s="252"/>
      <c r="JF10" s="252"/>
      <c r="JG10" s="252"/>
      <c r="JH10" s="252"/>
      <c r="JI10" s="252"/>
      <c r="JJ10" s="252"/>
      <c r="JK10" s="252"/>
      <c r="JL10" s="252"/>
      <c r="JM10" s="252"/>
      <c r="JN10" s="252"/>
      <c r="JO10" s="252"/>
      <c r="JP10" s="252"/>
      <c r="JQ10" s="252"/>
      <c r="JR10" s="252"/>
      <c r="JS10" s="252"/>
      <c r="JT10" s="252"/>
      <c r="JU10" s="252"/>
      <c r="JV10" s="252"/>
      <c r="JW10" s="252"/>
      <c r="JX10" s="252"/>
      <c r="JY10" s="252"/>
      <c r="JZ10" s="252"/>
      <c r="KA10" s="252"/>
      <c r="KB10" s="252"/>
      <c r="KC10" s="252"/>
      <c r="KD10" s="252"/>
      <c r="KE10" s="252"/>
      <c r="KF10" s="252"/>
      <c r="KG10" s="252"/>
      <c r="KH10" s="252"/>
      <c r="KI10" s="252"/>
      <c r="KJ10" s="252"/>
      <c r="KK10" s="252"/>
      <c r="KL10" s="252"/>
      <c r="KM10" s="252"/>
      <c r="KN10" s="252"/>
      <c r="KO10" s="252"/>
      <c r="KP10" s="252"/>
      <c r="KQ10" s="252"/>
      <c r="KR10" s="252"/>
      <c r="KS10" s="252"/>
      <c r="KT10" s="252"/>
      <c r="KU10" s="252"/>
      <c r="KV10" s="252"/>
      <c r="KW10" s="252"/>
      <c r="KX10" s="252"/>
      <c r="KY10" s="252"/>
      <c r="KZ10" s="252"/>
      <c r="LA10" s="252"/>
      <c r="LB10" s="252"/>
      <c r="LC10" s="252"/>
      <c r="LD10" s="252"/>
      <c r="LE10" s="252"/>
      <c r="LF10" s="252"/>
      <c r="LG10" s="252"/>
      <c r="LH10" s="252"/>
      <c r="LI10" s="252"/>
      <c r="LJ10" s="252"/>
      <c r="LK10" s="252"/>
      <c r="LL10" s="252"/>
      <c r="LM10" s="252"/>
      <c r="LN10" s="252"/>
      <c r="LO10" s="252"/>
      <c r="LP10" s="252"/>
      <c r="LQ10" s="252"/>
      <c r="LR10" s="252"/>
      <c r="LS10" s="252"/>
      <c r="LT10" s="252"/>
      <c r="LU10" s="252"/>
      <c r="LV10" s="252"/>
      <c r="LW10" s="252"/>
      <c r="LX10" s="252"/>
      <c r="LY10" s="252"/>
      <c r="LZ10" s="252"/>
      <c r="MA10" s="252"/>
      <c r="MB10" s="252"/>
      <c r="MC10" s="252"/>
      <c r="MD10" s="252"/>
      <c r="ME10" s="252"/>
      <c r="MF10" s="252"/>
      <c r="MG10" s="252"/>
      <c r="MH10" s="252"/>
      <c r="MI10" s="252"/>
      <c r="MJ10" s="252"/>
      <c r="MK10" s="252"/>
      <c r="ML10" s="252"/>
      <c r="MM10" s="252"/>
      <c r="MN10" s="252"/>
      <c r="MO10" s="252"/>
      <c r="MP10" s="252"/>
      <c r="MQ10" s="252"/>
      <c r="MR10" s="252"/>
      <c r="MS10" s="252"/>
      <c r="MT10" s="252"/>
      <c r="MU10" s="252"/>
      <c r="MV10" s="252"/>
      <c r="MW10" s="252"/>
      <c r="MX10" s="252"/>
      <c r="MY10" s="252"/>
      <c r="MZ10" s="252"/>
      <c r="NA10" s="252"/>
      <c r="NB10" s="252"/>
      <c r="NC10" s="252"/>
      <c r="ND10" s="252"/>
      <c r="NE10" s="252"/>
      <c r="NF10" s="252"/>
      <c r="NG10" s="252"/>
      <c r="NH10" s="252"/>
      <c r="NI10" s="252"/>
      <c r="NJ10" s="252"/>
      <c r="NK10" s="252"/>
      <c r="NL10" s="252"/>
      <c r="NM10" s="252"/>
      <c r="NN10" s="252"/>
      <c r="NO10" s="252"/>
      <c r="NP10" s="252"/>
      <c r="NQ10" s="252"/>
      <c r="NR10" s="252"/>
      <c r="NS10" s="252"/>
      <c r="NT10" s="252"/>
      <c r="NU10" s="252"/>
      <c r="NV10" s="252"/>
      <c r="NW10" s="252"/>
      <c r="NX10" s="252"/>
      <c r="NY10" s="252"/>
      <c r="NZ10" s="252"/>
      <c r="OA10" s="252"/>
      <c r="OB10" s="252"/>
      <c r="OC10" s="252"/>
      <c r="OD10" s="252"/>
      <c r="OE10" s="252"/>
      <c r="OF10" s="252"/>
      <c r="OG10" s="252"/>
      <c r="OH10" s="252"/>
      <c r="OI10" s="252"/>
      <c r="OJ10" s="252"/>
      <c r="OK10" s="252"/>
      <c r="OL10" s="252"/>
      <c r="OM10" s="252"/>
      <c r="ON10" s="252"/>
      <c r="OO10" s="252"/>
      <c r="OP10" s="252"/>
      <c r="OQ10" s="252"/>
      <c r="OR10" s="252"/>
      <c r="OS10" s="252"/>
      <c r="OT10" s="252"/>
      <c r="OU10" s="252"/>
      <c r="OV10" s="252"/>
      <c r="OW10" s="252"/>
      <c r="OX10" s="252"/>
      <c r="OY10" s="252"/>
      <c r="OZ10" s="252"/>
      <c r="PA10" s="252"/>
      <c r="PB10" s="252"/>
      <c r="PC10" s="252"/>
      <c r="PD10" s="252"/>
      <c r="PE10" s="252"/>
      <c r="PF10" s="252"/>
      <c r="PG10" s="252"/>
      <c r="PH10" s="252"/>
      <c r="PI10" s="252"/>
      <c r="PJ10" s="252"/>
      <c r="PK10" s="252"/>
      <c r="PL10" s="252"/>
      <c r="PM10" s="252"/>
      <c r="PN10" s="252"/>
      <c r="PO10" s="252"/>
      <c r="PP10" s="252"/>
      <c r="PQ10" s="252"/>
      <c r="PR10" s="252"/>
      <c r="PS10" s="252"/>
      <c r="PT10" s="252"/>
      <c r="PU10" s="252"/>
      <c r="PV10" s="252"/>
      <c r="PW10" s="252"/>
      <c r="PX10" s="252"/>
      <c r="PY10" s="252"/>
      <c r="PZ10" s="252"/>
      <c r="QA10" s="252"/>
      <c r="QB10" s="252"/>
      <c r="QC10" s="252"/>
      <c r="QD10" s="252"/>
      <c r="QE10" s="252"/>
      <c r="QF10" s="252"/>
      <c r="QG10" s="252"/>
      <c r="QH10" s="252"/>
      <c r="QI10" s="252"/>
      <c r="QJ10" s="252"/>
      <c r="QK10" s="252"/>
      <c r="QL10" s="252"/>
      <c r="QM10" s="252"/>
      <c r="QN10" s="252"/>
      <c r="QO10" s="252"/>
      <c r="QP10" s="252"/>
      <c r="QQ10" s="252"/>
      <c r="QR10" s="252"/>
      <c r="QS10" s="252"/>
      <c r="QT10" s="252"/>
      <c r="QU10" s="252"/>
      <c r="QV10" s="252"/>
      <c r="QW10" s="252"/>
      <c r="QX10" s="252"/>
      <c r="QY10" s="252"/>
      <c r="QZ10" s="252"/>
      <c r="RA10" s="252"/>
      <c r="RB10" s="252"/>
      <c r="RC10" s="252"/>
      <c r="RD10" s="252"/>
      <c r="RE10" s="252"/>
      <c r="RF10" s="252"/>
      <c r="RG10" s="252"/>
      <c r="RH10" s="252"/>
      <c r="RI10" s="252"/>
      <c r="RJ10" s="252"/>
      <c r="RK10" s="252"/>
      <c r="RL10" s="252"/>
      <c r="RM10" s="252"/>
      <c r="RN10" s="252"/>
      <c r="RO10" s="252"/>
      <c r="RP10" s="252"/>
      <c r="RQ10" s="252"/>
      <c r="RR10" s="252"/>
      <c r="RS10" s="252"/>
      <c r="RT10" s="252"/>
      <c r="RU10" s="252"/>
      <c r="RV10" s="252"/>
      <c r="RW10" s="252"/>
      <c r="RX10" s="252"/>
      <c r="RY10" s="252"/>
      <c r="RZ10" s="252"/>
      <c r="SA10" s="252"/>
      <c r="SB10" s="252"/>
      <c r="SC10" s="252"/>
      <c r="SD10" s="252"/>
      <c r="SE10" s="252"/>
      <c r="SF10" s="252"/>
      <c r="SG10" s="252"/>
      <c r="SH10" s="252"/>
      <c r="SI10" s="252"/>
      <c r="SJ10" s="252"/>
      <c r="SK10" s="252"/>
      <c r="SL10" s="252"/>
      <c r="SM10" s="252"/>
      <c r="SN10" s="252"/>
      <c r="SO10" s="252"/>
      <c r="SP10" s="252"/>
      <c r="SQ10" s="252"/>
      <c r="SR10" s="252"/>
      <c r="SS10" s="252"/>
      <c r="ST10" s="252"/>
      <c r="SU10" s="252"/>
      <c r="SV10" s="252"/>
      <c r="SW10" s="252"/>
      <c r="SX10" s="252"/>
      <c r="SY10" s="252"/>
      <c r="SZ10" s="252"/>
      <c r="TA10" s="252"/>
      <c r="TB10" s="252"/>
      <c r="TC10" s="252"/>
      <c r="TD10" s="252"/>
      <c r="TE10" s="252"/>
      <c r="TF10" s="252"/>
      <c r="TG10" s="252"/>
      <c r="TH10" s="252"/>
      <c r="TI10" s="252"/>
      <c r="TJ10" s="252"/>
      <c r="TK10" s="252"/>
      <c r="TL10" s="252"/>
      <c r="TM10" s="252"/>
      <c r="TN10" s="252"/>
      <c r="TO10" s="252"/>
      <c r="TP10" s="252"/>
      <c r="TQ10" s="252"/>
      <c r="TR10" s="252"/>
      <c r="TS10" s="252"/>
      <c r="TT10" s="252"/>
      <c r="TU10" s="252"/>
      <c r="TV10" s="252"/>
      <c r="TW10" s="252"/>
      <c r="TX10" s="252"/>
      <c r="TY10" s="252"/>
      <c r="TZ10" s="252"/>
      <c r="UA10" s="252"/>
      <c r="UB10" s="252"/>
      <c r="UC10" s="252"/>
      <c r="UD10" s="252"/>
      <c r="UE10" s="252"/>
      <c r="UF10" s="252"/>
      <c r="UG10" s="252"/>
      <c r="UH10" s="252"/>
      <c r="UI10" s="252"/>
      <c r="UJ10" s="252"/>
      <c r="UK10" s="252"/>
      <c r="UL10" s="252"/>
      <c r="UM10" s="252"/>
      <c r="UN10" s="252"/>
      <c r="UO10" s="252"/>
      <c r="UP10" s="252"/>
      <c r="UQ10" s="252"/>
      <c r="UR10" s="252"/>
      <c r="US10" s="252"/>
      <c r="UT10" s="252"/>
      <c r="UU10" s="252"/>
      <c r="UV10" s="252"/>
      <c r="UW10" s="252"/>
      <c r="UX10" s="252"/>
      <c r="UY10" s="252"/>
      <c r="UZ10" s="252"/>
      <c r="VA10" s="252"/>
      <c r="VB10" s="252"/>
      <c r="VC10" s="252"/>
      <c r="VD10" s="252"/>
      <c r="VE10" s="252"/>
      <c r="VF10" s="252"/>
      <c r="VG10" s="252"/>
      <c r="VH10" s="252"/>
      <c r="VI10" s="252"/>
      <c r="VJ10" s="252"/>
      <c r="VK10" s="252"/>
      <c r="VL10" s="252"/>
      <c r="VM10" s="252"/>
      <c r="VN10" s="252"/>
      <c r="VO10" s="252"/>
      <c r="VP10" s="252"/>
      <c r="VQ10" s="252"/>
      <c r="VR10" s="252"/>
      <c r="VS10" s="252"/>
      <c r="VT10" s="252"/>
      <c r="VU10" s="252"/>
      <c r="VV10" s="252"/>
      <c r="VW10" s="252"/>
      <c r="VX10" s="252"/>
      <c r="VY10" s="252"/>
      <c r="VZ10" s="252"/>
      <c r="WA10" s="252"/>
      <c r="WB10" s="252"/>
      <c r="WC10" s="252"/>
      <c r="WD10" s="252"/>
      <c r="WE10" s="252"/>
      <c r="WF10" s="252"/>
      <c r="WG10" s="252"/>
      <c r="WH10" s="252"/>
      <c r="WI10" s="252"/>
      <c r="WJ10" s="252"/>
      <c r="WK10" s="252"/>
      <c r="WL10" s="252"/>
      <c r="WM10" s="252"/>
      <c r="WN10" s="252"/>
      <c r="WO10" s="252"/>
      <c r="WP10" s="252"/>
      <c r="WQ10" s="252"/>
      <c r="WR10" s="252"/>
      <c r="WS10" s="252"/>
      <c r="WT10" s="252"/>
      <c r="WU10" s="252"/>
      <c r="WV10" s="252"/>
      <c r="WW10" s="252"/>
      <c r="WX10" s="252"/>
      <c r="WY10" s="252"/>
      <c r="WZ10" s="252"/>
      <c r="XA10" s="252"/>
      <c r="XB10" s="252"/>
      <c r="XC10" s="252"/>
      <c r="XD10" s="252"/>
      <c r="XE10" s="252"/>
      <c r="XF10" s="252"/>
      <c r="XG10" s="252"/>
      <c r="XH10" s="252"/>
      <c r="XI10" s="252"/>
      <c r="XJ10" s="252"/>
      <c r="XK10" s="252"/>
      <c r="XL10" s="252"/>
      <c r="XM10" s="252"/>
      <c r="XN10" s="252"/>
      <c r="XO10" s="252"/>
      <c r="XP10" s="252"/>
      <c r="XQ10" s="252"/>
      <c r="XR10" s="252"/>
      <c r="XS10" s="252"/>
      <c r="XT10" s="252"/>
      <c r="XU10" s="252"/>
      <c r="XV10" s="252"/>
      <c r="XW10" s="252"/>
      <c r="XX10" s="252"/>
      <c r="XY10" s="252"/>
      <c r="XZ10" s="252"/>
      <c r="YA10" s="252"/>
      <c r="YB10" s="252"/>
      <c r="YC10" s="252"/>
      <c r="YD10" s="252"/>
      <c r="YE10" s="252"/>
      <c r="YF10" s="252"/>
      <c r="YG10" s="252"/>
      <c r="YH10" s="252"/>
      <c r="YI10" s="252"/>
      <c r="YJ10" s="252"/>
      <c r="YK10" s="252"/>
      <c r="YL10" s="252"/>
      <c r="YM10" s="252"/>
      <c r="YN10" s="252"/>
      <c r="YO10" s="252"/>
      <c r="YP10" s="252"/>
      <c r="YQ10" s="252"/>
      <c r="YR10" s="252"/>
      <c r="YS10" s="252"/>
      <c r="YT10" s="252"/>
      <c r="YU10" s="252"/>
      <c r="YV10" s="252"/>
      <c r="YW10" s="252"/>
      <c r="YX10" s="252"/>
      <c r="YY10" s="252"/>
      <c r="YZ10" s="252"/>
      <c r="ZA10" s="252"/>
      <c r="ZB10" s="252"/>
      <c r="ZC10" s="252"/>
      <c r="ZD10" s="252"/>
      <c r="ZE10" s="252"/>
      <c r="ZF10" s="252"/>
      <c r="ZG10" s="252"/>
      <c r="ZH10" s="252"/>
      <c r="ZI10" s="252"/>
      <c r="ZJ10" s="252"/>
      <c r="ZK10" s="252"/>
      <c r="ZL10" s="252"/>
      <c r="ZM10" s="252"/>
      <c r="ZN10" s="252"/>
      <c r="ZO10" s="252"/>
      <c r="ZP10" s="252"/>
      <c r="ZQ10" s="252"/>
      <c r="ZR10" s="252"/>
      <c r="ZS10" s="252"/>
      <c r="ZT10" s="252"/>
      <c r="ZU10" s="252"/>
      <c r="ZV10" s="252"/>
      <c r="ZW10" s="252"/>
      <c r="ZX10" s="252"/>
      <c r="ZY10" s="252"/>
      <c r="ZZ10" s="252"/>
      <c r="AAA10" s="252"/>
      <c r="AAB10" s="252"/>
      <c r="AAC10" s="252"/>
      <c r="AAD10" s="252"/>
      <c r="AAE10" s="252"/>
      <c r="AAF10" s="252"/>
      <c r="AAG10" s="252"/>
      <c r="AAH10" s="252"/>
      <c r="AAI10" s="252"/>
      <c r="AAJ10" s="252"/>
      <c r="AAK10" s="252"/>
      <c r="AAL10" s="252"/>
      <c r="AAM10" s="252"/>
      <c r="AAN10" s="252"/>
      <c r="AAO10" s="252"/>
      <c r="AAP10" s="252"/>
      <c r="AAQ10" s="252"/>
      <c r="AAR10" s="252"/>
      <c r="AAS10" s="252"/>
      <c r="AAT10" s="252"/>
      <c r="AAU10" s="252"/>
      <c r="AAV10" s="252"/>
      <c r="AAW10" s="252"/>
      <c r="AAX10" s="252"/>
      <c r="AAY10" s="252"/>
      <c r="AAZ10" s="252"/>
      <c r="ABA10" s="252"/>
      <c r="ABB10" s="252"/>
      <c r="ABC10" s="252"/>
      <c r="ABD10" s="252"/>
      <c r="ABE10" s="252"/>
      <c r="ABF10" s="252"/>
      <c r="ABG10" s="252"/>
      <c r="ABH10" s="252"/>
      <c r="ABI10" s="252"/>
      <c r="ABJ10" s="252"/>
      <c r="ABK10" s="252"/>
      <c r="ABL10" s="252"/>
      <c r="ABM10" s="252"/>
      <c r="ABN10" s="252"/>
      <c r="ABO10" s="252"/>
      <c r="ABP10" s="252"/>
      <c r="ABQ10" s="252"/>
      <c r="ABR10" s="252"/>
      <c r="ABS10" s="252"/>
      <c r="ABT10" s="252"/>
      <c r="ABU10" s="252"/>
      <c r="ABV10" s="252"/>
      <c r="ABW10" s="252"/>
      <c r="ABX10" s="252"/>
      <c r="ABY10" s="252"/>
      <c r="ABZ10" s="252"/>
      <c r="ACA10" s="252"/>
      <c r="ACB10" s="252"/>
      <c r="ACC10" s="252"/>
      <c r="ACD10" s="252"/>
      <c r="ACE10" s="252"/>
      <c r="ACF10" s="252"/>
      <c r="ACG10" s="252"/>
      <c r="ACH10" s="252"/>
      <c r="ACI10" s="252"/>
      <c r="ACJ10" s="252"/>
      <c r="ACK10" s="252"/>
      <c r="ACL10" s="252"/>
      <c r="ACM10" s="252"/>
      <c r="ACN10" s="252"/>
      <c r="ACO10" s="252"/>
      <c r="ACP10" s="252"/>
      <c r="ACQ10" s="252"/>
      <c r="ACR10" s="252"/>
      <c r="ACS10" s="252"/>
      <c r="ACT10" s="252"/>
      <c r="ACU10" s="252"/>
      <c r="ACV10" s="252"/>
      <c r="ACW10" s="252"/>
      <c r="ACX10" s="252"/>
      <c r="ACY10" s="252"/>
      <c r="ACZ10" s="252"/>
      <c r="ADA10" s="252"/>
      <c r="ADB10" s="252"/>
      <c r="ADC10" s="252"/>
      <c r="ADD10" s="252"/>
      <c r="ADE10" s="252"/>
      <c r="ADF10" s="252"/>
      <c r="ADG10" s="252"/>
      <c r="ADH10" s="252"/>
      <c r="ADI10" s="252"/>
      <c r="ADJ10" s="252"/>
      <c r="ADK10" s="252"/>
      <c r="ADL10" s="252"/>
      <c r="ADM10" s="252"/>
      <c r="ADN10" s="252"/>
      <c r="ADO10" s="252"/>
      <c r="ADP10" s="252"/>
      <c r="ADQ10" s="252"/>
      <c r="ADR10" s="252"/>
      <c r="ADS10" s="252"/>
      <c r="ADT10" s="252"/>
      <c r="ADU10" s="252"/>
      <c r="ADV10" s="252"/>
      <c r="ADW10" s="252"/>
      <c r="ADX10" s="252"/>
      <c r="ADY10" s="252"/>
      <c r="ADZ10" s="252"/>
      <c r="AEA10" s="252"/>
      <c r="AEB10" s="252"/>
      <c r="AEC10" s="252"/>
      <c r="AED10" s="252"/>
      <c r="AEE10" s="252"/>
      <c r="AEF10" s="252"/>
      <c r="AEG10" s="252"/>
      <c r="AEH10" s="252"/>
      <c r="AEI10" s="252"/>
      <c r="AEJ10" s="252"/>
      <c r="AEK10" s="252"/>
      <c r="AEL10" s="252"/>
      <c r="AEM10" s="252"/>
      <c r="AEN10" s="252"/>
      <c r="AEO10" s="252"/>
      <c r="AEP10" s="252"/>
      <c r="AEQ10" s="252"/>
      <c r="AER10" s="252"/>
      <c r="AES10" s="252"/>
      <c r="AET10" s="252"/>
      <c r="AEU10" s="252"/>
      <c r="AEV10" s="252"/>
      <c r="AEW10" s="252"/>
      <c r="AEX10" s="252"/>
      <c r="AEY10" s="252"/>
      <c r="AEZ10" s="252"/>
      <c r="AFA10" s="252"/>
      <c r="AFB10" s="252"/>
      <c r="AFC10" s="252"/>
      <c r="AFD10" s="252"/>
      <c r="AFE10" s="252"/>
      <c r="AFF10" s="252"/>
      <c r="AFG10" s="252"/>
      <c r="AFH10" s="252"/>
      <c r="AFI10" s="252"/>
      <c r="AFJ10" s="252"/>
      <c r="AFK10" s="252"/>
      <c r="AFL10" s="252"/>
      <c r="AFM10" s="252"/>
      <c r="AFN10" s="252"/>
      <c r="AFO10" s="252"/>
      <c r="AFP10" s="252"/>
      <c r="AFQ10" s="252"/>
      <c r="AFR10" s="252"/>
      <c r="AFS10" s="252"/>
      <c r="AFT10" s="252"/>
      <c r="AFU10" s="252"/>
      <c r="AFV10" s="252"/>
      <c r="AFW10" s="252"/>
      <c r="AFX10" s="252"/>
      <c r="AFY10" s="252"/>
      <c r="AFZ10" s="252"/>
      <c r="AGA10" s="252"/>
      <c r="AGB10" s="252"/>
      <c r="AGC10" s="252"/>
      <c r="AGD10" s="252"/>
      <c r="AGE10" s="252"/>
      <c r="AGF10" s="252"/>
      <c r="AGG10" s="252"/>
      <c r="AGH10" s="252"/>
      <c r="AGI10" s="252"/>
      <c r="AGJ10" s="252"/>
      <c r="AGK10" s="252"/>
      <c r="AGL10" s="252"/>
      <c r="AGM10" s="252"/>
      <c r="AGN10" s="252"/>
      <c r="AGO10" s="252"/>
      <c r="AGP10" s="252"/>
      <c r="AGQ10" s="252"/>
      <c r="AGR10" s="252"/>
      <c r="AGS10" s="252"/>
      <c r="AGT10" s="252"/>
      <c r="AGU10" s="252"/>
      <c r="AGV10" s="252"/>
      <c r="AGW10" s="252"/>
      <c r="AGX10" s="252"/>
      <c r="AGY10" s="252"/>
      <c r="AGZ10" s="252"/>
      <c r="AHA10" s="252"/>
      <c r="AHB10" s="252"/>
      <c r="AHC10" s="252"/>
      <c r="AHD10" s="252"/>
      <c r="AHE10" s="252"/>
      <c r="AHF10" s="252"/>
      <c r="AHG10" s="252"/>
      <c r="AHH10" s="252"/>
      <c r="AHI10" s="252"/>
      <c r="AHJ10" s="252"/>
      <c r="AHK10" s="252"/>
      <c r="AHL10" s="252"/>
      <c r="AHM10" s="252"/>
      <c r="AHN10" s="252"/>
      <c r="AHO10" s="252"/>
      <c r="AHP10" s="252"/>
      <c r="AHQ10" s="252"/>
      <c r="AHR10" s="252"/>
      <c r="AHS10" s="252"/>
      <c r="AHT10" s="252"/>
      <c r="AHU10" s="252"/>
      <c r="AHV10" s="252"/>
      <c r="AHW10" s="252"/>
      <c r="AHX10" s="252"/>
      <c r="AHY10" s="252"/>
      <c r="AHZ10" s="252"/>
      <c r="AIA10" s="252"/>
      <c r="AIB10" s="252"/>
      <c r="AIC10" s="252"/>
      <c r="AID10" s="252"/>
      <c r="AIE10" s="252"/>
      <c r="AIF10" s="252"/>
      <c r="AIG10" s="252"/>
      <c r="AIH10" s="252"/>
      <c r="AII10" s="252"/>
      <c r="AIJ10" s="252"/>
      <c r="AIK10" s="252"/>
      <c r="AIL10" s="252"/>
      <c r="AIM10" s="252"/>
      <c r="AIN10" s="252"/>
      <c r="AIO10" s="252"/>
      <c r="AIP10" s="252"/>
      <c r="AIQ10" s="252"/>
      <c r="AIR10" s="252"/>
      <c r="AIS10" s="252"/>
      <c r="AIT10" s="252"/>
      <c r="AIU10" s="252"/>
      <c r="AIV10" s="252"/>
      <c r="AIW10" s="252"/>
      <c r="AIX10" s="252"/>
      <c r="AIY10" s="252"/>
      <c r="AIZ10" s="252"/>
      <c r="AJA10" s="252"/>
      <c r="AJB10" s="252"/>
      <c r="AJC10" s="252"/>
      <c r="AJD10" s="252"/>
      <c r="AJE10" s="252"/>
      <c r="AJF10" s="252"/>
      <c r="AJG10" s="252"/>
      <c r="AJH10" s="252"/>
      <c r="AJI10" s="252"/>
      <c r="AJJ10" s="252"/>
      <c r="AJK10" s="252"/>
      <c r="AJL10" s="252"/>
      <c r="AJM10" s="252"/>
      <c r="AJN10" s="252"/>
      <c r="AJO10" s="252"/>
      <c r="AJP10" s="252"/>
      <c r="AJQ10" s="252"/>
      <c r="AJR10" s="252"/>
      <c r="AJS10" s="252"/>
      <c r="AJT10" s="252"/>
      <c r="AJU10" s="252"/>
      <c r="AJV10" s="252"/>
      <c r="AJW10" s="252"/>
      <c r="AJX10" s="252"/>
      <c r="AJY10" s="252"/>
      <c r="AJZ10" s="252"/>
      <c r="AKA10" s="252"/>
      <c r="AKB10" s="252"/>
      <c r="AKC10" s="252"/>
      <c r="AKD10" s="252"/>
      <c r="AKE10" s="252"/>
      <c r="AKF10" s="252"/>
      <c r="AKG10" s="252"/>
      <c r="AKH10" s="252"/>
      <c r="AKI10" s="252"/>
      <c r="AKJ10" s="252"/>
      <c r="AKK10" s="252"/>
      <c r="AKL10" s="252"/>
      <c r="AKM10" s="252"/>
      <c r="AKN10" s="252"/>
      <c r="AKO10" s="252"/>
      <c r="AKP10" s="252"/>
      <c r="AKQ10" s="252"/>
      <c r="AKR10" s="252"/>
      <c r="AKS10" s="252"/>
      <c r="AKT10" s="252"/>
      <c r="AKU10" s="252"/>
      <c r="AKV10" s="252"/>
      <c r="AKW10" s="252"/>
      <c r="AKX10" s="252"/>
      <c r="AKY10" s="252"/>
      <c r="AKZ10" s="252"/>
      <c r="ALA10" s="252"/>
      <c r="ALB10" s="252"/>
      <c r="ALC10" s="252"/>
      <c r="ALD10" s="252"/>
      <c r="ALE10" s="252"/>
      <c r="ALF10" s="252"/>
      <c r="ALG10" s="252"/>
      <c r="ALH10" s="252"/>
      <c r="ALI10" s="252"/>
      <c r="ALJ10" s="252"/>
      <c r="ALK10" s="252"/>
      <c r="ALL10" s="252"/>
      <c r="ALM10" s="252"/>
      <c r="ALN10" s="252"/>
      <c r="ALO10" s="252"/>
      <c r="ALP10" s="252"/>
      <c r="ALQ10" s="252"/>
      <c r="ALR10" s="252"/>
      <c r="ALS10" s="252"/>
    </row>
    <row r="11" spans="1:1007" s="3" customFormat="1" x14ac:dyDescent="0.2">
      <c r="A11" s="369" t="s">
        <v>297</v>
      </c>
      <c r="B11" s="382"/>
      <c r="C11" s="382"/>
      <c r="D11" s="382">
        <v>10600</v>
      </c>
      <c r="E11" s="733"/>
      <c r="F11" s="730"/>
      <c r="G11" s="730"/>
      <c r="H11" s="369"/>
      <c r="I11" s="730"/>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2"/>
      <c r="AY11" s="252"/>
      <c r="AZ11" s="252"/>
      <c r="BA11" s="252"/>
      <c r="BB11" s="252"/>
      <c r="BC11" s="252"/>
      <c r="BD11" s="252"/>
      <c r="BE11" s="252"/>
      <c r="BF11" s="252"/>
      <c r="BG11" s="252"/>
      <c r="BH11" s="252"/>
      <c r="BI11" s="252"/>
      <c r="BJ11" s="252"/>
      <c r="BK11" s="252"/>
      <c r="BL11" s="252"/>
      <c r="BM11" s="252"/>
      <c r="BN11" s="252"/>
      <c r="BO11" s="252"/>
      <c r="BP11" s="252"/>
      <c r="BQ11" s="252"/>
      <c r="BR11" s="252"/>
      <c r="BS11" s="252"/>
      <c r="BT11" s="252"/>
      <c r="BU11" s="252"/>
      <c r="BV11" s="252"/>
      <c r="BW11" s="252"/>
      <c r="BX11" s="252"/>
      <c r="BY11" s="252"/>
      <c r="BZ11" s="252"/>
      <c r="CA11" s="252"/>
      <c r="CB11" s="252"/>
      <c r="CC11" s="252"/>
      <c r="CD11" s="252"/>
      <c r="CE11" s="252"/>
      <c r="CF11" s="252"/>
      <c r="CG11" s="252"/>
      <c r="CH11" s="252"/>
      <c r="CI11" s="252"/>
      <c r="CJ11" s="252"/>
      <c r="CK11" s="252"/>
      <c r="CL11" s="252"/>
      <c r="CM11" s="252"/>
      <c r="CN11" s="252"/>
      <c r="CO11" s="252"/>
      <c r="CP11" s="252"/>
      <c r="CQ11" s="252"/>
      <c r="CR11" s="252"/>
      <c r="CS11" s="252"/>
      <c r="CT11" s="252"/>
      <c r="CU11" s="252"/>
      <c r="CV11" s="252"/>
      <c r="CW11" s="252"/>
      <c r="CX11" s="252"/>
      <c r="CY11" s="252"/>
      <c r="CZ11" s="252"/>
      <c r="DA11" s="252"/>
      <c r="DB11" s="252"/>
      <c r="DC11" s="252"/>
      <c r="DD11" s="252"/>
      <c r="DE11" s="252"/>
      <c r="DF11" s="252"/>
      <c r="DG11" s="252"/>
      <c r="DH11" s="252"/>
      <c r="DI11" s="252"/>
      <c r="DJ11" s="252"/>
      <c r="DK11" s="252"/>
      <c r="DL11" s="252"/>
      <c r="DM11" s="252"/>
      <c r="DN11" s="252"/>
      <c r="DO11" s="252"/>
      <c r="DP11" s="252"/>
      <c r="DQ11" s="252"/>
      <c r="DR11" s="252"/>
      <c r="DS11" s="252"/>
      <c r="DT11" s="252"/>
      <c r="DU11" s="252"/>
      <c r="DV11" s="252"/>
      <c r="DW11" s="252"/>
      <c r="DX11" s="252"/>
      <c r="DY11" s="252"/>
      <c r="DZ11" s="252"/>
      <c r="EA11" s="252"/>
      <c r="EB11" s="252"/>
      <c r="EC11" s="252"/>
      <c r="ED11" s="252"/>
      <c r="EE11" s="252"/>
      <c r="EF11" s="252"/>
      <c r="EG11" s="252"/>
      <c r="EH11" s="252"/>
      <c r="EI11" s="252"/>
      <c r="EJ11" s="252"/>
      <c r="EK11" s="252"/>
      <c r="EL11" s="252"/>
      <c r="EM11" s="252"/>
      <c r="EN11" s="252"/>
      <c r="EO11" s="252"/>
      <c r="EP11" s="252"/>
      <c r="EQ11" s="252"/>
      <c r="ER11" s="252"/>
      <c r="ES11" s="252"/>
      <c r="ET11" s="252"/>
      <c r="EU11" s="252"/>
      <c r="EV11" s="252"/>
      <c r="EW11" s="252"/>
      <c r="EX11" s="252"/>
      <c r="EY11" s="252"/>
      <c r="EZ11" s="252"/>
      <c r="FA11" s="252"/>
      <c r="FB11" s="252"/>
      <c r="FC11" s="252"/>
      <c r="FD11" s="252"/>
      <c r="FE11" s="252"/>
      <c r="FF11" s="252"/>
      <c r="FG11" s="252"/>
      <c r="FH11" s="252"/>
      <c r="FI11" s="252"/>
      <c r="FJ11" s="252"/>
      <c r="FK11" s="252"/>
      <c r="FL11" s="252"/>
      <c r="FM11" s="252"/>
      <c r="FN11" s="252"/>
      <c r="FO11" s="252"/>
      <c r="FP11" s="252"/>
      <c r="FQ11" s="252"/>
      <c r="FR11" s="252"/>
      <c r="FS11" s="252"/>
      <c r="FT11" s="252"/>
      <c r="FU11" s="252"/>
      <c r="FV11" s="252"/>
      <c r="FW11" s="252"/>
      <c r="FX11" s="252"/>
      <c r="FY11" s="252"/>
      <c r="FZ11" s="252"/>
      <c r="GA11" s="252"/>
      <c r="GB11" s="252"/>
      <c r="GC11" s="252"/>
      <c r="GD11" s="252"/>
      <c r="GE11" s="252"/>
      <c r="GF11" s="252"/>
      <c r="GG11" s="252"/>
      <c r="GH11" s="252"/>
      <c r="GI11" s="252"/>
      <c r="GJ11" s="252"/>
      <c r="GK11" s="252"/>
      <c r="GL11" s="252"/>
      <c r="GM11" s="252"/>
      <c r="GN11" s="252"/>
      <c r="GO11" s="252"/>
      <c r="GP11" s="252"/>
      <c r="GQ11" s="252"/>
      <c r="GR11" s="252"/>
      <c r="GS11" s="252"/>
      <c r="GT11" s="252"/>
      <c r="GU11" s="252"/>
      <c r="GV11" s="252"/>
      <c r="GW11" s="252"/>
      <c r="GX11" s="252"/>
      <c r="GY11" s="252"/>
      <c r="GZ11" s="252"/>
      <c r="HA11" s="252"/>
      <c r="HB11" s="252"/>
      <c r="HC11" s="252"/>
      <c r="HD11" s="252"/>
      <c r="HE11" s="252"/>
      <c r="HF11" s="252"/>
      <c r="HG11" s="252"/>
      <c r="HH11" s="252"/>
      <c r="HI11" s="252"/>
      <c r="HJ11" s="252"/>
      <c r="HK11" s="252"/>
      <c r="HL11" s="252"/>
      <c r="HM11" s="252"/>
      <c r="HN11" s="252"/>
      <c r="HO11" s="252"/>
      <c r="HP11" s="252"/>
      <c r="HQ11" s="252"/>
      <c r="HR11" s="252"/>
      <c r="HS11" s="252"/>
      <c r="HT11" s="252"/>
      <c r="HU11" s="252"/>
      <c r="HV11" s="252"/>
      <c r="HW11" s="252"/>
      <c r="HX11" s="252"/>
      <c r="HY11" s="252"/>
      <c r="HZ11" s="252"/>
      <c r="IA11" s="252"/>
      <c r="IB11" s="252"/>
      <c r="IC11" s="252"/>
      <c r="ID11" s="252"/>
      <c r="IE11" s="252"/>
      <c r="IF11" s="252"/>
      <c r="IG11" s="252"/>
      <c r="IH11" s="252"/>
      <c r="II11" s="252"/>
      <c r="IJ11" s="252"/>
      <c r="IK11" s="252"/>
      <c r="IL11" s="252"/>
      <c r="IM11" s="252"/>
      <c r="IN11" s="252"/>
      <c r="IO11" s="252"/>
      <c r="IP11" s="252"/>
      <c r="IQ11" s="252"/>
      <c r="IR11" s="252"/>
      <c r="IS11" s="252"/>
      <c r="IT11" s="252"/>
      <c r="IU11" s="252"/>
      <c r="IV11" s="252"/>
      <c r="IW11" s="252"/>
      <c r="IX11" s="252"/>
      <c r="IY11" s="252"/>
      <c r="IZ11" s="252"/>
      <c r="JA11" s="252"/>
      <c r="JB11" s="252"/>
      <c r="JC11" s="252"/>
      <c r="JD11" s="252"/>
      <c r="JE11" s="252"/>
      <c r="JF11" s="252"/>
      <c r="JG11" s="252"/>
      <c r="JH11" s="252"/>
      <c r="JI11" s="252"/>
      <c r="JJ11" s="252"/>
      <c r="JK11" s="252"/>
      <c r="JL11" s="252"/>
      <c r="JM11" s="252"/>
      <c r="JN11" s="252"/>
      <c r="JO11" s="252"/>
      <c r="JP11" s="252"/>
      <c r="JQ11" s="252"/>
      <c r="JR11" s="252"/>
      <c r="JS11" s="252"/>
      <c r="JT11" s="252"/>
      <c r="JU11" s="252"/>
      <c r="JV11" s="252"/>
      <c r="JW11" s="252"/>
      <c r="JX11" s="252"/>
      <c r="JY11" s="252"/>
      <c r="JZ11" s="252"/>
      <c r="KA11" s="252"/>
      <c r="KB11" s="252"/>
      <c r="KC11" s="252"/>
      <c r="KD11" s="252"/>
      <c r="KE11" s="252"/>
      <c r="KF11" s="252"/>
      <c r="KG11" s="252"/>
      <c r="KH11" s="252"/>
      <c r="KI11" s="252"/>
      <c r="KJ11" s="252"/>
      <c r="KK11" s="252"/>
      <c r="KL11" s="252"/>
      <c r="KM11" s="252"/>
      <c r="KN11" s="252"/>
      <c r="KO11" s="252"/>
      <c r="KP11" s="252"/>
      <c r="KQ11" s="252"/>
      <c r="KR11" s="252"/>
      <c r="KS11" s="252"/>
      <c r="KT11" s="252"/>
      <c r="KU11" s="252"/>
      <c r="KV11" s="252"/>
      <c r="KW11" s="252"/>
      <c r="KX11" s="252"/>
      <c r="KY11" s="252"/>
      <c r="KZ11" s="252"/>
      <c r="LA11" s="252"/>
      <c r="LB11" s="252"/>
      <c r="LC11" s="252"/>
      <c r="LD11" s="252"/>
      <c r="LE11" s="252"/>
      <c r="LF11" s="252"/>
      <c r="LG11" s="252"/>
      <c r="LH11" s="252"/>
      <c r="LI11" s="252"/>
      <c r="LJ11" s="252"/>
      <c r="LK11" s="252"/>
      <c r="LL11" s="252"/>
      <c r="LM11" s="252"/>
      <c r="LN11" s="252"/>
      <c r="LO11" s="252"/>
      <c r="LP11" s="252"/>
      <c r="LQ11" s="252"/>
      <c r="LR11" s="252"/>
      <c r="LS11" s="252"/>
      <c r="LT11" s="252"/>
      <c r="LU11" s="252"/>
      <c r="LV11" s="252"/>
      <c r="LW11" s="252"/>
      <c r="LX11" s="252"/>
      <c r="LY11" s="252"/>
      <c r="LZ11" s="252"/>
      <c r="MA11" s="252"/>
      <c r="MB11" s="252"/>
      <c r="MC11" s="252"/>
      <c r="MD11" s="252"/>
      <c r="ME11" s="252"/>
      <c r="MF11" s="252"/>
      <c r="MG11" s="252"/>
      <c r="MH11" s="252"/>
      <c r="MI11" s="252"/>
      <c r="MJ11" s="252"/>
      <c r="MK11" s="252"/>
      <c r="ML11" s="252"/>
      <c r="MM11" s="252"/>
      <c r="MN11" s="252"/>
      <c r="MO11" s="252"/>
      <c r="MP11" s="252"/>
      <c r="MQ11" s="252"/>
      <c r="MR11" s="252"/>
      <c r="MS11" s="252"/>
      <c r="MT11" s="252"/>
      <c r="MU11" s="252"/>
      <c r="MV11" s="252"/>
      <c r="MW11" s="252"/>
      <c r="MX11" s="252"/>
      <c r="MY11" s="252"/>
      <c r="MZ11" s="252"/>
      <c r="NA11" s="252"/>
      <c r="NB11" s="252"/>
      <c r="NC11" s="252"/>
      <c r="ND11" s="252"/>
      <c r="NE11" s="252"/>
      <c r="NF11" s="252"/>
      <c r="NG11" s="252"/>
      <c r="NH11" s="252"/>
      <c r="NI11" s="252"/>
      <c r="NJ11" s="252"/>
      <c r="NK11" s="252"/>
      <c r="NL11" s="252"/>
      <c r="NM11" s="252"/>
      <c r="NN11" s="252"/>
      <c r="NO11" s="252"/>
      <c r="NP11" s="252"/>
      <c r="NQ11" s="252"/>
      <c r="NR11" s="252"/>
      <c r="NS11" s="252"/>
      <c r="NT11" s="252"/>
      <c r="NU11" s="252"/>
      <c r="NV11" s="252"/>
      <c r="NW11" s="252"/>
      <c r="NX11" s="252"/>
      <c r="NY11" s="252"/>
      <c r="NZ11" s="252"/>
      <c r="OA11" s="252"/>
      <c r="OB11" s="252"/>
      <c r="OC11" s="252"/>
      <c r="OD11" s="252"/>
      <c r="OE11" s="252"/>
      <c r="OF11" s="252"/>
      <c r="OG11" s="252"/>
      <c r="OH11" s="252"/>
      <c r="OI11" s="252"/>
      <c r="OJ11" s="252"/>
      <c r="OK11" s="252"/>
      <c r="OL11" s="252"/>
      <c r="OM11" s="252"/>
      <c r="ON11" s="252"/>
      <c r="OO11" s="252"/>
      <c r="OP11" s="252"/>
      <c r="OQ11" s="252"/>
      <c r="OR11" s="252"/>
      <c r="OS11" s="252"/>
      <c r="OT11" s="252"/>
      <c r="OU11" s="252"/>
      <c r="OV11" s="252"/>
      <c r="OW11" s="252"/>
      <c r="OX11" s="252"/>
      <c r="OY11" s="252"/>
      <c r="OZ11" s="252"/>
      <c r="PA11" s="252"/>
      <c r="PB11" s="252"/>
      <c r="PC11" s="252"/>
      <c r="PD11" s="252"/>
      <c r="PE11" s="252"/>
      <c r="PF11" s="252"/>
      <c r="PG11" s="252"/>
      <c r="PH11" s="252"/>
      <c r="PI11" s="252"/>
      <c r="PJ11" s="252"/>
      <c r="PK11" s="252"/>
      <c r="PL11" s="252"/>
      <c r="PM11" s="252"/>
      <c r="PN11" s="252"/>
      <c r="PO11" s="252"/>
      <c r="PP11" s="252"/>
      <c r="PQ11" s="252"/>
      <c r="PR11" s="252"/>
      <c r="PS11" s="252"/>
      <c r="PT11" s="252"/>
      <c r="PU11" s="252"/>
      <c r="PV11" s="252"/>
      <c r="PW11" s="252"/>
      <c r="PX11" s="252"/>
      <c r="PY11" s="252"/>
      <c r="PZ11" s="252"/>
      <c r="QA11" s="252"/>
      <c r="QB11" s="252"/>
      <c r="QC11" s="252"/>
      <c r="QD11" s="252"/>
      <c r="QE11" s="252"/>
      <c r="QF11" s="252"/>
      <c r="QG11" s="252"/>
      <c r="QH11" s="252"/>
      <c r="QI11" s="252"/>
      <c r="QJ11" s="252"/>
      <c r="QK11" s="252"/>
      <c r="QL11" s="252"/>
      <c r="QM11" s="252"/>
      <c r="QN11" s="252"/>
      <c r="QO11" s="252"/>
      <c r="QP11" s="252"/>
      <c r="QQ11" s="252"/>
      <c r="QR11" s="252"/>
      <c r="QS11" s="252"/>
      <c r="QT11" s="252"/>
      <c r="QU11" s="252"/>
      <c r="QV11" s="252"/>
      <c r="QW11" s="252"/>
      <c r="QX11" s="252"/>
      <c r="QY11" s="252"/>
      <c r="QZ11" s="252"/>
      <c r="RA11" s="252"/>
      <c r="RB11" s="252"/>
      <c r="RC11" s="252"/>
      <c r="RD11" s="252"/>
      <c r="RE11" s="252"/>
      <c r="RF11" s="252"/>
      <c r="RG11" s="252"/>
      <c r="RH11" s="252"/>
      <c r="RI11" s="252"/>
      <c r="RJ11" s="252"/>
      <c r="RK11" s="252"/>
      <c r="RL11" s="252"/>
      <c r="RM11" s="252"/>
      <c r="RN11" s="252"/>
      <c r="RO11" s="252"/>
      <c r="RP11" s="252"/>
      <c r="RQ11" s="252"/>
      <c r="RR11" s="252"/>
      <c r="RS11" s="252"/>
      <c r="RT11" s="252"/>
      <c r="RU11" s="252"/>
      <c r="RV11" s="252"/>
      <c r="RW11" s="252"/>
      <c r="RX11" s="252"/>
      <c r="RY11" s="252"/>
      <c r="RZ11" s="252"/>
      <c r="SA11" s="252"/>
      <c r="SB11" s="252"/>
      <c r="SC11" s="252"/>
      <c r="SD11" s="252"/>
      <c r="SE11" s="252"/>
      <c r="SF11" s="252"/>
      <c r="SG11" s="252"/>
      <c r="SH11" s="252"/>
      <c r="SI11" s="252"/>
      <c r="SJ11" s="252"/>
      <c r="SK11" s="252"/>
      <c r="SL11" s="252"/>
      <c r="SM11" s="252"/>
      <c r="SN11" s="252"/>
      <c r="SO11" s="252"/>
      <c r="SP11" s="252"/>
      <c r="SQ11" s="252"/>
      <c r="SR11" s="252"/>
      <c r="SS11" s="252"/>
      <c r="ST11" s="252"/>
      <c r="SU11" s="252"/>
      <c r="SV11" s="252"/>
      <c r="SW11" s="252"/>
      <c r="SX11" s="252"/>
      <c r="SY11" s="252"/>
      <c r="SZ11" s="252"/>
      <c r="TA11" s="252"/>
      <c r="TB11" s="252"/>
      <c r="TC11" s="252"/>
      <c r="TD11" s="252"/>
      <c r="TE11" s="252"/>
      <c r="TF11" s="252"/>
      <c r="TG11" s="252"/>
      <c r="TH11" s="252"/>
      <c r="TI11" s="252"/>
      <c r="TJ11" s="252"/>
      <c r="TK11" s="252"/>
      <c r="TL11" s="252"/>
      <c r="TM11" s="252"/>
      <c r="TN11" s="252"/>
      <c r="TO11" s="252"/>
      <c r="TP11" s="252"/>
      <c r="TQ11" s="252"/>
      <c r="TR11" s="252"/>
      <c r="TS11" s="252"/>
      <c r="TT11" s="252"/>
      <c r="TU11" s="252"/>
      <c r="TV11" s="252"/>
      <c r="TW11" s="252"/>
      <c r="TX11" s="252"/>
      <c r="TY11" s="252"/>
      <c r="TZ11" s="252"/>
      <c r="UA11" s="252"/>
      <c r="UB11" s="252"/>
      <c r="UC11" s="252"/>
      <c r="UD11" s="252"/>
      <c r="UE11" s="252"/>
      <c r="UF11" s="252"/>
      <c r="UG11" s="252"/>
      <c r="UH11" s="252"/>
      <c r="UI11" s="252"/>
      <c r="UJ11" s="252"/>
      <c r="UK11" s="252"/>
      <c r="UL11" s="252"/>
      <c r="UM11" s="252"/>
      <c r="UN11" s="252"/>
      <c r="UO11" s="252"/>
      <c r="UP11" s="252"/>
      <c r="UQ11" s="252"/>
      <c r="UR11" s="252"/>
      <c r="US11" s="252"/>
      <c r="UT11" s="252"/>
      <c r="UU11" s="252"/>
      <c r="UV11" s="252"/>
      <c r="UW11" s="252"/>
      <c r="UX11" s="252"/>
      <c r="UY11" s="252"/>
      <c r="UZ11" s="252"/>
      <c r="VA11" s="252"/>
      <c r="VB11" s="252"/>
      <c r="VC11" s="252"/>
      <c r="VD11" s="252"/>
      <c r="VE11" s="252"/>
      <c r="VF11" s="252"/>
      <c r="VG11" s="252"/>
      <c r="VH11" s="252"/>
      <c r="VI11" s="252"/>
      <c r="VJ11" s="252"/>
      <c r="VK11" s="252"/>
      <c r="VL11" s="252"/>
      <c r="VM11" s="252"/>
      <c r="VN11" s="252"/>
      <c r="VO11" s="252"/>
      <c r="VP11" s="252"/>
      <c r="VQ11" s="252"/>
      <c r="VR11" s="252"/>
      <c r="VS11" s="252"/>
      <c r="VT11" s="252"/>
      <c r="VU11" s="252"/>
      <c r="VV11" s="252"/>
      <c r="VW11" s="252"/>
      <c r="VX11" s="252"/>
      <c r="VY11" s="252"/>
      <c r="VZ11" s="252"/>
      <c r="WA11" s="252"/>
      <c r="WB11" s="252"/>
      <c r="WC11" s="252"/>
      <c r="WD11" s="252"/>
      <c r="WE11" s="252"/>
      <c r="WF11" s="252"/>
      <c r="WG11" s="252"/>
      <c r="WH11" s="252"/>
      <c r="WI11" s="252"/>
      <c r="WJ11" s="252"/>
      <c r="WK11" s="252"/>
      <c r="WL11" s="252"/>
      <c r="WM11" s="252"/>
      <c r="WN11" s="252"/>
      <c r="WO11" s="252"/>
      <c r="WP11" s="252"/>
      <c r="WQ11" s="252"/>
      <c r="WR11" s="252"/>
      <c r="WS11" s="252"/>
      <c r="WT11" s="252"/>
      <c r="WU11" s="252"/>
      <c r="WV11" s="252"/>
      <c r="WW11" s="252"/>
      <c r="WX11" s="252"/>
      <c r="WY11" s="252"/>
      <c r="WZ11" s="252"/>
      <c r="XA11" s="252"/>
      <c r="XB11" s="252"/>
      <c r="XC11" s="252"/>
      <c r="XD11" s="252"/>
      <c r="XE11" s="252"/>
      <c r="XF11" s="252"/>
      <c r="XG11" s="252"/>
      <c r="XH11" s="252"/>
      <c r="XI11" s="252"/>
      <c r="XJ11" s="252"/>
      <c r="XK11" s="252"/>
      <c r="XL11" s="252"/>
      <c r="XM11" s="252"/>
      <c r="XN11" s="252"/>
      <c r="XO11" s="252"/>
      <c r="XP11" s="252"/>
      <c r="XQ11" s="252"/>
      <c r="XR11" s="252"/>
      <c r="XS11" s="252"/>
      <c r="XT11" s="252"/>
      <c r="XU11" s="252"/>
      <c r="XV11" s="252"/>
      <c r="XW11" s="252"/>
      <c r="XX11" s="252"/>
      <c r="XY11" s="252"/>
      <c r="XZ11" s="252"/>
      <c r="YA11" s="252"/>
      <c r="YB11" s="252"/>
      <c r="YC11" s="252"/>
      <c r="YD11" s="252"/>
      <c r="YE11" s="252"/>
      <c r="YF11" s="252"/>
      <c r="YG11" s="252"/>
      <c r="YH11" s="252"/>
      <c r="YI11" s="252"/>
      <c r="YJ11" s="252"/>
      <c r="YK11" s="252"/>
      <c r="YL11" s="252"/>
      <c r="YM11" s="252"/>
      <c r="YN11" s="252"/>
      <c r="YO11" s="252"/>
      <c r="YP11" s="252"/>
      <c r="YQ11" s="252"/>
      <c r="YR11" s="252"/>
      <c r="YS11" s="252"/>
      <c r="YT11" s="252"/>
      <c r="YU11" s="252"/>
      <c r="YV11" s="252"/>
      <c r="YW11" s="252"/>
      <c r="YX11" s="252"/>
      <c r="YY11" s="252"/>
      <c r="YZ11" s="252"/>
      <c r="ZA11" s="252"/>
      <c r="ZB11" s="252"/>
      <c r="ZC11" s="252"/>
      <c r="ZD11" s="252"/>
      <c r="ZE11" s="252"/>
      <c r="ZF11" s="252"/>
      <c r="ZG11" s="252"/>
      <c r="ZH11" s="252"/>
      <c r="ZI11" s="252"/>
      <c r="ZJ11" s="252"/>
      <c r="ZK11" s="252"/>
      <c r="ZL11" s="252"/>
      <c r="ZM11" s="252"/>
      <c r="ZN11" s="252"/>
      <c r="ZO11" s="252"/>
      <c r="ZP11" s="252"/>
      <c r="ZQ11" s="252"/>
      <c r="ZR11" s="252"/>
      <c r="ZS11" s="252"/>
      <c r="ZT11" s="252"/>
      <c r="ZU11" s="252"/>
      <c r="ZV11" s="252"/>
      <c r="ZW11" s="252"/>
      <c r="ZX11" s="252"/>
      <c r="ZY11" s="252"/>
      <c r="ZZ11" s="252"/>
      <c r="AAA11" s="252"/>
      <c r="AAB11" s="252"/>
      <c r="AAC11" s="252"/>
      <c r="AAD11" s="252"/>
      <c r="AAE11" s="252"/>
      <c r="AAF11" s="252"/>
      <c r="AAG11" s="252"/>
      <c r="AAH11" s="252"/>
      <c r="AAI11" s="252"/>
      <c r="AAJ11" s="252"/>
      <c r="AAK11" s="252"/>
      <c r="AAL11" s="252"/>
      <c r="AAM11" s="252"/>
      <c r="AAN11" s="252"/>
      <c r="AAO11" s="252"/>
      <c r="AAP11" s="252"/>
      <c r="AAQ11" s="252"/>
      <c r="AAR11" s="252"/>
      <c r="AAS11" s="252"/>
      <c r="AAT11" s="252"/>
      <c r="AAU11" s="252"/>
      <c r="AAV11" s="252"/>
      <c r="AAW11" s="252"/>
      <c r="AAX11" s="252"/>
      <c r="AAY11" s="252"/>
      <c r="AAZ11" s="252"/>
      <c r="ABA11" s="252"/>
      <c r="ABB11" s="252"/>
      <c r="ABC11" s="252"/>
      <c r="ABD11" s="252"/>
      <c r="ABE11" s="252"/>
      <c r="ABF11" s="252"/>
      <c r="ABG11" s="252"/>
      <c r="ABH11" s="252"/>
      <c r="ABI11" s="252"/>
      <c r="ABJ11" s="252"/>
      <c r="ABK11" s="252"/>
      <c r="ABL11" s="252"/>
      <c r="ABM11" s="252"/>
      <c r="ABN11" s="252"/>
      <c r="ABO11" s="252"/>
      <c r="ABP11" s="252"/>
      <c r="ABQ11" s="252"/>
      <c r="ABR11" s="252"/>
      <c r="ABS11" s="252"/>
      <c r="ABT11" s="252"/>
      <c r="ABU11" s="252"/>
      <c r="ABV11" s="252"/>
      <c r="ABW11" s="252"/>
      <c r="ABX11" s="252"/>
      <c r="ABY11" s="252"/>
      <c r="ABZ11" s="252"/>
      <c r="ACA11" s="252"/>
      <c r="ACB11" s="252"/>
      <c r="ACC11" s="252"/>
      <c r="ACD11" s="252"/>
      <c r="ACE11" s="252"/>
      <c r="ACF11" s="252"/>
      <c r="ACG11" s="252"/>
      <c r="ACH11" s="252"/>
      <c r="ACI11" s="252"/>
      <c r="ACJ11" s="252"/>
      <c r="ACK11" s="252"/>
      <c r="ACL11" s="252"/>
      <c r="ACM11" s="252"/>
      <c r="ACN11" s="252"/>
      <c r="ACO11" s="252"/>
      <c r="ACP11" s="252"/>
      <c r="ACQ11" s="252"/>
      <c r="ACR11" s="252"/>
      <c r="ACS11" s="252"/>
      <c r="ACT11" s="252"/>
      <c r="ACU11" s="252"/>
      <c r="ACV11" s="252"/>
      <c r="ACW11" s="252"/>
      <c r="ACX11" s="252"/>
      <c r="ACY11" s="252"/>
      <c r="ACZ11" s="252"/>
      <c r="ADA11" s="252"/>
      <c r="ADB11" s="252"/>
      <c r="ADC11" s="252"/>
      <c r="ADD11" s="252"/>
      <c r="ADE11" s="252"/>
      <c r="ADF11" s="252"/>
      <c r="ADG11" s="252"/>
      <c r="ADH11" s="252"/>
      <c r="ADI11" s="252"/>
      <c r="ADJ11" s="252"/>
      <c r="ADK11" s="252"/>
      <c r="ADL11" s="252"/>
      <c r="ADM11" s="252"/>
      <c r="ADN11" s="252"/>
      <c r="ADO11" s="252"/>
      <c r="ADP11" s="252"/>
      <c r="ADQ11" s="252"/>
      <c r="ADR11" s="252"/>
      <c r="ADS11" s="252"/>
      <c r="ADT11" s="252"/>
      <c r="ADU11" s="252"/>
      <c r="ADV11" s="252"/>
      <c r="ADW11" s="252"/>
      <c r="ADX11" s="252"/>
      <c r="ADY11" s="252"/>
      <c r="ADZ11" s="252"/>
      <c r="AEA11" s="252"/>
      <c r="AEB11" s="252"/>
      <c r="AEC11" s="252"/>
      <c r="AED11" s="252"/>
      <c r="AEE11" s="252"/>
      <c r="AEF11" s="252"/>
      <c r="AEG11" s="252"/>
      <c r="AEH11" s="252"/>
      <c r="AEI11" s="252"/>
      <c r="AEJ11" s="252"/>
      <c r="AEK11" s="252"/>
      <c r="AEL11" s="252"/>
      <c r="AEM11" s="252"/>
      <c r="AEN11" s="252"/>
      <c r="AEO11" s="252"/>
      <c r="AEP11" s="252"/>
      <c r="AEQ11" s="252"/>
      <c r="AER11" s="252"/>
      <c r="AES11" s="252"/>
      <c r="AET11" s="252"/>
      <c r="AEU11" s="252"/>
      <c r="AEV11" s="252"/>
      <c r="AEW11" s="252"/>
      <c r="AEX11" s="252"/>
      <c r="AEY11" s="252"/>
      <c r="AEZ11" s="252"/>
      <c r="AFA11" s="252"/>
      <c r="AFB11" s="252"/>
      <c r="AFC11" s="252"/>
      <c r="AFD11" s="252"/>
      <c r="AFE11" s="252"/>
      <c r="AFF11" s="252"/>
      <c r="AFG11" s="252"/>
      <c r="AFH11" s="252"/>
      <c r="AFI11" s="252"/>
      <c r="AFJ11" s="252"/>
      <c r="AFK11" s="252"/>
      <c r="AFL11" s="252"/>
      <c r="AFM11" s="252"/>
      <c r="AFN11" s="252"/>
      <c r="AFO11" s="252"/>
      <c r="AFP11" s="252"/>
      <c r="AFQ11" s="252"/>
      <c r="AFR11" s="252"/>
      <c r="AFS11" s="252"/>
      <c r="AFT11" s="252"/>
      <c r="AFU11" s="252"/>
      <c r="AFV11" s="252"/>
      <c r="AFW11" s="252"/>
      <c r="AFX11" s="252"/>
      <c r="AFY11" s="252"/>
      <c r="AFZ11" s="252"/>
      <c r="AGA11" s="252"/>
      <c r="AGB11" s="252"/>
      <c r="AGC11" s="252"/>
      <c r="AGD11" s="252"/>
      <c r="AGE11" s="252"/>
      <c r="AGF11" s="252"/>
      <c r="AGG11" s="252"/>
      <c r="AGH11" s="252"/>
      <c r="AGI11" s="252"/>
      <c r="AGJ11" s="252"/>
      <c r="AGK11" s="252"/>
      <c r="AGL11" s="252"/>
      <c r="AGM11" s="252"/>
      <c r="AGN11" s="252"/>
      <c r="AGO11" s="252"/>
      <c r="AGP11" s="252"/>
      <c r="AGQ11" s="252"/>
      <c r="AGR11" s="252"/>
      <c r="AGS11" s="252"/>
      <c r="AGT11" s="252"/>
      <c r="AGU11" s="252"/>
      <c r="AGV11" s="252"/>
      <c r="AGW11" s="252"/>
      <c r="AGX11" s="252"/>
      <c r="AGY11" s="252"/>
      <c r="AGZ11" s="252"/>
      <c r="AHA11" s="252"/>
      <c r="AHB11" s="252"/>
      <c r="AHC11" s="252"/>
      <c r="AHD11" s="252"/>
      <c r="AHE11" s="252"/>
      <c r="AHF11" s="252"/>
      <c r="AHG11" s="252"/>
      <c r="AHH11" s="252"/>
      <c r="AHI11" s="252"/>
      <c r="AHJ11" s="252"/>
      <c r="AHK11" s="252"/>
      <c r="AHL11" s="252"/>
      <c r="AHM11" s="252"/>
      <c r="AHN11" s="252"/>
      <c r="AHO11" s="252"/>
      <c r="AHP11" s="252"/>
      <c r="AHQ11" s="252"/>
      <c r="AHR11" s="252"/>
      <c r="AHS11" s="252"/>
      <c r="AHT11" s="252"/>
      <c r="AHU11" s="252"/>
      <c r="AHV11" s="252"/>
      <c r="AHW11" s="252"/>
      <c r="AHX11" s="252"/>
      <c r="AHY11" s="252"/>
      <c r="AHZ11" s="252"/>
      <c r="AIA11" s="252"/>
      <c r="AIB11" s="252"/>
      <c r="AIC11" s="252"/>
      <c r="AID11" s="252"/>
      <c r="AIE11" s="252"/>
      <c r="AIF11" s="252"/>
      <c r="AIG11" s="252"/>
      <c r="AIH11" s="252"/>
      <c r="AII11" s="252"/>
      <c r="AIJ11" s="252"/>
      <c r="AIK11" s="252"/>
      <c r="AIL11" s="252"/>
      <c r="AIM11" s="252"/>
      <c r="AIN11" s="252"/>
      <c r="AIO11" s="252"/>
      <c r="AIP11" s="252"/>
      <c r="AIQ11" s="252"/>
      <c r="AIR11" s="252"/>
      <c r="AIS11" s="252"/>
      <c r="AIT11" s="252"/>
      <c r="AIU11" s="252"/>
      <c r="AIV11" s="252"/>
      <c r="AIW11" s="252"/>
      <c r="AIX11" s="252"/>
      <c r="AIY11" s="252"/>
      <c r="AIZ11" s="252"/>
      <c r="AJA11" s="252"/>
      <c r="AJB11" s="252"/>
      <c r="AJC11" s="252"/>
      <c r="AJD11" s="252"/>
      <c r="AJE11" s="252"/>
      <c r="AJF11" s="252"/>
      <c r="AJG11" s="252"/>
      <c r="AJH11" s="252"/>
      <c r="AJI11" s="252"/>
      <c r="AJJ11" s="252"/>
      <c r="AJK11" s="252"/>
      <c r="AJL11" s="252"/>
      <c r="AJM11" s="252"/>
      <c r="AJN11" s="252"/>
      <c r="AJO11" s="252"/>
      <c r="AJP11" s="252"/>
      <c r="AJQ11" s="252"/>
      <c r="AJR11" s="252"/>
      <c r="AJS11" s="252"/>
      <c r="AJT11" s="252"/>
      <c r="AJU11" s="252"/>
      <c r="AJV11" s="252"/>
      <c r="AJW11" s="252"/>
      <c r="AJX11" s="252"/>
      <c r="AJY11" s="252"/>
      <c r="AJZ11" s="252"/>
      <c r="AKA11" s="252"/>
      <c r="AKB11" s="252"/>
      <c r="AKC11" s="252"/>
      <c r="AKD11" s="252"/>
      <c r="AKE11" s="252"/>
      <c r="AKF11" s="252"/>
      <c r="AKG11" s="252"/>
      <c r="AKH11" s="252"/>
      <c r="AKI11" s="252"/>
      <c r="AKJ11" s="252"/>
      <c r="AKK11" s="252"/>
      <c r="AKL11" s="252"/>
      <c r="AKM11" s="252"/>
      <c r="AKN11" s="252"/>
      <c r="AKO11" s="252"/>
      <c r="AKP11" s="252"/>
      <c r="AKQ11" s="252"/>
      <c r="AKR11" s="252"/>
      <c r="AKS11" s="252"/>
      <c r="AKT11" s="252"/>
      <c r="AKU11" s="252"/>
      <c r="AKV11" s="252"/>
      <c r="AKW11" s="252"/>
      <c r="AKX11" s="252"/>
      <c r="AKY11" s="252"/>
      <c r="AKZ11" s="252"/>
      <c r="ALA11" s="252"/>
      <c r="ALB11" s="252"/>
      <c r="ALC11" s="252"/>
      <c r="ALD11" s="252"/>
      <c r="ALE11" s="252"/>
      <c r="ALF11" s="252"/>
      <c r="ALG11" s="252"/>
      <c r="ALH11" s="252"/>
      <c r="ALI11" s="252"/>
      <c r="ALJ11" s="252"/>
      <c r="ALK11" s="252"/>
      <c r="ALL11" s="252"/>
      <c r="ALM11" s="252"/>
      <c r="ALN11" s="252"/>
      <c r="ALO11" s="252"/>
      <c r="ALP11" s="252"/>
      <c r="ALQ11" s="252"/>
      <c r="ALR11" s="252"/>
      <c r="ALS11" s="252"/>
    </row>
    <row r="12" spans="1:1007" s="3" customFormat="1" x14ac:dyDescent="0.2">
      <c r="A12" s="369" t="s">
        <v>298</v>
      </c>
      <c r="B12" s="382"/>
      <c r="C12" s="382"/>
      <c r="D12" s="382">
        <v>10000</v>
      </c>
      <c r="E12" s="733"/>
      <c r="F12" s="730"/>
      <c r="G12" s="730"/>
      <c r="H12" s="369"/>
      <c r="I12" s="730"/>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2"/>
      <c r="AY12" s="252"/>
      <c r="AZ12" s="252"/>
      <c r="BA12" s="252"/>
      <c r="BB12" s="252"/>
      <c r="BC12" s="252"/>
      <c r="BD12" s="252"/>
      <c r="BE12" s="252"/>
      <c r="BF12" s="252"/>
      <c r="BG12" s="252"/>
      <c r="BH12" s="252"/>
      <c r="BI12" s="252"/>
      <c r="BJ12" s="252"/>
      <c r="BK12" s="252"/>
      <c r="BL12" s="252"/>
      <c r="BM12" s="252"/>
      <c r="BN12" s="252"/>
      <c r="BO12" s="252"/>
      <c r="BP12" s="252"/>
      <c r="BQ12" s="252"/>
      <c r="BR12" s="252"/>
      <c r="BS12" s="252"/>
      <c r="BT12" s="252"/>
      <c r="BU12" s="252"/>
      <c r="BV12" s="252"/>
      <c r="BW12" s="252"/>
      <c r="BX12" s="252"/>
      <c r="BY12" s="252"/>
      <c r="BZ12" s="252"/>
      <c r="CA12" s="252"/>
      <c r="CB12" s="252"/>
      <c r="CC12" s="252"/>
      <c r="CD12" s="252"/>
      <c r="CE12" s="252"/>
      <c r="CF12" s="252"/>
      <c r="CG12" s="252"/>
      <c r="CH12" s="252"/>
      <c r="CI12" s="252"/>
      <c r="CJ12" s="252"/>
      <c r="CK12" s="252"/>
      <c r="CL12" s="252"/>
      <c r="CM12" s="252"/>
      <c r="CN12" s="252"/>
      <c r="CO12" s="252"/>
      <c r="CP12" s="252"/>
      <c r="CQ12" s="252"/>
      <c r="CR12" s="252"/>
      <c r="CS12" s="252"/>
      <c r="CT12" s="252"/>
      <c r="CU12" s="252"/>
      <c r="CV12" s="252"/>
      <c r="CW12" s="252"/>
      <c r="CX12" s="252"/>
      <c r="CY12" s="252"/>
      <c r="CZ12" s="252"/>
      <c r="DA12" s="252"/>
      <c r="DB12" s="252"/>
      <c r="DC12" s="252"/>
      <c r="DD12" s="252"/>
      <c r="DE12" s="252"/>
      <c r="DF12" s="252"/>
      <c r="DG12" s="252"/>
      <c r="DH12" s="252"/>
      <c r="DI12" s="252"/>
      <c r="DJ12" s="252"/>
      <c r="DK12" s="252"/>
      <c r="DL12" s="252"/>
      <c r="DM12" s="252"/>
      <c r="DN12" s="252"/>
      <c r="DO12" s="252"/>
      <c r="DP12" s="252"/>
      <c r="DQ12" s="252"/>
      <c r="DR12" s="252"/>
      <c r="DS12" s="252"/>
      <c r="DT12" s="252"/>
      <c r="DU12" s="252"/>
      <c r="DV12" s="252"/>
      <c r="DW12" s="252"/>
      <c r="DX12" s="252"/>
      <c r="DY12" s="252"/>
      <c r="DZ12" s="252"/>
      <c r="EA12" s="252"/>
      <c r="EB12" s="252"/>
      <c r="EC12" s="252"/>
      <c r="ED12" s="252"/>
      <c r="EE12" s="252"/>
      <c r="EF12" s="252"/>
      <c r="EG12" s="252"/>
      <c r="EH12" s="252"/>
      <c r="EI12" s="252"/>
      <c r="EJ12" s="252"/>
      <c r="EK12" s="252"/>
      <c r="EL12" s="252"/>
      <c r="EM12" s="252"/>
      <c r="EN12" s="252"/>
      <c r="EO12" s="252"/>
      <c r="EP12" s="252"/>
      <c r="EQ12" s="252"/>
      <c r="ER12" s="252"/>
      <c r="ES12" s="252"/>
      <c r="ET12" s="252"/>
      <c r="EU12" s="252"/>
      <c r="EV12" s="252"/>
      <c r="EW12" s="252"/>
      <c r="EX12" s="252"/>
      <c r="EY12" s="252"/>
      <c r="EZ12" s="252"/>
      <c r="FA12" s="252"/>
      <c r="FB12" s="252"/>
      <c r="FC12" s="252"/>
      <c r="FD12" s="252"/>
      <c r="FE12" s="252"/>
      <c r="FF12" s="252"/>
      <c r="FG12" s="252"/>
      <c r="FH12" s="252"/>
      <c r="FI12" s="252"/>
      <c r="FJ12" s="252"/>
      <c r="FK12" s="252"/>
      <c r="FL12" s="252"/>
      <c r="FM12" s="252"/>
      <c r="FN12" s="252"/>
      <c r="FO12" s="252"/>
      <c r="FP12" s="252"/>
      <c r="FQ12" s="252"/>
      <c r="FR12" s="252"/>
      <c r="FS12" s="252"/>
      <c r="FT12" s="252"/>
      <c r="FU12" s="252"/>
      <c r="FV12" s="252"/>
      <c r="FW12" s="252"/>
      <c r="FX12" s="252"/>
      <c r="FY12" s="252"/>
      <c r="FZ12" s="252"/>
      <c r="GA12" s="252"/>
      <c r="GB12" s="252"/>
      <c r="GC12" s="252"/>
      <c r="GD12" s="252"/>
      <c r="GE12" s="252"/>
      <c r="GF12" s="252"/>
      <c r="GG12" s="252"/>
      <c r="GH12" s="252"/>
      <c r="GI12" s="252"/>
      <c r="GJ12" s="252"/>
      <c r="GK12" s="252"/>
      <c r="GL12" s="252"/>
      <c r="GM12" s="252"/>
      <c r="GN12" s="252"/>
      <c r="GO12" s="252"/>
      <c r="GP12" s="252"/>
      <c r="GQ12" s="252"/>
      <c r="GR12" s="252"/>
      <c r="GS12" s="252"/>
      <c r="GT12" s="252"/>
      <c r="GU12" s="252"/>
      <c r="GV12" s="252"/>
      <c r="GW12" s="252"/>
      <c r="GX12" s="252"/>
      <c r="GY12" s="252"/>
      <c r="GZ12" s="252"/>
      <c r="HA12" s="252"/>
      <c r="HB12" s="252"/>
      <c r="HC12" s="252"/>
      <c r="HD12" s="252"/>
      <c r="HE12" s="252"/>
      <c r="HF12" s="252"/>
      <c r="HG12" s="252"/>
      <c r="HH12" s="252"/>
      <c r="HI12" s="252"/>
      <c r="HJ12" s="252"/>
      <c r="HK12" s="252"/>
      <c r="HL12" s="252"/>
      <c r="HM12" s="252"/>
      <c r="HN12" s="252"/>
      <c r="HO12" s="252"/>
      <c r="HP12" s="252"/>
      <c r="HQ12" s="252"/>
      <c r="HR12" s="252"/>
      <c r="HS12" s="252"/>
      <c r="HT12" s="252"/>
      <c r="HU12" s="252"/>
      <c r="HV12" s="252"/>
      <c r="HW12" s="252"/>
      <c r="HX12" s="252"/>
      <c r="HY12" s="252"/>
      <c r="HZ12" s="252"/>
      <c r="IA12" s="252"/>
      <c r="IB12" s="252"/>
      <c r="IC12" s="252"/>
      <c r="ID12" s="252"/>
      <c r="IE12" s="252"/>
      <c r="IF12" s="252"/>
      <c r="IG12" s="252"/>
      <c r="IH12" s="252"/>
      <c r="II12" s="252"/>
      <c r="IJ12" s="252"/>
      <c r="IK12" s="252"/>
      <c r="IL12" s="252"/>
      <c r="IM12" s="252"/>
      <c r="IN12" s="252"/>
      <c r="IO12" s="252"/>
      <c r="IP12" s="252"/>
      <c r="IQ12" s="252"/>
      <c r="IR12" s="252"/>
      <c r="IS12" s="252"/>
      <c r="IT12" s="252"/>
      <c r="IU12" s="252"/>
      <c r="IV12" s="252"/>
      <c r="IW12" s="252"/>
      <c r="IX12" s="252"/>
      <c r="IY12" s="252"/>
      <c r="IZ12" s="252"/>
      <c r="JA12" s="252"/>
      <c r="JB12" s="252"/>
      <c r="JC12" s="252"/>
      <c r="JD12" s="252"/>
      <c r="JE12" s="252"/>
      <c r="JF12" s="252"/>
      <c r="JG12" s="252"/>
      <c r="JH12" s="252"/>
      <c r="JI12" s="252"/>
      <c r="JJ12" s="252"/>
      <c r="JK12" s="252"/>
      <c r="JL12" s="252"/>
      <c r="JM12" s="252"/>
      <c r="JN12" s="252"/>
      <c r="JO12" s="252"/>
      <c r="JP12" s="252"/>
      <c r="JQ12" s="252"/>
      <c r="JR12" s="252"/>
      <c r="JS12" s="252"/>
      <c r="JT12" s="252"/>
      <c r="JU12" s="252"/>
      <c r="JV12" s="252"/>
      <c r="JW12" s="252"/>
      <c r="JX12" s="252"/>
      <c r="JY12" s="252"/>
      <c r="JZ12" s="252"/>
      <c r="KA12" s="252"/>
      <c r="KB12" s="252"/>
      <c r="KC12" s="252"/>
      <c r="KD12" s="252"/>
      <c r="KE12" s="252"/>
      <c r="KF12" s="252"/>
      <c r="KG12" s="252"/>
      <c r="KH12" s="252"/>
      <c r="KI12" s="252"/>
      <c r="KJ12" s="252"/>
      <c r="KK12" s="252"/>
      <c r="KL12" s="252"/>
      <c r="KM12" s="252"/>
      <c r="KN12" s="252"/>
      <c r="KO12" s="252"/>
      <c r="KP12" s="252"/>
      <c r="KQ12" s="252"/>
      <c r="KR12" s="252"/>
      <c r="KS12" s="252"/>
      <c r="KT12" s="252"/>
      <c r="KU12" s="252"/>
      <c r="KV12" s="252"/>
      <c r="KW12" s="252"/>
      <c r="KX12" s="252"/>
      <c r="KY12" s="252"/>
      <c r="KZ12" s="252"/>
      <c r="LA12" s="252"/>
      <c r="LB12" s="252"/>
      <c r="LC12" s="252"/>
      <c r="LD12" s="252"/>
      <c r="LE12" s="252"/>
      <c r="LF12" s="252"/>
      <c r="LG12" s="252"/>
      <c r="LH12" s="252"/>
      <c r="LI12" s="252"/>
      <c r="LJ12" s="252"/>
      <c r="LK12" s="252"/>
      <c r="LL12" s="252"/>
      <c r="LM12" s="252"/>
      <c r="LN12" s="252"/>
      <c r="LO12" s="252"/>
      <c r="LP12" s="252"/>
      <c r="LQ12" s="252"/>
      <c r="LR12" s="252"/>
      <c r="LS12" s="252"/>
      <c r="LT12" s="252"/>
      <c r="LU12" s="252"/>
      <c r="LV12" s="252"/>
      <c r="LW12" s="252"/>
      <c r="LX12" s="252"/>
      <c r="LY12" s="252"/>
      <c r="LZ12" s="252"/>
      <c r="MA12" s="252"/>
      <c r="MB12" s="252"/>
      <c r="MC12" s="252"/>
      <c r="MD12" s="252"/>
      <c r="ME12" s="252"/>
      <c r="MF12" s="252"/>
      <c r="MG12" s="252"/>
      <c r="MH12" s="252"/>
      <c r="MI12" s="252"/>
      <c r="MJ12" s="252"/>
      <c r="MK12" s="252"/>
      <c r="ML12" s="252"/>
      <c r="MM12" s="252"/>
      <c r="MN12" s="252"/>
      <c r="MO12" s="252"/>
      <c r="MP12" s="252"/>
      <c r="MQ12" s="252"/>
      <c r="MR12" s="252"/>
      <c r="MS12" s="252"/>
      <c r="MT12" s="252"/>
      <c r="MU12" s="252"/>
      <c r="MV12" s="252"/>
      <c r="MW12" s="252"/>
      <c r="MX12" s="252"/>
      <c r="MY12" s="252"/>
      <c r="MZ12" s="252"/>
      <c r="NA12" s="252"/>
      <c r="NB12" s="252"/>
      <c r="NC12" s="252"/>
      <c r="ND12" s="252"/>
      <c r="NE12" s="252"/>
      <c r="NF12" s="252"/>
      <c r="NG12" s="252"/>
      <c r="NH12" s="252"/>
      <c r="NI12" s="252"/>
      <c r="NJ12" s="252"/>
      <c r="NK12" s="252"/>
      <c r="NL12" s="252"/>
      <c r="NM12" s="252"/>
      <c r="NN12" s="252"/>
      <c r="NO12" s="252"/>
      <c r="NP12" s="252"/>
      <c r="NQ12" s="252"/>
      <c r="NR12" s="252"/>
      <c r="NS12" s="252"/>
      <c r="NT12" s="252"/>
      <c r="NU12" s="252"/>
      <c r="NV12" s="252"/>
      <c r="NW12" s="252"/>
      <c r="NX12" s="252"/>
      <c r="NY12" s="252"/>
      <c r="NZ12" s="252"/>
      <c r="OA12" s="252"/>
      <c r="OB12" s="252"/>
      <c r="OC12" s="252"/>
      <c r="OD12" s="252"/>
      <c r="OE12" s="252"/>
      <c r="OF12" s="252"/>
      <c r="OG12" s="252"/>
      <c r="OH12" s="252"/>
      <c r="OI12" s="252"/>
      <c r="OJ12" s="252"/>
      <c r="OK12" s="252"/>
      <c r="OL12" s="252"/>
      <c r="OM12" s="252"/>
      <c r="ON12" s="252"/>
      <c r="OO12" s="252"/>
      <c r="OP12" s="252"/>
      <c r="OQ12" s="252"/>
      <c r="OR12" s="252"/>
      <c r="OS12" s="252"/>
      <c r="OT12" s="252"/>
      <c r="OU12" s="252"/>
      <c r="OV12" s="252"/>
      <c r="OW12" s="252"/>
      <c r="OX12" s="252"/>
      <c r="OY12" s="252"/>
      <c r="OZ12" s="252"/>
      <c r="PA12" s="252"/>
      <c r="PB12" s="252"/>
      <c r="PC12" s="252"/>
      <c r="PD12" s="252"/>
      <c r="PE12" s="252"/>
      <c r="PF12" s="252"/>
      <c r="PG12" s="252"/>
      <c r="PH12" s="252"/>
      <c r="PI12" s="252"/>
      <c r="PJ12" s="252"/>
      <c r="PK12" s="252"/>
      <c r="PL12" s="252"/>
      <c r="PM12" s="252"/>
      <c r="PN12" s="252"/>
      <c r="PO12" s="252"/>
      <c r="PP12" s="252"/>
      <c r="PQ12" s="252"/>
      <c r="PR12" s="252"/>
      <c r="PS12" s="252"/>
      <c r="PT12" s="252"/>
      <c r="PU12" s="252"/>
      <c r="PV12" s="252"/>
      <c r="PW12" s="252"/>
      <c r="PX12" s="252"/>
      <c r="PY12" s="252"/>
      <c r="PZ12" s="252"/>
      <c r="QA12" s="252"/>
      <c r="QB12" s="252"/>
      <c r="QC12" s="252"/>
      <c r="QD12" s="252"/>
      <c r="QE12" s="252"/>
      <c r="QF12" s="252"/>
      <c r="QG12" s="252"/>
      <c r="QH12" s="252"/>
      <c r="QI12" s="252"/>
      <c r="QJ12" s="252"/>
      <c r="QK12" s="252"/>
      <c r="QL12" s="252"/>
      <c r="QM12" s="252"/>
      <c r="QN12" s="252"/>
      <c r="QO12" s="252"/>
      <c r="QP12" s="252"/>
      <c r="QQ12" s="252"/>
      <c r="QR12" s="252"/>
      <c r="QS12" s="252"/>
      <c r="QT12" s="252"/>
      <c r="QU12" s="252"/>
      <c r="QV12" s="252"/>
      <c r="QW12" s="252"/>
      <c r="QX12" s="252"/>
      <c r="QY12" s="252"/>
      <c r="QZ12" s="252"/>
      <c r="RA12" s="252"/>
      <c r="RB12" s="252"/>
      <c r="RC12" s="252"/>
      <c r="RD12" s="252"/>
      <c r="RE12" s="252"/>
      <c r="RF12" s="252"/>
      <c r="RG12" s="252"/>
      <c r="RH12" s="252"/>
      <c r="RI12" s="252"/>
      <c r="RJ12" s="252"/>
      <c r="RK12" s="252"/>
      <c r="RL12" s="252"/>
      <c r="RM12" s="252"/>
      <c r="RN12" s="252"/>
      <c r="RO12" s="252"/>
      <c r="RP12" s="252"/>
      <c r="RQ12" s="252"/>
      <c r="RR12" s="252"/>
      <c r="RS12" s="252"/>
      <c r="RT12" s="252"/>
      <c r="RU12" s="252"/>
      <c r="RV12" s="252"/>
      <c r="RW12" s="252"/>
      <c r="RX12" s="252"/>
      <c r="RY12" s="252"/>
      <c r="RZ12" s="252"/>
      <c r="SA12" s="252"/>
      <c r="SB12" s="252"/>
      <c r="SC12" s="252"/>
      <c r="SD12" s="252"/>
      <c r="SE12" s="252"/>
      <c r="SF12" s="252"/>
      <c r="SG12" s="252"/>
      <c r="SH12" s="252"/>
      <c r="SI12" s="252"/>
      <c r="SJ12" s="252"/>
      <c r="SK12" s="252"/>
      <c r="SL12" s="252"/>
      <c r="SM12" s="252"/>
      <c r="SN12" s="252"/>
      <c r="SO12" s="252"/>
      <c r="SP12" s="252"/>
      <c r="SQ12" s="252"/>
      <c r="SR12" s="252"/>
      <c r="SS12" s="252"/>
      <c r="ST12" s="252"/>
      <c r="SU12" s="252"/>
      <c r="SV12" s="252"/>
      <c r="SW12" s="252"/>
      <c r="SX12" s="252"/>
      <c r="SY12" s="252"/>
      <c r="SZ12" s="252"/>
      <c r="TA12" s="252"/>
      <c r="TB12" s="252"/>
      <c r="TC12" s="252"/>
      <c r="TD12" s="252"/>
      <c r="TE12" s="252"/>
      <c r="TF12" s="252"/>
      <c r="TG12" s="252"/>
      <c r="TH12" s="252"/>
      <c r="TI12" s="252"/>
      <c r="TJ12" s="252"/>
      <c r="TK12" s="252"/>
      <c r="TL12" s="252"/>
      <c r="TM12" s="252"/>
      <c r="TN12" s="252"/>
      <c r="TO12" s="252"/>
      <c r="TP12" s="252"/>
      <c r="TQ12" s="252"/>
      <c r="TR12" s="252"/>
      <c r="TS12" s="252"/>
      <c r="TT12" s="252"/>
      <c r="TU12" s="252"/>
      <c r="TV12" s="252"/>
      <c r="TW12" s="252"/>
      <c r="TX12" s="252"/>
      <c r="TY12" s="252"/>
      <c r="TZ12" s="252"/>
      <c r="UA12" s="252"/>
      <c r="UB12" s="252"/>
      <c r="UC12" s="252"/>
      <c r="UD12" s="252"/>
      <c r="UE12" s="252"/>
      <c r="UF12" s="252"/>
      <c r="UG12" s="252"/>
      <c r="UH12" s="252"/>
      <c r="UI12" s="252"/>
      <c r="UJ12" s="252"/>
      <c r="UK12" s="252"/>
      <c r="UL12" s="252"/>
      <c r="UM12" s="252"/>
      <c r="UN12" s="252"/>
      <c r="UO12" s="252"/>
      <c r="UP12" s="252"/>
      <c r="UQ12" s="252"/>
      <c r="UR12" s="252"/>
      <c r="US12" s="252"/>
      <c r="UT12" s="252"/>
      <c r="UU12" s="252"/>
      <c r="UV12" s="252"/>
      <c r="UW12" s="252"/>
      <c r="UX12" s="252"/>
      <c r="UY12" s="252"/>
      <c r="UZ12" s="252"/>
      <c r="VA12" s="252"/>
      <c r="VB12" s="252"/>
      <c r="VC12" s="252"/>
      <c r="VD12" s="252"/>
      <c r="VE12" s="252"/>
      <c r="VF12" s="252"/>
      <c r="VG12" s="252"/>
      <c r="VH12" s="252"/>
      <c r="VI12" s="252"/>
      <c r="VJ12" s="252"/>
      <c r="VK12" s="252"/>
      <c r="VL12" s="252"/>
      <c r="VM12" s="252"/>
      <c r="VN12" s="252"/>
      <c r="VO12" s="252"/>
      <c r="VP12" s="252"/>
      <c r="VQ12" s="252"/>
      <c r="VR12" s="252"/>
      <c r="VS12" s="252"/>
      <c r="VT12" s="252"/>
      <c r="VU12" s="252"/>
      <c r="VV12" s="252"/>
      <c r="VW12" s="252"/>
      <c r="VX12" s="252"/>
      <c r="VY12" s="252"/>
      <c r="VZ12" s="252"/>
      <c r="WA12" s="252"/>
      <c r="WB12" s="252"/>
      <c r="WC12" s="252"/>
      <c r="WD12" s="252"/>
      <c r="WE12" s="252"/>
      <c r="WF12" s="252"/>
      <c r="WG12" s="252"/>
      <c r="WH12" s="252"/>
      <c r="WI12" s="252"/>
      <c r="WJ12" s="252"/>
      <c r="WK12" s="252"/>
      <c r="WL12" s="252"/>
      <c r="WM12" s="252"/>
      <c r="WN12" s="252"/>
      <c r="WO12" s="252"/>
      <c r="WP12" s="252"/>
      <c r="WQ12" s="252"/>
      <c r="WR12" s="252"/>
      <c r="WS12" s="252"/>
      <c r="WT12" s="252"/>
      <c r="WU12" s="252"/>
      <c r="WV12" s="252"/>
      <c r="WW12" s="252"/>
      <c r="WX12" s="252"/>
      <c r="WY12" s="252"/>
      <c r="WZ12" s="252"/>
      <c r="XA12" s="252"/>
      <c r="XB12" s="252"/>
      <c r="XC12" s="252"/>
      <c r="XD12" s="252"/>
      <c r="XE12" s="252"/>
      <c r="XF12" s="252"/>
      <c r="XG12" s="252"/>
      <c r="XH12" s="252"/>
      <c r="XI12" s="252"/>
      <c r="XJ12" s="252"/>
      <c r="XK12" s="252"/>
      <c r="XL12" s="252"/>
      <c r="XM12" s="252"/>
      <c r="XN12" s="252"/>
      <c r="XO12" s="252"/>
      <c r="XP12" s="252"/>
      <c r="XQ12" s="252"/>
      <c r="XR12" s="252"/>
      <c r="XS12" s="252"/>
      <c r="XT12" s="252"/>
      <c r="XU12" s="252"/>
      <c r="XV12" s="252"/>
      <c r="XW12" s="252"/>
      <c r="XX12" s="252"/>
      <c r="XY12" s="252"/>
      <c r="XZ12" s="252"/>
      <c r="YA12" s="252"/>
      <c r="YB12" s="252"/>
      <c r="YC12" s="252"/>
      <c r="YD12" s="252"/>
      <c r="YE12" s="252"/>
      <c r="YF12" s="252"/>
      <c r="YG12" s="252"/>
      <c r="YH12" s="252"/>
      <c r="YI12" s="252"/>
      <c r="YJ12" s="252"/>
      <c r="YK12" s="252"/>
      <c r="YL12" s="252"/>
      <c r="YM12" s="252"/>
      <c r="YN12" s="252"/>
      <c r="YO12" s="252"/>
      <c r="YP12" s="252"/>
      <c r="YQ12" s="252"/>
      <c r="YR12" s="252"/>
      <c r="YS12" s="252"/>
      <c r="YT12" s="252"/>
      <c r="YU12" s="252"/>
      <c r="YV12" s="252"/>
      <c r="YW12" s="252"/>
      <c r="YX12" s="252"/>
      <c r="YY12" s="252"/>
      <c r="YZ12" s="252"/>
      <c r="ZA12" s="252"/>
      <c r="ZB12" s="252"/>
      <c r="ZC12" s="252"/>
      <c r="ZD12" s="252"/>
      <c r="ZE12" s="252"/>
      <c r="ZF12" s="252"/>
      <c r="ZG12" s="252"/>
      <c r="ZH12" s="252"/>
      <c r="ZI12" s="252"/>
      <c r="ZJ12" s="252"/>
      <c r="ZK12" s="252"/>
      <c r="ZL12" s="252"/>
      <c r="ZM12" s="252"/>
      <c r="ZN12" s="252"/>
      <c r="ZO12" s="252"/>
      <c r="ZP12" s="252"/>
      <c r="ZQ12" s="252"/>
      <c r="ZR12" s="252"/>
      <c r="ZS12" s="252"/>
      <c r="ZT12" s="252"/>
      <c r="ZU12" s="252"/>
      <c r="ZV12" s="252"/>
      <c r="ZW12" s="252"/>
      <c r="ZX12" s="252"/>
      <c r="ZY12" s="252"/>
      <c r="ZZ12" s="252"/>
      <c r="AAA12" s="252"/>
      <c r="AAB12" s="252"/>
      <c r="AAC12" s="252"/>
      <c r="AAD12" s="252"/>
      <c r="AAE12" s="252"/>
      <c r="AAF12" s="252"/>
      <c r="AAG12" s="252"/>
      <c r="AAH12" s="252"/>
      <c r="AAI12" s="252"/>
      <c r="AAJ12" s="252"/>
      <c r="AAK12" s="252"/>
      <c r="AAL12" s="252"/>
      <c r="AAM12" s="252"/>
      <c r="AAN12" s="252"/>
      <c r="AAO12" s="252"/>
      <c r="AAP12" s="252"/>
      <c r="AAQ12" s="252"/>
      <c r="AAR12" s="252"/>
      <c r="AAS12" s="252"/>
      <c r="AAT12" s="252"/>
      <c r="AAU12" s="252"/>
      <c r="AAV12" s="252"/>
      <c r="AAW12" s="252"/>
      <c r="AAX12" s="252"/>
      <c r="AAY12" s="252"/>
      <c r="AAZ12" s="252"/>
      <c r="ABA12" s="252"/>
      <c r="ABB12" s="252"/>
      <c r="ABC12" s="252"/>
      <c r="ABD12" s="252"/>
      <c r="ABE12" s="252"/>
      <c r="ABF12" s="252"/>
      <c r="ABG12" s="252"/>
      <c r="ABH12" s="252"/>
      <c r="ABI12" s="252"/>
      <c r="ABJ12" s="252"/>
      <c r="ABK12" s="252"/>
      <c r="ABL12" s="252"/>
      <c r="ABM12" s="252"/>
      <c r="ABN12" s="252"/>
      <c r="ABO12" s="252"/>
      <c r="ABP12" s="252"/>
      <c r="ABQ12" s="252"/>
      <c r="ABR12" s="252"/>
      <c r="ABS12" s="252"/>
      <c r="ABT12" s="252"/>
      <c r="ABU12" s="252"/>
      <c r="ABV12" s="252"/>
      <c r="ABW12" s="252"/>
      <c r="ABX12" s="252"/>
      <c r="ABY12" s="252"/>
      <c r="ABZ12" s="252"/>
      <c r="ACA12" s="252"/>
      <c r="ACB12" s="252"/>
      <c r="ACC12" s="252"/>
      <c r="ACD12" s="252"/>
      <c r="ACE12" s="252"/>
      <c r="ACF12" s="252"/>
      <c r="ACG12" s="252"/>
      <c r="ACH12" s="252"/>
      <c r="ACI12" s="252"/>
      <c r="ACJ12" s="252"/>
      <c r="ACK12" s="252"/>
      <c r="ACL12" s="252"/>
      <c r="ACM12" s="252"/>
      <c r="ACN12" s="252"/>
      <c r="ACO12" s="252"/>
      <c r="ACP12" s="252"/>
      <c r="ACQ12" s="252"/>
      <c r="ACR12" s="252"/>
      <c r="ACS12" s="252"/>
      <c r="ACT12" s="252"/>
      <c r="ACU12" s="252"/>
      <c r="ACV12" s="252"/>
      <c r="ACW12" s="252"/>
      <c r="ACX12" s="252"/>
      <c r="ACY12" s="252"/>
      <c r="ACZ12" s="252"/>
      <c r="ADA12" s="252"/>
      <c r="ADB12" s="252"/>
      <c r="ADC12" s="252"/>
      <c r="ADD12" s="252"/>
      <c r="ADE12" s="252"/>
      <c r="ADF12" s="252"/>
      <c r="ADG12" s="252"/>
      <c r="ADH12" s="252"/>
      <c r="ADI12" s="252"/>
      <c r="ADJ12" s="252"/>
      <c r="ADK12" s="252"/>
      <c r="ADL12" s="252"/>
      <c r="ADM12" s="252"/>
      <c r="ADN12" s="252"/>
      <c r="ADO12" s="252"/>
      <c r="ADP12" s="252"/>
      <c r="ADQ12" s="252"/>
      <c r="ADR12" s="252"/>
      <c r="ADS12" s="252"/>
      <c r="ADT12" s="252"/>
      <c r="ADU12" s="252"/>
      <c r="ADV12" s="252"/>
      <c r="ADW12" s="252"/>
      <c r="ADX12" s="252"/>
      <c r="ADY12" s="252"/>
      <c r="ADZ12" s="252"/>
      <c r="AEA12" s="252"/>
      <c r="AEB12" s="252"/>
      <c r="AEC12" s="252"/>
      <c r="AED12" s="252"/>
      <c r="AEE12" s="252"/>
      <c r="AEF12" s="252"/>
      <c r="AEG12" s="252"/>
      <c r="AEH12" s="252"/>
      <c r="AEI12" s="252"/>
      <c r="AEJ12" s="252"/>
      <c r="AEK12" s="252"/>
      <c r="AEL12" s="252"/>
      <c r="AEM12" s="252"/>
      <c r="AEN12" s="252"/>
      <c r="AEO12" s="252"/>
      <c r="AEP12" s="252"/>
      <c r="AEQ12" s="252"/>
      <c r="AER12" s="252"/>
      <c r="AES12" s="252"/>
      <c r="AET12" s="252"/>
      <c r="AEU12" s="252"/>
      <c r="AEV12" s="252"/>
      <c r="AEW12" s="252"/>
      <c r="AEX12" s="252"/>
      <c r="AEY12" s="252"/>
      <c r="AEZ12" s="252"/>
      <c r="AFA12" s="252"/>
      <c r="AFB12" s="252"/>
      <c r="AFC12" s="252"/>
      <c r="AFD12" s="252"/>
      <c r="AFE12" s="252"/>
      <c r="AFF12" s="252"/>
      <c r="AFG12" s="252"/>
      <c r="AFH12" s="252"/>
      <c r="AFI12" s="252"/>
      <c r="AFJ12" s="252"/>
      <c r="AFK12" s="252"/>
      <c r="AFL12" s="252"/>
      <c r="AFM12" s="252"/>
      <c r="AFN12" s="252"/>
      <c r="AFO12" s="252"/>
      <c r="AFP12" s="252"/>
      <c r="AFQ12" s="252"/>
      <c r="AFR12" s="252"/>
      <c r="AFS12" s="252"/>
      <c r="AFT12" s="252"/>
      <c r="AFU12" s="252"/>
      <c r="AFV12" s="252"/>
      <c r="AFW12" s="252"/>
      <c r="AFX12" s="252"/>
      <c r="AFY12" s="252"/>
      <c r="AFZ12" s="252"/>
      <c r="AGA12" s="252"/>
      <c r="AGB12" s="252"/>
      <c r="AGC12" s="252"/>
      <c r="AGD12" s="252"/>
      <c r="AGE12" s="252"/>
      <c r="AGF12" s="252"/>
      <c r="AGG12" s="252"/>
      <c r="AGH12" s="252"/>
      <c r="AGI12" s="252"/>
      <c r="AGJ12" s="252"/>
      <c r="AGK12" s="252"/>
      <c r="AGL12" s="252"/>
      <c r="AGM12" s="252"/>
      <c r="AGN12" s="252"/>
      <c r="AGO12" s="252"/>
      <c r="AGP12" s="252"/>
      <c r="AGQ12" s="252"/>
      <c r="AGR12" s="252"/>
      <c r="AGS12" s="252"/>
      <c r="AGT12" s="252"/>
      <c r="AGU12" s="252"/>
      <c r="AGV12" s="252"/>
      <c r="AGW12" s="252"/>
      <c r="AGX12" s="252"/>
      <c r="AGY12" s="252"/>
      <c r="AGZ12" s="252"/>
      <c r="AHA12" s="252"/>
      <c r="AHB12" s="252"/>
      <c r="AHC12" s="252"/>
      <c r="AHD12" s="252"/>
      <c r="AHE12" s="252"/>
      <c r="AHF12" s="252"/>
      <c r="AHG12" s="252"/>
      <c r="AHH12" s="252"/>
      <c r="AHI12" s="252"/>
      <c r="AHJ12" s="252"/>
      <c r="AHK12" s="252"/>
      <c r="AHL12" s="252"/>
      <c r="AHM12" s="252"/>
      <c r="AHN12" s="252"/>
      <c r="AHO12" s="252"/>
      <c r="AHP12" s="252"/>
      <c r="AHQ12" s="252"/>
      <c r="AHR12" s="252"/>
      <c r="AHS12" s="252"/>
      <c r="AHT12" s="252"/>
      <c r="AHU12" s="252"/>
      <c r="AHV12" s="252"/>
      <c r="AHW12" s="252"/>
      <c r="AHX12" s="252"/>
      <c r="AHY12" s="252"/>
      <c r="AHZ12" s="252"/>
      <c r="AIA12" s="252"/>
      <c r="AIB12" s="252"/>
      <c r="AIC12" s="252"/>
      <c r="AID12" s="252"/>
      <c r="AIE12" s="252"/>
      <c r="AIF12" s="252"/>
      <c r="AIG12" s="252"/>
      <c r="AIH12" s="252"/>
      <c r="AII12" s="252"/>
      <c r="AIJ12" s="252"/>
      <c r="AIK12" s="252"/>
      <c r="AIL12" s="252"/>
      <c r="AIM12" s="252"/>
      <c r="AIN12" s="252"/>
      <c r="AIO12" s="252"/>
      <c r="AIP12" s="252"/>
      <c r="AIQ12" s="252"/>
      <c r="AIR12" s="252"/>
      <c r="AIS12" s="252"/>
      <c r="AIT12" s="252"/>
      <c r="AIU12" s="252"/>
      <c r="AIV12" s="252"/>
      <c r="AIW12" s="252"/>
      <c r="AIX12" s="252"/>
      <c r="AIY12" s="252"/>
      <c r="AIZ12" s="252"/>
      <c r="AJA12" s="252"/>
      <c r="AJB12" s="252"/>
      <c r="AJC12" s="252"/>
      <c r="AJD12" s="252"/>
      <c r="AJE12" s="252"/>
      <c r="AJF12" s="252"/>
      <c r="AJG12" s="252"/>
      <c r="AJH12" s="252"/>
      <c r="AJI12" s="252"/>
      <c r="AJJ12" s="252"/>
      <c r="AJK12" s="252"/>
      <c r="AJL12" s="252"/>
      <c r="AJM12" s="252"/>
      <c r="AJN12" s="252"/>
      <c r="AJO12" s="252"/>
      <c r="AJP12" s="252"/>
      <c r="AJQ12" s="252"/>
      <c r="AJR12" s="252"/>
      <c r="AJS12" s="252"/>
      <c r="AJT12" s="252"/>
      <c r="AJU12" s="252"/>
      <c r="AJV12" s="252"/>
      <c r="AJW12" s="252"/>
      <c r="AJX12" s="252"/>
      <c r="AJY12" s="252"/>
      <c r="AJZ12" s="252"/>
      <c r="AKA12" s="252"/>
      <c r="AKB12" s="252"/>
      <c r="AKC12" s="252"/>
      <c r="AKD12" s="252"/>
      <c r="AKE12" s="252"/>
      <c r="AKF12" s="252"/>
      <c r="AKG12" s="252"/>
      <c r="AKH12" s="252"/>
      <c r="AKI12" s="252"/>
      <c r="AKJ12" s="252"/>
      <c r="AKK12" s="252"/>
      <c r="AKL12" s="252"/>
      <c r="AKM12" s="252"/>
      <c r="AKN12" s="252"/>
      <c r="AKO12" s="252"/>
      <c r="AKP12" s="252"/>
      <c r="AKQ12" s="252"/>
      <c r="AKR12" s="252"/>
      <c r="AKS12" s="252"/>
      <c r="AKT12" s="252"/>
      <c r="AKU12" s="252"/>
      <c r="AKV12" s="252"/>
      <c r="AKW12" s="252"/>
      <c r="AKX12" s="252"/>
      <c r="AKY12" s="252"/>
      <c r="AKZ12" s="252"/>
      <c r="ALA12" s="252"/>
      <c r="ALB12" s="252"/>
      <c r="ALC12" s="252"/>
      <c r="ALD12" s="252"/>
      <c r="ALE12" s="252"/>
      <c r="ALF12" s="252"/>
      <c r="ALG12" s="252"/>
      <c r="ALH12" s="252"/>
      <c r="ALI12" s="252"/>
      <c r="ALJ12" s="252"/>
      <c r="ALK12" s="252"/>
      <c r="ALL12" s="252"/>
      <c r="ALM12" s="252"/>
      <c r="ALN12" s="252"/>
      <c r="ALO12" s="252"/>
      <c r="ALP12" s="252"/>
      <c r="ALQ12" s="252"/>
      <c r="ALR12" s="252"/>
      <c r="ALS12" s="252"/>
    </row>
    <row r="13" spans="1:1007" s="3" customFormat="1" x14ac:dyDescent="0.2">
      <c r="A13" s="749" t="s">
        <v>528</v>
      </c>
      <c r="B13" s="382"/>
      <c r="C13" s="382"/>
      <c r="D13" s="382"/>
      <c r="E13" s="740">
        <v>12200</v>
      </c>
      <c r="F13" s="730"/>
      <c r="G13" s="730"/>
      <c r="H13" s="369"/>
      <c r="I13" s="730"/>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252"/>
      <c r="BW13" s="252"/>
      <c r="BX13" s="252"/>
      <c r="BY13" s="252"/>
      <c r="BZ13" s="252"/>
      <c r="CA13" s="252"/>
      <c r="CB13" s="252"/>
      <c r="CC13" s="252"/>
      <c r="CD13" s="252"/>
      <c r="CE13" s="252"/>
      <c r="CF13" s="252"/>
      <c r="CG13" s="252"/>
      <c r="CH13" s="252"/>
      <c r="CI13" s="252"/>
      <c r="CJ13" s="252"/>
      <c r="CK13" s="252"/>
      <c r="CL13" s="252"/>
      <c r="CM13" s="252"/>
      <c r="CN13" s="252"/>
      <c r="CO13" s="252"/>
      <c r="CP13" s="252"/>
      <c r="CQ13" s="252"/>
      <c r="CR13" s="252"/>
      <c r="CS13" s="252"/>
      <c r="CT13" s="252"/>
      <c r="CU13" s="252"/>
      <c r="CV13" s="252"/>
      <c r="CW13" s="252"/>
      <c r="CX13" s="252"/>
      <c r="CY13" s="252"/>
      <c r="CZ13" s="252"/>
      <c r="DA13" s="252"/>
      <c r="DB13" s="252"/>
      <c r="DC13" s="252"/>
      <c r="DD13" s="252"/>
      <c r="DE13" s="252"/>
      <c r="DF13" s="252"/>
      <c r="DG13" s="252"/>
      <c r="DH13" s="252"/>
      <c r="DI13" s="252"/>
      <c r="DJ13" s="252"/>
      <c r="DK13" s="252"/>
      <c r="DL13" s="252"/>
      <c r="DM13" s="252"/>
      <c r="DN13" s="252"/>
      <c r="DO13" s="252"/>
      <c r="DP13" s="252"/>
      <c r="DQ13" s="252"/>
      <c r="DR13" s="252"/>
      <c r="DS13" s="252"/>
      <c r="DT13" s="252"/>
      <c r="DU13" s="252"/>
      <c r="DV13" s="252"/>
      <c r="DW13" s="252"/>
      <c r="DX13" s="252"/>
      <c r="DY13" s="252"/>
      <c r="DZ13" s="252"/>
      <c r="EA13" s="252"/>
      <c r="EB13" s="252"/>
      <c r="EC13" s="252"/>
      <c r="ED13" s="252"/>
      <c r="EE13" s="252"/>
      <c r="EF13" s="252"/>
      <c r="EG13" s="252"/>
      <c r="EH13" s="252"/>
      <c r="EI13" s="252"/>
      <c r="EJ13" s="252"/>
      <c r="EK13" s="252"/>
      <c r="EL13" s="252"/>
      <c r="EM13" s="252"/>
      <c r="EN13" s="252"/>
      <c r="EO13" s="252"/>
      <c r="EP13" s="252"/>
      <c r="EQ13" s="252"/>
      <c r="ER13" s="252"/>
      <c r="ES13" s="252"/>
      <c r="ET13" s="252"/>
      <c r="EU13" s="252"/>
      <c r="EV13" s="252"/>
      <c r="EW13" s="252"/>
      <c r="EX13" s="252"/>
      <c r="EY13" s="252"/>
      <c r="EZ13" s="252"/>
      <c r="FA13" s="252"/>
      <c r="FB13" s="252"/>
      <c r="FC13" s="252"/>
      <c r="FD13" s="252"/>
      <c r="FE13" s="252"/>
      <c r="FF13" s="252"/>
      <c r="FG13" s="252"/>
      <c r="FH13" s="252"/>
      <c r="FI13" s="252"/>
      <c r="FJ13" s="252"/>
      <c r="FK13" s="252"/>
      <c r="FL13" s="252"/>
      <c r="FM13" s="252"/>
      <c r="FN13" s="252"/>
      <c r="FO13" s="252"/>
      <c r="FP13" s="252"/>
      <c r="FQ13" s="252"/>
      <c r="FR13" s="252"/>
      <c r="FS13" s="252"/>
      <c r="FT13" s="252"/>
      <c r="FU13" s="252"/>
      <c r="FV13" s="252"/>
      <c r="FW13" s="252"/>
      <c r="FX13" s="252"/>
      <c r="FY13" s="252"/>
      <c r="FZ13" s="252"/>
      <c r="GA13" s="252"/>
      <c r="GB13" s="252"/>
      <c r="GC13" s="252"/>
      <c r="GD13" s="252"/>
      <c r="GE13" s="252"/>
      <c r="GF13" s="252"/>
      <c r="GG13" s="252"/>
      <c r="GH13" s="252"/>
      <c r="GI13" s="252"/>
      <c r="GJ13" s="252"/>
      <c r="GK13" s="252"/>
      <c r="GL13" s="252"/>
      <c r="GM13" s="252"/>
      <c r="GN13" s="252"/>
      <c r="GO13" s="252"/>
      <c r="GP13" s="252"/>
      <c r="GQ13" s="252"/>
      <c r="GR13" s="252"/>
      <c r="GS13" s="252"/>
      <c r="GT13" s="252"/>
      <c r="GU13" s="252"/>
      <c r="GV13" s="252"/>
      <c r="GW13" s="252"/>
      <c r="GX13" s="252"/>
      <c r="GY13" s="252"/>
      <c r="GZ13" s="252"/>
      <c r="HA13" s="252"/>
      <c r="HB13" s="252"/>
      <c r="HC13" s="252"/>
      <c r="HD13" s="252"/>
      <c r="HE13" s="252"/>
      <c r="HF13" s="252"/>
      <c r="HG13" s="252"/>
      <c r="HH13" s="252"/>
      <c r="HI13" s="252"/>
      <c r="HJ13" s="252"/>
      <c r="HK13" s="252"/>
      <c r="HL13" s="252"/>
      <c r="HM13" s="252"/>
      <c r="HN13" s="252"/>
      <c r="HO13" s="252"/>
      <c r="HP13" s="252"/>
      <c r="HQ13" s="252"/>
      <c r="HR13" s="252"/>
      <c r="HS13" s="252"/>
      <c r="HT13" s="252"/>
      <c r="HU13" s="252"/>
      <c r="HV13" s="252"/>
      <c r="HW13" s="252"/>
      <c r="HX13" s="252"/>
      <c r="HY13" s="252"/>
      <c r="HZ13" s="252"/>
      <c r="IA13" s="252"/>
      <c r="IB13" s="252"/>
      <c r="IC13" s="252"/>
      <c r="ID13" s="252"/>
      <c r="IE13" s="252"/>
      <c r="IF13" s="252"/>
      <c r="IG13" s="252"/>
      <c r="IH13" s="252"/>
      <c r="II13" s="252"/>
      <c r="IJ13" s="252"/>
      <c r="IK13" s="252"/>
      <c r="IL13" s="252"/>
      <c r="IM13" s="252"/>
      <c r="IN13" s="252"/>
      <c r="IO13" s="252"/>
      <c r="IP13" s="252"/>
      <c r="IQ13" s="252"/>
      <c r="IR13" s="252"/>
      <c r="IS13" s="252"/>
      <c r="IT13" s="252"/>
      <c r="IU13" s="252"/>
      <c r="IV13" s="252"/>
      <c r="IW13" s="252"/>
      <c r="IX13" s="252"/>
      <c r="IY13" s="252"/>
      <c r="IZ13" s="252"/>
      <c r="JA13" s="252"/>
      <c r="JB13" s="252"/>
      <c r="JC13" s="252"/>
      <c r="JD13" s="252"/>
      <c r="JE13" s="252"/>
      <c r="JF13" s="252"/>
      <c r="JG13" s="252"/>
      <c r="JH13" s="252"/>
      <c r="JI13" s="252"/>
      <c r="JJ13" s="252"/>
      <c r="JK13" s="252"/>
      <c r="JL13" s="252"/>
      <c r="JM13" s="252"/>
      <c r="JN13" s="252"/>
      <c r="JO13" s="252"/>
      <c r="JP13" s="252"/>
      <c r="JQ13" s="252"/>
      <c r="JR13" s="252"/>
      <c r="JS13" s="252"/>
      <c r="JT13" s="252"/>
      <c r="JU13" s="252"/>
      <c r="JV13" s="252"/>
      <c r="JW13" s="252"/>
      <c r="JX13" s="252"/>
      <c r="JY13" s="252"/>
      <c r="JZ13" s="252"/>
      <c r="KA13" s="252"/>
      <c r="KB13" s="252"/>
      <c r="KC13" s="252"/>
      <c r="KD13" s="252"/>
      <c r="KE13" s="252"/>
      <c r="KF13" s="252"/>
      <c r="KG13" s="252"/>
      <c r="KH13" s="252"/>
      <c r="KI13" s="252"/>
      <c r="KJ13" s="252"/>
      <c r="KK13" s="252"/>
      <c r="KL13" s="252"/>
      <c r="KM13" s="252"/>
      <c r="KN13" s="252"/>
      <c r="KO13" s="252"/>
      <c r="KP13" s="252"/>
      <c r="KQ13" s="252"/>
      <c r="KR13" s="252"/>
      <c r="KS13" s="252"/>
      <c r="KT13" s="252"/>
      <c r="KU13" s="252"/>
      <c r="KV13" s="252"/>
      <c r="KW13" s="252"/>
      <c r="KX13" s="252"/>
      <c r="KY13" s="252"/>
      <c r="KZ13" s="252"/>
      <c r="LA13" s="252"/>
      <c r="LB13" s="252"/>
      <c r="LC13" s="252"/>
      <c r="LD13" s="252"/>
      <c r="LE13" s="252"/>
      <c r="LF13" s="252"/>
      <c r="LG13" s="252"/>
      <c r="LH13" s="252"/>
      <c r="LI13" s="252"/>
      <c r="LJ13" s="252"/>
      <c r="LK13" s="252"/>
      <c r="LL13" s="252"/>
      <c r="LM13" s="252"/>
      <c r="LN13" s="252"/>
      <c r="LO13" s="252"/>
      <c r="LP13" s="252"/>
      <c r="LQ13" s="252"/>
      <c r="LR13" s="252"/>
      <c r="LS13" s="252"/>
      <c r="LT13" s="252"/>
      <c r="LU13" s="252"/>
      <c r="LV13" s="252"/>
      <c r="LW13" s="252"/>
      <c r="LX13" s="252"/>
      <c r="LY13" s="252"/>
      <c r="LZ13" s="252"/>
      <c r="MA13" s="252"/>
      <c r="MB13" s="252"/>
      <c r="MC13" s="252"/>
      <c r="MD13" s="252"/>
      <c r="ME13" s="252"/>
      <c r="MF13" s="252"/>
      <c r="MG13" s="252"/>
      <c r="MH13" s="252"/>
      <c r="MI13" s="252"/>
      <c r="MJ13" s="252"/>
      <c r="MK13" s="252"/>
      <c r="ML13" s="252"/>
      <c r="MM13" s="252"/>
      <c r="MN13" s="252"/>
      <c r="MO13" s="252"/>
      <c r="MP13" s="252"/>
      <c r="MQ13" s="252"/>
      <c r="MR13" s="252"/>
      <c r="MS13" s="252"/>
      <c r="MT13" s="252"/>
      <c r="MU13" s="252"/>
      <c r="MV13" s="252"/>
      <c r="MW13" s="252"/>
      <c r="MX13" s="252"/>
      <c r="MY13" s="252"/>
      <c r="MZ13" s="252"/>
      <c r="NA13" s="252"/>
      <c r="NB13" s="252"/>
      <c r="NC13" s="252"/>
      <c r="ND13" s="252"/>
      <c r="NE13" s="252"/>
      <c r="NF13" s="252"/>
      <c r="NG13" s="252"/>
      <c r="NH13" s="252"/>
      <c r="NI13" s="252"/>
      <c r="NJ13" s="252"/>
      <c r="NK13" s="252"/>
      <c r="NL13" s="252"/>
      <c r="NM13" s="252"/>
      <c r="NN13" s="252"/>
      <c r="NO13" s="252"/>
      <c r="NP13" s="252"/>
      <c r="NQ13" s="252"/>
      <c r="NR13" s="252"/>
      <c r="NS13" s="252"/>
      <c r="NT13" s="252"/>
      <c r="NU13" s="252"/>
      <c r="NV13" s="252"/>
      <c r="NW13" s="252"/>
      <c r="NX13" s="252"/>
      <c r="NY13" s="252"/>
      <c r="NZ13" s="252"/>
      <c r="OA13" s="252"/>
      <c r="OB13" s="252"/>
      <c r="OC13" s="252"/>
      <c r="OD13" s="252"/>
      <c r="OE13" s="252"/>
      <c r="OF13" s="252"/>
      <c r="OG13" s="252"/>
      <c r="OH13" s="252"/>
      <c r="OI13" s="252"/>
      <c r="OJ13" s="252"/>
      <c r="OK13" s="252"/>
      <c r="OL13" s="252"/>
      <c r="OM13" s="252"/>
      <c r="ON13" s="252"/>
      <c r="OO13" s="252"/>
      <c r="OP13" s="252"/>
      <c r="OQ13" s="252"/>
      <c r="OR13" s="252"/>
      <c r="OS13" s="252"/>
      <c r="OT13" s="252"/>
      <c r="OU13" s="252"/>
      <c r="OV13" s="252"/>
      <c r="OW13" s="252"/>
      <c r="OX13" s="252"/>
      <c r="OY13" s="252"/>
      <c r="OZ13" s="252"/>
      <c r="PA13" s="252"/>
      <c r="PB13" s="252"/>
      <c r="PC13" s="252"/>
      <c r="PD13" s="252"/>
      <c r="PE13" s="252"/>
      <c r="PF13" s="252"/>
      <c r="PG13" s="252"/>
      <c r="PH13" s="252"/>
      <c r="PI13" s="252"/>
      <c r="PJ13" s="252"/>
      <c r="PK13" s="252"/>
      <c r="PL13" s="252"/>
      <c r="PM13" s="252"/>
      <c r="PN13" s="252"/>
      <c r="PO13" s="252"/>
      <c r="PP13" s="252"/>
      <c r="PQ13" s="252"/>
      <c r="PR13" s="252"/>
      <c r="PS13" s="252"/>
      <c r="PT13" s="252"/>
      <c r="PU13" s="252"/>
      <c r="PV13" s="252"/>
      <c r="PW13" s="252"/>
      <c r="PX13" s="252"/>
      <c r="PY13" s="252"/>
      <c r="PZ13" s="252"/>
      <c r="QA13" s="252"/>
      <c r="QB13" s="252"/>
      <c r="QC13" s="252"/>
      <c r="QD13" s="252"/>
      <c r="QE13" s="252"/>
      <c r="QF13" s="252"/>
      <c r="QG13" s="252"/>
      <c r="QH13" s="252"/>
      <c r="QI13" s="252"/>
      <c r="QJ13" s="252"/>
      <c r="QK13" s="252"/>
      <c r="QL13" s="252"/>
      <c r="QM13" s="252"/>
      <c r="QN13" s="252"/>
      <c r="QO13" s="252"/>
      <c r="QP13" s="252"/>
      <c r="QQ13" s="252"/>
      <c r="QR13" s="252"/>
      <c r="QS13" s="252"/>
      <c r="QT13" s="252"/>
      <c r="QU13" s="252"/>
      <c r="QV13" s="252"/>
      <c r="QW13" s="252"/>
      <c r="QX13" s="252"/>
      <c r="QY13" s="252"/>
      <c r="QZ13" s="252"/>
      <c r="RA13" s="252"/>
      <c r="RB13" s="252"/>
      <c r="RC13" s="252"/>
      <c r="RD13" s="252"/>
      <c r="RE13" s="252"/>
      <c r="RF13" s="252"/>
      <c r="RG13" s="252"/>
      <c r="RH13" s="252"/>
      <c r="RI13" s="252"/>
      <c r="RJ13" s="252"/>
      <c r="RK13" s="252"/>
      <c r="RL13" s="252"/>
      <c r="RM13" s="252"/>
      <c r="RN13" s="252"/>
      <c r="RO13" s="252"/>
      <c r="RP13" s="252"/>
      <c r="RQ13" s="252"/>
      <c r="RR13" s="252"/>
      <c r="RS13" s="252"/>
      <c r="RT13" s="252"/>
      <c r="RU13" s="252"/>
      <c r="RV13" s="252"/>
      <c r="RW13" s="252"/>
      <c r="RX13" s="252"/>
      <c r="RY13" s="252"/>
      <c r="RZ13" s="252"/>
      <c r="SA13" s="252"/>
      <c r="SB13" s="252"/>
      <c r="SC13" s="252"/>
      <c r="SD13" s="252"/>
      <c r="SE13" s="252"/>
      <c r="SF13" s="252"/>
      <c r="SG13" s="252"/>
      <c r="SH13" s="252"/>
      <c r="SI13" s="252"/>
      <c r="SJ13" s="252"/>
      <c r="SK13" s="252"/>
      <c r="SL13" s="252"/>
      <c r="SM13" s="252"/>
      <c r="SN13" s="252"/>
      <c r="SO13" s="252"/>
      <c r="SP13" s="252"/>
      <c r="SQ13" s="252"/>
      <c r="SR13" s="252"/>
      <c r="SS13" s="252"/>
      <c r="ST13" s="252"/>
      <c r="SU13" s="252"/>
      <c r="SV13" s="252"/>
      <c r="SW13" s="252"/>
      <c r="SX13" s="252"/>
      <c r="SY13" s="252"/>
      <c r="SZ13" s="252"/>
      <c r="TA13" s="252"/>
      <c r="TB13" s="252"/>
      <c r="TC13" s="252"/>
      <c r="TD13" s="252"/>
      <c r="TE13" s="252"/>
      <c r="TF13" s="252"/>
      <c r="TG13" s="252"/>
      <c r="TH13" s="252"/>
      <c r="TI13" s="252"/>
      <c r="TJ13" s="252"/>
      <c r="TK13" s="252"/>
      <c r="TL13" s="252"/>
      <c r="TM13" s="252"/>
      <c r="TN13" s="252"/>
      <c r="TO13" s="252"/>
      <c r="TP13" s="252"/>
      <c r="TQ13" s="252"/>
      <c r="TR13" s="252"/>
      <c r="TS13" s="252"/>
      <c r="TT13" s="252"/>
      <c r="TU13" s="252"/>
      <c r="TV13" s="252"/>
      <c r="TW13" s="252"/>
      <c r="TX13" s="252"/>
      <c r="TY13" s="252"/>
      <c r="TZ13" s="252"/>
      <c r="UA13" s="252"/>
      <c r="UB13" s="252"/>
      <c r="UC13" s="252"/>
      <c r="UD13" s="252"/>
      <c r="UE13" s="252"/>
      <c r="UF13" s="252"/>
      <c r="UG13" s="252"/>
      <c r="UH13" s="252"/>
      <c r="UI13" s="252"/>
      <c r="UJ13" s="252"/>
      <c r="UK13" s="252"/>
      <c r="UL13" s="252"/>
      <c r="UM13" s="252"/>
      <c r="UN13" s="252"/>
      <c r="UO13" s="252"/>
      <c r="UP13" s="252"/>
      <c r="UQ13" s="252"/>
      <c r="UR13" s="252"/>
      <c r="US13" s="252"/>
      <c r="UT13" s="252"/>
      <c r="UU13" s="252"/>
      <c r="UV13" s="252"/>
      <c r="UW13" s="252"/>
      <c r="UX13" s="252"/>
      <c r="UY13" s="252"/>
      <c r="UZ13" s="252"/>
      <c r="VA13" s="252"/>
      <c r="VB13" s="252"/>
      <c r="VC13" s="252"/>
      <c r="VD13" s="252"/>
      <c r="VE13" s="252"/>
      <c r="VF13" s="252"/>
      <c r="VG13" s="252"/>
      <c r="VH13" s="252"/>
      <c r="VI13" s="252"/>
      <c r="VJ13" s="252"/>
      <c r="VK13" s="252"/>
      <c r="VL13" s="252"/>
      <c r="VM13" s="252"/>
      <c r="VN13" s="252"/>
      <c r="VO13" s="252"/>
      <c r="VP13" s="252"/>
      <c r="VQ13" s="252"/>
      <c r="VR13" s="252"/>
      <c r="VS13" s="252"/>
      <c r="VT13" s="252"/>
      <c r="VU13" s="252"/>
      <c r="VV13" s="252"/>
      <c r="VW13" s="252"/>
      <c r="VX13" s="252"/>
      <c r="VY13" s="252"/>
      <c r="VZ13" s="252"/>
      <c r="WA13" s="252"/>
      <c r="WB13" s="252"/>
      <c r="WC13" s="252"/>
      <c r="WD13" s="252"/>
      <c r="WE13" s="252"/>
      <c r="WF13" s="252"/>
      <c r="WG13" s="252"/>
      <c r="WH13" s="252"/>
      <c r="WI13" s="252"/>
      <c r="WJ13" s="252"/>
      <c r="WK13" s="252"/>
      <c r="WL13" s="252"/>
      <c r="WM13" s="252"/>
      <c r="WN13" s="252"/>
      <c r="WO13" s="252"/>
      <c r="WP13" s="252"/>
      <c r="WQ13" s="252"/>
      <c r="WR13" s="252"/>
      <c r="WS13" s="252"/>
      <c r="WT13" s="252"/>
      <c r="WU13" s="252"/>
      <c r="WV13" s="252"/>
      <c r="WW13" s="252"/>
      <c r="WX13" s="252"/>
      <c r="WY13" s="252"/>
      <c r="WZ13" s="252"/>
      <c r="XA13" s="252"/>
      <c r="XB13" s="252"/>
      <c r="XC13" s="252"/>
      <c r="XD13" s="252"/>
      <c r="XE13" s="252"/>
      <c r="XF13" s="252"/>
      <c r="XG13" s="252"/>
      <c r="XH13" s="252"/>
      <c r="XI13" s="252"/>
      <c r="XJ13" s="252"/>
      <c r="XK13" s="252"/>
      <c r="XL13" s="252"/>
      <c r="XM13" s="252"/>
      <c r="XN13" s="252"/>
      <c r="XO13" s="252"/>
      <c r="XP13" s="252"/>
      <c r="XQ13" s="252"/>
      <c r="XR13" s="252"/>
      <c r="XS13" s="252"/>
      <c r="XT13" s="252"/>
      <c r="XU13" s="252"/>
      <c r="XV13" s="252"/>
      <c r="XW13" s="252"/>
      <c r="XX13" s="252"/>
      <c r="XY13" s="252"/>
      <c r="XZ13" s="252"/>
      <c r="YA13" s="252"/>
      <c r="YB13" s="252"/>
      <c r="YC13" s="252"/>
      <c r="YD13" s="252"/>
      <c r="YE13" s="252"/>
      <c r="YF13" s="252"/>
      <c r="YG13" s="252"/>
      <c r="YH13" s="252"/>
      <c r="YI13" s="252"/>
      <c r="YJ13" s="252"/>
      <c r="YK13" s="252"/>
      <c r="YL13" s="252"/>
      <c r="YM13" s="252"/>
      <c r="YN13" s="252"/>
      <c r="YO13" s="252"/>
      <c r="YP13" s="252"/>
      <c r="YQ13" s="252"/>
      <c r="YR13" s="252"/>
      <c r="YS13" s="252"/>
      <c r="YT13" s="252"/>
      <c r="YU13" s="252"/>
      <c r="YV13" s="252"/>
      <c r="YW13" s="252"/>
      <c r="YX13" s="252"/>
      <c r="YY13" s="252"/>
      <c r="YZ13" s="252"/>
      <c r="ZA13" s="252"/>
      <c r="ZB13" s="252"/>
      <c r="ZC13" s="252"/>
      <c r="ZD13" s="252"/>
      <c r="ZE13" s="252"/>
      <c r="ZF13" s="252"/>
      <c r="ZG13" s="252"/>
      <c r="ZH13" s="252"/>
      <c r="ZI13" s="252"/>
      <c r="ZJ13" s="252"/>
      <c r="ZK13" s="252"/>
      <c r="ZL13" s="252"/>
      <c r="ZM13" s="252"/>
      <c r="ZN13" s="252"/>
      <c r="ZO13" s="252"/>
      <c r="ZP13" s="252"/>
      <c r="ZQ13" s="252"/>
      <c r="ZR13" s="252"/>
      <c r="ZS13" s="252"/>
      <c r="ZT13" s="252"/>
      <c r="ZU13" s="252"/>
      <c r="ZV13" s="252"/>
      <c r="ZW13" s="252"/>
      <c r="ZX13" s="252"/>
      <c r="ZY13" s="252"/>
      <c r="ZZ13" s="252"/>
      <c r="AAA13" s="252"/>
      <c r="AAB13" s="252"/>
      <c r="AAC13" s="252"/>
      <c r="AAD13" s="252"/>
      <c r="AAE13" s="252"/>
      <c r="AAF13" s="252"/>
      <c r="AAG13" s="252"/>
      <c r="AAH13" s="252"/>
      <c r="AAI13" s="252"/>
      <c r="AAJ13" s="252"/>
      <c r="AAK13" s="252"/>
      <c r="AAL13" s="252"/>
      <c r="AAM13" s="252"/>
      <c r="AAN13" s="252"/>
      <c r="AAO13" s="252"/>
      <c r="AAP13" s="252"/>
      <c r="AAQ13" s="252"/>
      <c r="AAR13" s="252"/>
      <c r="AAS13" s="252"/>
      <c r="AAT13" s="252"/>
      <c r="AAU13" s="252"/>
      <c r="AAV13" s="252"/>
      <c r="AAW13" s="252"/>
      <c r="AAX13" s="252"/>
      <c r="AAY13" s="252"/>
      <c r="AAZ13" s="252"/>
      <c r="ABA13" s="252"/>
      <c r="ABB13" s="252"/>
      <c r="ABC13" s="252"/>
      <c r="ABD13" s="252"/>
      <c r="ABE13" s="252"/>
      <c r="ABF13" s="252"/>
      <c r="ABG13" s="252"/>
      <c r="ABH13" s="252"/>
      <c r="ABI13" s="252"/>
      <c r="ABJ13" s="252"/>
      <c r="ABK13" s="252"/>
      <c r="ABL13" s="252"/>
      <c r="ABM13" s="252"/>
      <c r="ABN13" s="252"/>
      <c r="ABO13" s="252"/>
      <c r="ABP13" s="252"/>
      <c r="ABQ13" s="252"/>
      <c r="ABR13" s="252"/>
      <c r="ABS13" s="252"/>
      <c r="ABT13" s="252"/>
      <c r="ABU13" s="252"/>
      <c r="ABV13" s="252"/>
      <c r="ABW13" s="252"/>
      <c r="ABX13" s="252"/>
      <c r="ABY13" s="252"/>
      <c r="ABZ13" s="252"/>
      <c r="ACA13" s="252"/>
      <c r="ACB13" s="252"/>
      <c r="ACC13" s="252"/>
      <c r="ACD13" s="252"/>
      <c r="ACE13" s="252"/>
      <c r="ACF13" s="252"/>
      <c r="ACG13" s="252"/>
      <c r="ACH13" s="252"/>
      <c r="ACI13" s="252"/>
      <c r="ACJ13" s="252"/>
      <c r="ACK13" s="252"/>
      <c r="ACL13" s="252"/>
      <c r="ACM13" s="252"/>
      <c r="ACN13" s="252"/>
      <c r="ACO13" s="252"/>
      <c r="ACP13" s="252"/>
      <c r="ACQ13" s="252"/>
      <c r="ACR13" s="252"/>
      <c r="ACS13" s="252"/>
      <c r="ACT13" s="252"/>
      <c r="ACU13" s="252"/>
      <c r="ACV13" s="252"/>
      <c r="ACW13" s="252"/>
      <c r="ACX13" s="252"/>
      <c r="ACY13" s="252"/>
      <c r="ACZ13" s="252"/>
      <c r="ADA13" s="252"/>
      <c r="ADB13" s="252"/>
      <c r="ADC13" s="252"/>
      <c r="ADD13" s="252"/>
      <c r="ADE13" s="252"/>
      <c r="ADF13" s="252"/>
      <c r="ADG13" s="252"/>
      <c r="ADH13" s="252"/>
      <c r="ADI13" s="252"/>
      <c r="ADJ13" s="252"/>
      <c r="ADK13" s="252"/>
      <c r="ADL13" s="252"/>
      <c r="ADM13" s="252"/>
      <c r="ADN13" s="252"/>
      <c r="ADO13" s="252"/>
      <c r="ADP13" s="252"/>
      <c r="ADQ13" s="252"/>
      <c r="ADR13" s="252"/>
      <c r="ADS13" s="252"/>
      <c r="ADT13" s="252"/>
      <c r="ADU13" s="252"/>
      <c r="ADV13" s="252"/>
      <c r="ADW13" s="252"/>
      <c r="ADX13" s="252"/>
      <c r="ADY13" s="252"/>
      <c r="ADZ13" s="252"/>
      <c r="AEA13" s="252"/>
      <c r="AEB13" s="252"/>
      <c r="AEC13" s="252"/>
      <c r="AED13" s="252"/>
      <c r="AEE13" s="252"/>
      <c r="AEF13" s="252"/>
      <c r="AEG13" s="252"/>
      <c r="AEH13" s="252"/>
      <c r="AEI13" s="252"/>
      <c r="AEJ13" s="252"/>
      <c r="AEK13" s="252"/>
      <c r="AEL13" s="252"/>
      <c r="AEM13" s="252"/>
      <c r="AEN13" s="252"/>
      <c r="AEO13" s="252"/>
      <c r="AEP13" s="252"/>
      <c r="AEQ13" s="252"/>
      <c r="AER13" s="252"/>
      <c r="AES13" s="252"/>
      <c r="AET13" s="252"/>
      <c r="AEU13" s="252"/>
      <c r="AEV13" s="252"/>
      <c r="AEW13" s="252"/>
      <c r="AEX13" s="252"/>
      <c r="AEY13" s="252"/>
      <c r="AEZ13" s="252"/>
      <c r="AFA13" s="252"/>
      <c r="AFB13" s="252"/>
      <c r="AFC13" s="252"/>
      <c r="AFD13" s="252"/>
      <c r="AFE13" s="252"/>
      <c r="AFF13" s="252"/>
      <c r="AFG13" s="252"/>
      <c r="AFH13" s="252"/>
      <c r="AFI13" s="252"/>
      <c r="AFJ13" s="252"/>
      <c r="AFK13" s="252"/>
      <c r="AFL13" s="252"/>
      <c r="AFM13" s="252"/>
      <c r="AFN13" s="252"/>
      <c r="AFO13" s="252"/>
      <c r="AFP13" s="252"/>
      <c r="AFQ13" s="252"/>
      <c r="AFR13" s="252"/>
      <c r="AFS13" s="252"/>
      <c r="AFT13" s="252"/>
      <c r="AFU13" s="252"/>
      <c r="AFV13" s="252"/>
      <c r="AFW13" s="252"/>
      <c r="AFX13" s="252"/>
      <c r="AFY13" s="252"/>
      <c r="AFZ13" s="252"/>
      <c r="AGA13" s="252"/>
      <c r="AGB13" s="252"/>
      <c r="AGC13" s="252"/>
      <c r="AGD13" s="252"/>
      <c r="AGE13" s="252"/>
      <c r="AGF13" s="252"/>
      <c r="AGG13" s="252"/>
      <c r="AGH13" s="252"/>
      <c r="AGI13" s="252"/>
      <c r="AGJ13" s="252"/>
      <c r="AGK13" s="252"/>
      <c r="AGL13" s="252"/>
      <c r="AGM13" s="252"/>
      <c r="AGN13" s="252"/>
      <c r="AGO13" s="252"/>
      <c r="AGP13" s="252"/>
      <c r="AGQ13" s="252"/>
      <c r="AGR13" s="252"/>
      <c r="AGS13" s="252"/>
      <c r="AGT13" s="252"/>
      <c r="AGU13" s="252"/>
      <c r="AGV13" s="252"/>
      <c r="AGW13" s="252"/>
      <c r="AGX13" s="252"/>
      <c r="AGY13" s="252"/>
      <c r="AGZ13" s="252"/>
      <c r="AHA13" s="252"/>
      <c r="AHB13" s="252"/>
      <c r="AHC13" s="252"/>
      <c r="AHD13" s="252"/>
      <c r="AHE13" s="252"/>
      <c r="AHF13" s="252"/>
      <c r="AHG13" s="252"/>
      <c r="AHH13" s="252"/>
      <c r="AHI13" s="252"/>
      <c r="AHJ13" s="252"/>
      <c r="AHK13" s="252"/>
      <c r="AHL13" s="252"/>
      <c r="AHM13" s="252"/>
      <c r="AHN13" s="252"/>
      <c r="AHO13" s="252"/>
      <c r="AHP13" s="252"/>
      <c r="AHQ13" s="252"/>
      <c r="AHR13" s="252"/>
      <c r="AHS13" s="252"/>
      <c r="AHT13" s="252"/>
      <c r="AHU13" s="252"/>
      <c r="AHV13" s="252"/>
      <c r="AHW13" s="252"/>
      <c r="AHX13" s="252"/>
      <c r="AHY13" s="252"/>
      <c r="AHZ13" s="252"/>
      <c r="AIA13" s="252"/>
      <c r="AIB13" s="252"/>
      <c r="AIC13" s="252"/>
      <c r="AID13" s="252"/>
      <c r="AIE13" s="252"/>
      <c r="AIF13" s="252"/>
      <c r="AIG13" s="252"/>
      <c r="AIH13" s="252"/>
      <c r="AII13" s="252"/>
      <c r="AIJ13" s="252"/>
      <c r="AIK13" s="252"/>
      <c r="AIL13" s="252"/>
      <c r="AIM13" s="252"/>
      <c r="AIN13" s="252"/>
      <c r="AIO13" s="252"/>
      <c r="AIP13" s="252"/>
      <c r="AIQ13" s="252"/>
      <c r="AIR13" s="252"/>
      <c r="AIS13" s="252"/>
      <c r="AIT13" s="252"/>
      <c r="AIU13" s="252"/>
      <c r="AIV13" s="252"/>
      <c r="AIW13" s="252"/>
      <c r="AIX13" s="252"/>
      <c r="AIY13" s="252"/>
      <c r="AIZ13" s="252"/>
      <c r="AJA13" s="252"/>
      <c r="AJB13" s="252"/>
      <c r="AJC13" s="252"/>
      <c r="AJD13" s="252"/>
      <c r="AJE13" s="252"/>
      <c r="AJF13" s="252"/>
      <c r="AJG13" s="252"/>
      <c r="AJH13" s="252"/>
      <c r="AJI13" s="252"/>
      <c r="AJJ13" s="252"/>
      <c r="AJK13" s="252"/>
      <c r="AJL13" s="252"/>
      <c r="AJM13" s="252"/>
      <c r="AJN13" s="252"/>
      <c r="AJO13" s="252"/>
      <c r="AJP13" s="252"/>
      <c r="AJQ13" s="252"/>
      <c r="AJR13" s="252"/>
      <c r="AJS13" s="252"/>
      <c r="AJT13" s="252"/>
      <c r="AJU13" s="252"/>
      <c r="AJV13" s="252"/>
      <c r="AJW13" s="252"/>
      <c r="AJX13" s="252"/>
      <c r="AJY13" s="252"/>
      <c r="AJZ13" s="252"/>
      <c r="AKA13" s="252"/>
      <c r="AKB13" s="252"/>
      <c r="AKC13" s="252"/>
      <c r="AKD13" s="252"/>
      <c r="AKE13" s="252"/>
      <c r="AKF13" s="252"/>
      <c r="AKG13" s="252"/>
      <c r="AKH13" s="252"/>
      <c r="AKI13" s="252"/>
      <c r="AKJ13" s="252"/>
      <c r="AKK13" s="252"/>
      <c r="AKL13" s="252"/>
      <c r="AKM13" s="252"/>
      <c r="AKN13" s="252"/>
      <c r="AKO13" s="252"/>
      <c r="AKP13" s="252"/>
      <c r="AKQ13" s="252"/>
      <c r="AKR13" s="252"/>
      <c r="AKS13" s="252"/>
      <c r="AKT13" s="252"/>
      <c r="AKU13" s="252"/>
      <c r="AKV13" s="252"/>
      <c r="AKW13" s="252"/>
      <c r="AKX13" s="252"/>
      <c r="AKY13" s="252"/>
      <c r="AKZ13" s="252"/>
      <c r="ALA13" s="252"/>
      <c r="ALB13" s="252"/>
      <c r="ALC13" s="252"/>
      <c r="ALD13" s="252"/>
      <c r="ALE13" s="252"/>
      <c r="ALF13" s="252"/>
      <c r="ALG13" s="252"/>
      <c r="ALH13" s="252"/>
      <c r="ALI13" s="252"/>
      <c r="ALJ13" s="252"/>
      <c r="ALK13" s="252"/>
      <c r="ALL13" s="252"/>
      <c r="ALM13" s="252"/>
      <c r="ALN13" s="252"/>
      <c r="ALO13" s="252"/>
      <c r="ALP13" s="252"/>
      <c r="ALQ13" s="252"/>
      <c r="ALR13" s="252"/>
      <c r="ALS13" s="252"/>
    </row>
    <row r="14" spans="1:1007" s="3" customFormat="1" x14ac:dyDescent="0.2">
      <c r="A14" s="749" t="s">
        <v>531</v>
      </c>
      <c r="B14" s="382"/>
      <c r="C14" s="382"/>
      <c r="D14" s="382"/>
      <c r="E14" s="740">
        <v>11600</v>
      </c>
      <c r="F14" s="730"/>
      <c r="G14" s="730"/>
      <c r="H14" s="369"/>
      <c r="I14" s="730"/>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2"/>
      <c r="BQ14" s="252"/>
      <c r="BR14" s="252"/>
      <c r="BS14" s="252"/>
      <c r="BT14" s="252"/>
      <c r="BU14" s="252"/>
      <c r="BV14" s="252"/>
      <c r="BW14" s="252"/>
      <c r="BX14" s="252"/>
      <c r="BY14" s="252"/>
      <c r="BZ14" s="252"/>
      <c r="CA14" s="252"/>
      <c r="CB14" s="252"/>
      <c r="CC14" s="252"/>
      <c r="CD14" s="252"/>
      <c r="CE14" s="252"/>
      <c r="CF14" s="252"/>
      <c r="CG14" s="252"/>
      <c r="CH14" s="252"/>
      <c r="CI14" s="252"/>
      <c r="CJ14" s="252"/>
      <c r="CK14" s="252"/>
      <c r="CL14" s="252"/>
      <c r="CM14" s="252"/>
      <c r="CN14" s="252"/>
      <c r="CO14" s="252"/>
      <c r="CP14" s="252"/>
      <c r="CQ14" s="252"/>
      <c r="CR14" s="252"/>
      <c r="CS14" s="252"/>
      <c r="CT14" s="252"/>
      <c r="CU14" s="252"/>
      <c r="CV14" s="252"/>
      <c r="CW14" s="252"/>
      <c r="CX14" s="252"/>
      <c r="CY14" s="252"/>
      <c r="CZ14" s="252"/>
      <c r="DA14" s="252"/>
      <c r="DB14" s="252"/>
      <c r="DC14" s="252"/>
      <c r="DD14" s="252"/>
      <c r="DE14" s="252"/>
      <c r="DF14" s="252"/>
      <c r="DG14" s="252"/>
      <c r="DH14" s="252"/>
      <c r="DI14" s="252"/>
      <c r="DJ14" s="252"/>
      <c r="DK14" s="252"/>
      <c r="DL14" s="252"/>
      <c r="DM14" s="252"/>
      <c r="DN14" s="252"/>
      <c r="DO14" s="252"/>
      <c r="DP14" s="252"/>
      <c r="DQ14" s="252"/>
      <c r="DR14" s="252"/>
      <c r="DS14" s="252"/>
      <c r="DT14" s="252"/>
      <c r="DU14" s="252"/>
      <c r="DV14" s="252"/>
      <c r="DW14" s="252"/>
      <c r="DX14" s="252"/>
      <c r="DY14" s="252"/>
      <c r="DZ14" s="252"/>
      <c r="EA14" s="252"/>
      <c r="EB14" s="252"/>
      <c r="EC14" s="252"/>
      <c r="ED14" s="252"/>
      <c r="EE14" s="252"/>
      <c r="EF14" s="252"/>
      <c r="EG14" s="252"/>
      <c r="EH14" s="252"/>
      <c r="EI14" s="252"/>
      <c r="EJ14" s="252"/>
      <c r="EK14" s="252"/>
      <c r="EL14" s="252"/>
      <c r="EM14" s="252"/>
      <c r="EN14" s="252"/>
      <c r="EO14" s="252"/>
      <c r="EP14" s="252"/>
      <c r="EQ14" s="252"/>
      <c r="ER14" s="252"/>
      <c r="ES14" s="252"/>
      <c r="ET14" s="252"/>
      <c r="EU14" s="252"/>
      <c r="EV14" s="252"/>
      <c r="EW14" s="252"/>
      <c r="EX14" s="252"/>
      <c r="EY14" s="252"/>
      <c r="EZ14" s="252"/>
      <c r="FA14" s="252"/>
      <c r="FB14" s="252"/>
      <c r="FC14" s="252"/>
      <c r="FD14" s="252"/>
      <c r="FE14" s="252"/>
      <c r="FF14" s="252"/>
      <c r="FG14" s="252"/>
      <c r="FH14" s="252"/>
      <c r="FI14" s="252"/>
      <c r="FJ14" s="252"/>
      <c r="FK14" s="252"/>
      <c r="FL14" s="252"/>
      <c r="FM14" s="252"/>
      <c r="FN14" s="252"/>
      <c r="FO14" s="252"/>
      <c r="FP14" s="252"/>
      <c r="FQ14" s="252"/>
      <c r="FR14" s="252"/>
      <c r="FS14" s="252"/>
      <c r="FT14" s="252"/>
      <c r="FU14" s="252"/>
      <c r="FV14" s="252"/>
      <c r="FW14" s="252"/>
      <c r="FX14" s="252"/>
      <c r="FY14" s="252"/>
      <c r="FZ14" s="252"/>
      <c r="GA14" s="252"/>
      <c r="GB14" s="252"/>
      <c r="GC14" s="252"/>
      <c r="GD14" s="252"/>
      <c r="GE14" s="252"/>
      <c r="GF14" s="252"/>
      <c r="GG14" s="252"/>
      <c r="GH14" s="252"/>
      <c r="GI14" s="252"/>
      <c r="GJ14" s="252"/>
      <c r="GK14" s="252"/>
      <c r="GL14" s="252"/>
      <c r="GM14" s="252"/>
      <c r="GN14" s="252"/>
      <c r="GO14" s="252"/>
      <c r="GP14" s="252"/>
      <c r="GQ14" s="252"/>
      <c r="GR14" s="252"/>
      <c r="GS14" s="252"/>
      <c r="GT14" s="252"/>
      <c r="GU14" s="252"/>
      <c r="GV14" s="252"/>
      <c r="GW14" s="252"/>
      <c r="GX14" s="252"/>
      <c r="GY14" s="252"/>
      <c r="GZ14" s="252"/>
      <c r="HA14" s="252"/>
      <c r="HB14" s="252"/>
      <c r="HC14" s="252"/>
      <c r="HD14" s="252"/>
      <c r="HE14" s="252"/>
      <c r="HF14" s="252"/>
      <c r="HG14" s="252"/>
      <c r="HH14" s="252"/>
      <c r="HI14" s="252"/>
      <c r="HJ14" s="252"/>
      <c r="HK14" s="252"/>
      <c r="HL14" s="252"/>
      <c r="HM14" s="252"/>
      <c r="HN14" s="252"/>
      <c r="HO14" s="252"/>
      <c r="HP14" s="252"/>
      <c r="HQ14" s="252"/>
      <c r="HR14" s="252"/>
      <c r="HS14" s="252"/>
      <c r="HT14" s="252"/>
      <c r="HU14" s="252"/>
      <c r="HV14" s="252"/>
      <c r="HW14" s="252"/>
      <c r="HX14" s="252"/>
      <c r="HY14" s="252"/>
      <c r="HZ14" s="252"/>
      <c r="IA14" s="252"/>
      <c r="IB14" s="252"/>
      <c r="IC14" s="252"/>
      <c r="ID14" s="252"/>
      <c r="IE14" s="252"/>
      <c r="IF14" s="252"/>
      <c r="IG14" s="252"/>
      <c r="IH14" s="252"/>
      <c r="II14" s="252"/>
      <c r="IJ14" s="252"/>
      <c r="IK14" s="252"/>
      <c r="IL14" s="252"/>
      <c r="IM14" s="252"/>
      <c r="IN14" s="252"/>
      <c r="IO14" s="252"/>
      <c r="IP14" s="252"/>
      <c r="IQ14" s="252"/>
      <c r="IR14" s="252"/>
      <c r="IS14" s="252"/>
      <c r="IT14" s="252"/>
      <c r="IU14" s="252"/>
      <c r="IV14" s="252"/>
      <c r="IW14" s="252"/>
      <c r="IX14" s="252"/>
      <c r="IY14" s="252"/>
      <c r="IZ14" s="252"/>
      <c r="JA14" s="252"/>
      <c r="JB14" s="252"/>
      <c r="JC14" s="252"/>
      <c r="JD14" s="252"/>
      <c r="JE14" s="252"/>
      <c r="JF14" s="252"/>
      <c r="JG14" s="252"/>
      <c r="JH14" s="252"/>
      <c r="JI14" s="252"/>
      <c r="JJ14" s="252"/>
      <c r="JK14" s="252"/>
      <c r="JL14" s="252"/>
      <c r="JM14" s="252"/>
      <c r="JN14" s="252"/>
      <c r="JO14" s="252"/>
      <c r="JP14" s="252"/>
      <c r="JQ14" s="252"/>
      <c r="JR14" s="252"/>
      <c r="JS14" s="252"/>
      <c r="JT14" s="252"/>
      <c r="JU14" s="252"/>
      <c r="JV14" s="252"/>
      <c r="JW14" s="252"/>
      <c r="JX14" s="252"/>
      <c r="JY14" s="252"/>
      <c r="JZ14" s="252"/>
      <c r="KA14" s="252"/>
      <c r="KB14" s="252"/>
      <c r="KC14" s="252"/>
      <c r="KD14" s="252"/>
      <c r="KE14" s="252"/>
      <c r="KF14" s="252"/>
      <c r="KG14" s="252"/>
      <c r="KH14" s="252"/>
      <c r="KI14" s="252"/>
      <c r="KJ14" s="252"/>
      <c r="KK14" s="252"/>
      <c r="KL14" s="252"/>
      <c r="KM14" s="252"/>
      <c r="KN14" s="252"/>
      <c r="KO14" s="252"/>
      <c r="KP14" s="252"/>
      <c r="KQ14" s="252"/>
      <c r="KR14" s="252"/>
      <c r="KS14" s="252"/>
      <c r="KT14" s="252"/>
      <c r="KU14" s="252"/>
      <c r="KV14" s="252"/>
      <c r="KW14" s="252"/>
      <c r="KX14" s="252"/>
      <c r="KY14" s="252"/>
      <c r="KZ14" s="252"/>
      <c r="LA14" s="252"/>
      <c r="LB14" s="252"/>
      <c r="LC14" s="252"/>
      <c r="LD14" s="252"/>
      <c r="LE14" s="252"/>
      <c r="LF14" s="252"/>
      <c r="LG14" s="252"/>
      <c r="LH14" s="252"/>
      <c r="LI14" s="252"/>
      <c r="LJ14" s="252"/>
      <c r="LK14" s="252"/>
      <c r="LL14" s="252"/>
      <c r="LM14" s="252"/>
      <c r="LN14" s="252"/>
      <c r="LO14" s="252"/>
      <c r="LP14" s="252"/>
      <c r="LQ14" s="252"/>
      <c r="LR14" s="252"/>
      <c r="LS14" s="252"/>
      <c r="LT14" s="252"/>
      <c r="LU14" s="252"/>
      <c r="LV14" s="252"/>
      <c r="LW14" s="252"/>
      <c r="LX14" s="252"/>
      <c r="LY14" s="252"/>
      <c r="LZ14" s="252"/>
      <c r="MA14" s="252"/>
      <c r="MB14" s="252"/>
      <c r="MC14" s="252"/>
      <c r="MD14" s="252"/>
      <c r="ME14" s="252"/>
      <c r="MF14" s="252"/>
      <c r="MG14" s="252"/>
      <c r="MH14" s="252"/>
      <c r="MI14" s="252"/>
      <c r="MJ14" s="252"/>
      <c r="MK14" s="252"/>
      <c r="ML14" s="252"/>
      <c r="MM14" s="252"/>
      <c r="MN14" s="252"/>
      <c r="MO14" s="252"/>
      <c r="MP14" s="252"/>
      <c r="MQ14" s="252"/>
      <c r="MR14" s="252"/>
      <c r="MS14" s="252"/>
      <c r="MT14" s="252"/>
      <c r="MU14" s="252"/>
      <c r="MV14" s="252"/>
      <c r="MW14" s="252"/>
      <c r="MX14" s="252"/>
      <c r="MY14" s="252"/>
      <c r="MZ14" s="252"/>
      <c r="NA14" s="252"/>
      <c r="NB14" s="252"/>
      <c r="NC14" s="252"/>
      <c r="ND14" s="252"/>
      <c r="NE14" s="252"/>
      <c r="NF14" s="252"/>
      <c r="NG14" s="252"/>
      <c r="NH14" s="252"/>
      <c r="NI14" s="252"/>
      <c r="NJ14" s="252"/>
      <c r="NK14" s="252"/>
      <c r="NL14" s="252"/>
      <c r="NM14" s="252"/>
      <c r="NN14" s="252"/>
      <c r="NO14" s="252"/>
      <c r="NP14" s="252"/>
      <c r="NQ14" s="252"/>
      <c r="NR14" s="252"/>
      <c r="NS14" s="252"/>
      <c r="NT14" s="252"/>
      <c r="NU14" s="252"/>
      <c r="NV14" s="252"/>
      <c r="NW14" s="252"/>
      <c r="NX14" s="252"/>
      <c r="NY14" s="252"/>
      <c r="NZ14" s="252"/>
      <c r="OA14" s="252"/>
      <c r="OB14" s="252"/>
      <c r="OC14" s="252"/>
      <c r="OD14" s="252"/>
      <c r="OE14" s="252"/>
      <c r="OF14" s="252"/>
      <c r="OG14" s="252"/>
      <c r="OH14" s="252"/>
      <c r="OI14" s="252"/>
      <c r="OJ14" s="252"/>
      <c r="OK14" s="252"/>
      <c r="OL14" s="252"/>
      <c r="OM14" s="252"/>
      <c r="ON14" s="252"/>
      <c r="OO14" s="252"/>
      <c r="OP14" s="252"/>
      <c r="OQ14" s="252"/>
      <c r="OR14" s="252"/>
      <c r="OS14" s="252"/>
      <c r="OT14" s="252"/>
      <c r="OU14" s="252"/>
      <c r="OV14" s="252"/>
      <c r="OW14" s="252"/>
      <c r="OX14" s="252"/>
      <c r="OY14" s="252"/>
      <c r="OZ14" s="252"/>
      <c r="PA14" s="252"/>
      <c r="PB14" s="252"/>
      <c r="PC14" s="252"/>
      <c r="PD14" s="252"/>
      <c r="PE14" s="252"/>
      <c r="PF14" s="252"/>
      <c r="PG14" s="252"/>
      <c r="PH14" s="252"/>
      <c r="PI14" s="252"/>
      <c r="PJ14" s="252"/>
      <c r="PK14" s="252"/>
      <c r="PL14" s="252"/>
      <c r="PM14" s="252"/>
      <c r="PN14" s="252"/>
      <c r="PO14" s="252"/>
      <c r="PP14" s="252"/>
      <c r="PQ14" s="252"/>
      <c r="PR14" s="252"/>
      <c r="PS14" s="252"/>
      <c r="PT14" s="252"/>
      <c r="PU14" s="252"/>
      <c r="PV14" s="252"/>
      <c r="PW14" s="252"/>
      <c r="PX14" s="252"/>
      <c r="PY14" s="252"/>
      <c r="PZ14" s="252"/>
      <c r="QA14" s="252"/>
      <c r="QB14" s="252"/>
      <c r="QC14" s="252"/>
      <c r="QD14" s="252"/>
      <c r="QE14" s="252"/>
      <c r="QF14" s="252"/>
      <c r="QG14" s="252"/>
      <c r="QH14" s="252"/>
      <c r="QI14" s="252"/>
      <c r="QJ14" s="252"/>
      <c r="QK14" s="252"/>
      <c r="QL14" s="252"/>
      <c r="QM14" s="252"/>
      <c r="QN14" s="252"/>
      <c r="QO14" s="252"/>
      <c r="QP14" s="252"/>
      <c r="QQ14" s="252"/>
      <c r="QR14" s="252"/>
      <c r="QS14" s="252"/>
      <c r="QT14" s="252"/>
      <c r="QU14" s="252"/>
      <c r="QV14" s="252"/>
      <c r="QW14" s="252"/>
      <c r="QX14" s="252"/>
      <c r="QY14" s="252"/>
      <c r="QZ14" s="252"/>
      <c r="RA14" s="252"/>
      <c r="RB14" s="252"/>
      <c r="RC14" s="252"/>
      <c r="RD14" s="252"/>
      <c r="RE14" s="252"/>
      <c r="RF14" s="252"/>
      <c r="RG14" s="252"/>
      <c r="RH14" s="252"/>
      <c r="RI14" s="252"/>
      <c r="RJ14" s="252"/>
      <c r="RK14" s="252"/>
      <c r="RL14" s="252"/>
      <c r="RM14" s="252"/>
      <c r="RN14" s="252"/>
      <c r="RO14" s="252"/>
      <c r="RP14" s="252"/>
      <c r="RQ14" s="252"/>
      <c r="RR14" s="252"/>
      <c r="RS14" s="252"/>
      <c r="RT14" s="252"/>
      <c r="RU14" s="252"/>
      <c r="RV14" s="252"/>
      <c r="RW14" s="252"/>
      <c r="RX14" s="252"/>
      <c r="RY14" s="252"/>
      <c r="RZ14" s="252"/>
      <c r="SA14" s="252"/>
      <c r="SB14" s="252"/>
      <c r="SC14" s="252"/>
      <c r="SD14" s="252"/>
      <c r="SE14" s="252"/>
      <c r="SF14" s="252"/>
      <c r="SG14" s="252"/>
      <c r="SH14" s="252"/>
      <c r="SI14" s="252"/>
      <c r="SJ14" s="252"/>
      <c r="SK14" s="252"/>
      <c r="SL14" s="252"/>
      <c r="SM14" s="252"/>
      <c r="SN14" s="252"/>
      <c r="SO14" s="252"/>
      <c r="SP14" s="252"/>
      <c r="SQ14" s="252"/>
      <c r="SR14" s="252"/>
      <c r="SS14" s="252"/>
      <c r="ST14" s="252"/>
      <c r="SU14" s="252"/>
      <c r="SV14" s="252"/>
      <c r="SW14" s="252"/>
      <c r="SX14" s="252"/>
      <c r="SY14" s="252"/>
      <c r="SZ14" s="252"/>
      <c r="TA14" s="252"/>
      <c r="TB14" s="252"/>
      <c r="TC14" s="252"/>
      <c r="TD14" s="252"/>
      <c r="TE14" s="252"/>
      <c r="TF14" s="252"/>
      <c r="TG14" s="252"/>
      <c r="TH14" s="252"/>
      <c r="TI14" s="252"/>
      <c r="TJ14" s="252"/>
      <c r="TK14" s="252"/>
      <c r="TL14" s="252"/>
      <c r="TM14" s="252"/>
      <c r="TN14" s="252"/>
      <c r="TO14" s="252"/>
      <c r="TP14" s="252"/>
      <c r="TQ14" s="252"/>
      <c r="TR14" s="252"/>
      <c r="TS14" s="252"/>
      <c r="TT14" s="252"/>
      <c r="TU14" s="252"/>
      <c r="TV14" s="252"/>
      <c r="TW14" s="252"/>
      <c r="TX14" s="252"/>
      <c r="TY14" s="252"/>
      <c r="TZ14" s="252"/>
      <c r="UA14" s="252"/>
      <c r="UB14" s="252"/>
      <c r="UC14" s="252"/>
      <c r="UD14" s="252"/>
      <c r="UE14" s="252"/>
      <c r="UF14" s="252"/>
      <c r="UG14" s="252"/>
      <c r="UH14" s="252"/>
      <c r="UI14" s="252"/>
      <c r="UJ14" s="252"/>
      <c r="UK14" s="252"/>
      <c r="UL14" s="252"/>
      <c r="UM14" s="252"/>
      <c r="UN14" s="252"/>
      <c r="UO14" s="252"/>
      <c r="UP14" s="252"/>
      <c r="UQ14" s="252"/>
      <c r="UR14" s="252"/>
      <c r="US14" s="252"/>
      <c r="UT14" s="252"/>
      <c r="UU14" s="252"/>
      <c r="UV14" s="252"/>
      <c r="UW14" s="252"/>
      <c r="UX14" s="252"/>
      <c r="UY14" s="252"/>
      <c r="UZ14" s="252"/>
      <c r="VA14" s="252"/>
      <c r="VB14" s="252"/>
      <c r="VC14" s="252"/>
      <c r="VD14" s="252"/>
      <c r="VE14" s="252"/>
      <c r="VF14" s="252"/>
      <c r="VG14" s="252"/>
      <c r="VH14" s="252"/>
      <c r="VI14" s="252"/>
      <c r="VJ14" s="252"/>
      <c r="VK14" s="252"/>
      <c r="VL14" s="252"/>
      <c r="VM14" s="252"/>
      <c r="VN14" s="252"/>
      <c r="VO14" s="252"/>
      <c r="VP14" s="252"/>
      <c r="VQ14" s="252"/>
      <c r="VR14" s="252"/>
      <c r="VS14" s="252"/>
      <c r="VT14" s="252"/>
      <c r="VU14" s="252"/>
      <c r="VV14" s="252"/>
      <c r="VW14" s="252"/>
      <c r="VX14" s="252"/>
      <c r="VY14" s="252"/>
      <c r="VZ14" s="252"/>
      <c r="WA14" s="252"/>
      <c r="WB14" s="252"/>
      <c r="WC14" s="252"/>
      <c r="WD14" s="252"/>
      <c r="WE14" s="252"/>
      <c r="WF14" s="252"/>
      <c r="WG14" s="252"/>
      <c r="WH14" s="252"/>
      <c r="WI14" s="252"/>
      <c r="WJ14" s="252"/>
      <c r="WK14" s="252"/>
      <c r="WL14" s="252"/>
      <c r="WM14" s="252"/>
      <c r="WN14" s="252"/>
      <c r="WO14" s="252"/>
      <c r="WP14" s="252"/>
      <c r="WQ14" s="252"/>
      <c r="WR14" s="252"/>
      <c r="WS14" s="252"/>
      <c r="WT14" s="252"/>
      <c r="WU14" s="252"/>
      <c r="WV14" s="252"/>
      <c r="WW14" s="252"/>
      <c r="WX14" s="252"/>
      <c r="WY14" s="252"/>
      <c r="WZ14" s="252"/>
      <c r="XA14" s="252"/>
      <c r="XB14" s="252"/>
      <c r="XC14" s="252"/>
      <c r="XD14" s="252"/>
      <c r="XE14" s="252"/>
      <c r="XF14" s="252"/>
      <c r="XG14" s="252"/>
      <c r="XH14" s="252"/>
      <c r="XI14" s="252"/>
      <c r="XJ14" s="252"/>
      <c r="XK14" s="252"/>
      <c r="XL14" s="252"/>
      <c r="XM14" s="252"/>
      <c r="XN14" s="252"/>
      <c r="XO14" s="252"/>
      <c r="XP14" s="252"/>
      <c r="XQ14" s="252"/>
      <c r="XR14" s="252"/>
      <c r="XS14" s="252"/>
      <c r="XT14" s="252"/>
      <c r="XU14" s="252"/>
      <c r="XV14" s="252"/>
      <c r="XW14" s="252"/>
      <c r="XX14" s="252"/>
      <c r="XY14" s="252"/>
      <c r="XZ14" s="252"/>
      <c r="YA14" s="252"/>
      <c r="YB14" s="252"/>
      <c r="YC14" s="252"/>
      <c r="YD14" s="252"/>
      <c r="YE14" s="252"/>
      <c r="YF14" s="252"/>
      <c r="YG14" s="252"/>
      <c r="YH14" s="252"/>
      <c r="YI14" s="252"/>
      <c r="YJ14" s="252"/>
      <c r="YK14" s="252"/>
      <c r="YL14" s="252"/>
      <c r="YM14" s="252"/>
      <c r="YN14" s="252"/>
      <c r="YO14" s="252"/>
      <c r="YP14" s="252"/>
      <c r="YQ14" s="252"/>
      <c r="YR14" s="252"/>
      <c r="YS14" s="252"/>
      <c r="YT14" s="252"/>
      <c r="YU14" s="252"/>
      <c r="YV14" s="252"/>
      <c r="YW14" s="252"/>
      <c r="YX14" s="252"/>
      <c r="YY14" s="252"/>
      <c r="YZ14" s="252"/>
      <c r="ZA14" s="252"/>
      <c r="ZB14" s="252"/>
      <c r="ZC14" s="252"/>
      <c r="ZD14" s="252"/>
      <c r="ZE14" s="252"/>
      <c r="ZF14" s="252"/>
      <c r="ZG14" s="252"/>
      <c r="ZH14" s="252"/>
      <c r="ZI14" s="252"/>
      <c r="ZJ14" s="252"/>
      <c r="ZK14" s="252"/>
      <c r="ZL14" s="252"/>
      <c r="ZM14" s="252"/>
      <c r="ZN14" s="252"/>
      <c r="ZO14" s="252"/>
      <c r="ZP14" s="252"/>
      <c r="ZQ14" s="252"/>
      <c r="ZR14" s="252"/>
      <c r="ZS14" s="252"/>
      <c r="ZT14" s="252"/>
      <c r="ZU14" s="252"/>
      <c r="ZV14" s="252"/>
      <c r="ZW14" s="252"/>
      <c r="ZX14" s="252"/>
      <c r="ZY14" s="252"/>
      <c r="ZZ14" s="252"/>
      <c r="AAA14" s="252"/>
      <c r="AAB14" s="252"/>
      <c r="AAC14" s="252"/>
      <c r="AAD14" s="252"/>
      <c r="AAE14" s="252"/>
      <c r="AAF14" s="252"/>
      <c r="AAG14" s="252"/>
      <c r="AAH14" s="252"/>
      <c r="AAI14" s="252"/>
      <c r="AAJ14" s="252"/>
      <c r="AAK14" s="252"/>
      <c r="AAL14" s="252"/>
      <c r="AAM14" s="252"/>
      <c r="AAN14" s="252"/>
      <c r="AAO14" s="252"/>
      <c r="AAP14" s="252"/>
      <c r="AAQ14" s="252"/>
      <c r="AAR14" s="252"/>
      <c r="AAS14" s="252"/>
      <c r="AAT14" s="252"/>
      <c r="AAU14" s="252"/>
      <c r="AAV14" s="252"/>
      <c r="AAW14" s="252"/>
      <c r="AAX14" s="252"/>
      <c r="AAY14" s="252"/>
      <c r="AAZ14" s="252"/>
      <c r="ABA14" s="252"/>
      <c r="ABB14" s="252"/>
      <c r="ABC14" s="252"/>
      <c r="ABD14" s="252"/>
      <c r="ABE14" s="252"/>
      <c r="ABF14" s="252"/>
      <c r="ABG14" s="252"/>
      <c r="ABH14" s="252"/>
      <c r="ABI14" s="252"/>
      <c r="ABJ14" s="252"/>
      <c r="ABK14" s="252"/>
      <c r="ABL14" s="252"/>
      <c r="ABM14" s="252"/>
      <c r="ABN14" s="252"/>
      <c r="ABO14" s="252"/>
      <c r="ABP14" s="252"/>
      <c r="ABQ14" s="252"/>
      <c r="ABR14" s="252"/>
      <c r="ABS14" s="252"/>
      <c r="ABT14" s="252"/>
      <c r="ABU14" s="252"/>
      <c r="ABV14" s="252"/>
      <c r="ABW14" s="252"/>
      <c r="ABX14" s="252"/>
      <c r="ABY14" s="252"/>
      <c r="ABZ14" s="252"/>
      <c r="ACA14" s="252"/>
      <c r="ACB14" s="252"/>
      <c r="ACC14" s="252"/>
      <c r="ACD14" s="252"/>
      <c r="ACE14" s="252"/>
      <c r="ACF14" s="252"/>
      <c r="ACG14" s="252"/>
      <c r="ACH14" s="252"/>
      <c r="ACI14" s="252"/>
      <c r="ACJ14" s="252"/>
      <c r="ACK14" s="252"/>
      <c r="ACL14" s="252"/>
      <c r="ACM14" s="252"/>
      <c r="ACN14" s="252"/>
      <c r="ACO14" s="252"/>
      <c r="ACP14" s="252"/>
      <c r="ACQ14" s="252"/>
      <c r="ACR14" s="252"/>
      <c r="ACS14" s="252"/>
      <c r="ACT14" s="252"/>
      <c r="ACU14" s="252"/>
      <c r="ACV14" s="252"/>
      <c r="ACW14" s="252"/>
      <c r="ACX14" s="252"/>
      <c r="ACY14" s="252"/>
      <c r="ACZ14" s="252"/>
      <c r="ADA14" s="252"/>
      <c r="ADB14" s="252"/>
      <c r="ADC14" s="252"/>
      <c r="ADD14" s="252"/>
      <c r="ADE14" s="252"/>
      <c r="ADF14" s="252"/>
      <c r="ADG14" s="252"/>
      <c r="ADH14" s="252"/>
      <c r="ADI14" s="252"/>
      <c r="ADJ14" s="252"/>
      <c r="ADK14" s="252"/>
      <c r="ADL14" s="252"/>
      <c r="ADM14" s="252"/>
      <c r="ADN14" s="252"/>
      <c r="ADO14" s="252"/>
      <c r="ADP14" s="252"/>
      <c r="ADQ14" s="252"/>
      <c r="ADR14" s="252"/>
      <c r="ADS14" s="252"/>
      <c r="ADT14" s="252"/>
      <c r="ADU14" s="252"/>
      <c r="ADV14" s="252"/>
      <c r="ADW14" s="252"/>
      <c r="ADX14" s="252"/>
      <c r="ADY14" s="252"/>
      <c r="ADZ14" s="252"/>
      <c r="AEA14" s="252"/>
      <c r="AEB14" s="252"/>
      <c r="AEC14" s="252"/>
      <c r="AED14" s="252"/>
      <c r="AEE14" s="252"/>
      <c r="AEF14" s="252"/>
      <c r="AEG14" s="252"/>
      <c r="AEH14" s="252"/>
      <c r="AEI14" s="252"/>
      <c r="AEJ14" s="252"/>
      <c r="AEK14" s="252"/>
      <c r="AEL14" s="252"/>
      <c r="AEM14" s="252"/>
      <c r="AEN14" s="252"/>
      <c r="AEO14" s="252"/>
      <c r="AEP14" s="252"/>
      <c r="AEQ14" s="252"/>
      <c r="AER14" s="252"/>
      <c r="AES14" s="252"/>
      <c r="AET14" s="252"/>
      <c r="AEU14" s="252"/>
      <c r="AEV14" s="252"/>
      <c r="AEW14" s="252"/>
      <c r="AEX14" s="252"/>
      <c r="AEY14" s="252"/>
      <c r="AEZ14" s="252"/>
      <c r="AFA14" s="252"/>
      <c r="AFB14" s="252"/>
      <c r="AFC14" s="252"/>
      <c r="AFD14" s="252"/>
      <c r="AFE14" s="252"/>
      <c r="AFF14" s="252"/>
      <c r="AFG14" s="252"/>
      <c r="AFH14" s="252"/>
      <c r="AFI14" s="252"/>
      <c r="AFJ14" s="252"/>
      <c r="AFK14" s="252"/>
      <c r="AFL14" s="252"/>
      <c r="AFM14" s="252"/>
      <c r="AFN14" s="252"/>
      <c r="AFO14" s="252"/>
      <c r="AFP14" s="252"/>
      <c r="AFQ14" s="252"/>
      <c r="AFR14" s="252"/>
      <c r="AFS14" s="252"/>
      <c r="AFT14" s="252"/>
      <c r="AFU14" s="252"/>
      <c r="AFV14" s="252"/>
      <c r="AFW14" s="252"/>
      <c r="AFX14" s="252"/>
      <c r="AFY14" s="252"/>
      <c r="AFZ14" s="252"/>
      <c r="AGA14" s="252"/>
      <c r="AGB14" s="252"/>
      <c r="AGC14" s="252"/>
      <c r="AGD14" s="252"/>
      <c r="AGE14" s="252"/>
      <c r="AGF14" s="252"/>
      <c r="AGG14" s="252"/>
      <c r="AGH14" s="252"/>
      <c r="AGI14" s="252"/>
      <c r="AGJ14" s="252"/>
      <c r="AGK14" s="252"/>
      <c r="AGL14" s="252"/>
      <c r="AGM14" s="252"/>
      <c r="AGN14" s="252"/>
      <c r="AGO14" s="252"/>
      <c r="AGP14" s="252"/>
      <c r="AGQ14" s="252"/>
      <c r="AGR14" s="252"/>
      <c r="AGS14" s="252"/>
      <c r="AGT14" s="252"/>
      <c r="AGU14" s="252"/>
      <c r="AGV14" s="252"/>
      <c r="AGW14" s="252"/>
      <c r="AGX14" s="252"/>
      <c r="AGY14" s="252"/>
      <c r="AGZ14" s="252"/>
      <c r="AHA14" s="252"/>
      <c r="AHB14" s="252"/>
      <c r="AHC14" s="252"/>
      <c r="AHD14" s="252"/>
      <c r="AHE14" s="252"/>
      <c r="AHF14" s="252"/>
      <c r="AHG14" s="252"/>
      <c r="AHH14" s="252"/>
      <c r="AHI14" s="252"/>
      <c r="AHJ14" s="252"/>
      <c r="AHK14" s="252"/>
      <c r="AHL14" s="252"/>
      <c r="AHM14" s="252"/>
      <c r="AHN14" s="252"/>
      <c r="AHO14" s="252"/>
      <c r="AHP14" s="252"/>
      <c r="AHQ14" s="252"/>
      <c r="AHR14" s="252"/>
      <c r="AHS14" s="252"/>
      <c r="AHT14" s="252"/>
      <c r="AHU14" s="252"/>
      <c r="AHV14" s="252"/>
      <c r="AHW14" s="252"/>
      <c r="AHX14" s="252"/>
      <c r="AHY14" s="252"/>
      <c r="AHZ14" s="252"/>
      <c r="AIA14" s="252"/>
      <c r="AIB14" s="252"/>
      <c r="AIC14" s="252"/>
      <c r="AID14" s="252"/>
      <c r="AIE14" s="252"/>
      <c r="AIF14" s="252"/>
      <c r="AIG14" s="252"/>
      <c r="AIH14" s="252"/>
      <c r="AII14" s="252"/>
      <c r="AIJ14" s="252"/>
      <c r="AIK14" s="252"/>
      <c r="AIL14" s="252"/>
      <c r="AIM14" s="252"/>
      <c r="AIN14" s="252"/>
      <c r="AIO14" s="252"/>
      <c r="AIP14" s="252"/>
      <c r="AIQ14" s="252"/>
      <c r="AIR14" s="252"/>
      <c r="AIS14" s="252"/>
      <c r="AIT14" s="252"/>
      <c r="AIU14" s="252"/>
      <c r="AIV14" s="252"/>
      <c r="AIW14" s="252"/>
      <c r="AIX14" s="252"/>
      <c r="AIY14" s="252"/>
      <c r="AIZ14" s="252"/>
      <c r="AJA14" s="252"/>
      <c r="AJB14" s="252"/>
      <c r="AJC14" s="252"/>
      <c r="AJD14" s="252"/>
      <c r="AJE14" s="252"/>
      <c r="AJF14" s="252"/>
      <c r="AJG14" s="252"/>
      <c r="AJH14" s="252"/>
      <c r="AJI14" s="252"/>
      <c r="AJJ14" s="252"/>
      <c r="AJK14" s="252"/>
      <c r="AJL14" s="252"/>
      <c r="AJM14" s="252"/>
      <c r="AJN14" s="252"/>
      <c r="AJO14" s="252"/>
      <c r="AJP14" s="252"/>
      <c r="AJQ14" s="252"/>
      <c r="AJR14" s="252"/>
      <c r="AJS14" s="252"/>
      <c r="AJT14" s="252"/>
      <c r="AJU14" s="252"/>
      <c r="AJV14" s="252"/>
      <c r="AJW14" s="252"/>
      <c r="AJX14" s="252"/>
      <c r="AJY14" s="252"/>
      <c r="AJZ14" s="252"/>
      <c r="AKA14" s="252"/>
      <c r="AKB14" s="252"/>
      <c r="AKC14" s="252"/>
      <c r="AKD14" s="252"/>
      <c r="AKE14" s="252"/>
      <c r="AKF14" s="252"/>
      <c r="AKG14" s="252"/>
      <c r="AKH14" s="252"/>
      <c r="AKI14" s="252"/>
      <c r="AKJ14" s="252"/>
      <c r="AKK14" s="252"/>
      <c r="AKL14" s="252"/>
      <c r="AKM14" s="252"/>
      <c r="AKN14" s="252"/>
      <c r="AKO14" s="252"/>
      <c r="AKP14" s="252"/>
      <c r="AKQ14" s="252"/>
      <c r="AKR14" s="252"/>
      <c r="AKS14" s="252"/>
      <c r="AKT14" s="252"/>
      <c r="AKU14" s="252"/>
      <c r="AKV14" s="252"/>
      <c r="AKW14" s="252"/>
      <c r="AKX14" s="252"/>
      <c r="AKY14" s="252"/>
      <c r="AKZ14" s="252"/>
      <c r="ALA14" s="252"/>
      <c r="ALB14" s="252"/>
      <c r="ALC14" s="252"/>
      <c r="ALD14" s="252"/>
      <c r="ALE14" s="252"/>
      <c r="ALF14" s="252"/>
      <c r="ALG14" s="252"/>
      <c r="ALH14" s="252"/>
      <c r="ALI14" s="252"/>
      <c r="ALJ14" s="252"/>
      <c r="ALK14" s="252"/>
      <c r="ALL14" s="252"/>
      <c r="ALM14" s="252"/>
      <c r="ALN14" s="252"/>
      <c r="ALO14" s="252"/>
      <c r="ALP14" s="252"/>
      <c r="ALQ14" s="252"/>
      <c r="ALR14" s="252"/>
      <c r="ALS14" s="252"/>
    </row>
    <row r="15" spans="1:1007" s="3" customFormat="1" x14ac:dyDescent="0.2">
      <c r="A15" s="369" t="s">
        <v>291</v>
      </c>
      <c r="B15" s="382">
        <v>12600</v>
      </c>
      <c r="C15" s="382">
        <v>13200</v>
      </c>
      <c r="D15" s="382"/>
      <c r="E15" s="733"/>
      <c r="F15" s="730"/>
      <c r="G15" s="730"/>
      <c r="H15" s="369"/>
      <c r="I15" s="730"/>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252"/>
      <c r="BW15" s="252"/>
      <c r="BX15" s="252"/>
      <c r="BY15" s="252"/>
      <c r="BZ15" s="252"/>
      <c r="CA15" s="252"/>
      <c r="CB15" s="252"/>
      <c r="CC15" s="252"/>
      <c r="CD15" s="252"/>
      <c r="CE15" s="252"/>
      <c r="CF15" s="252"/>
      <c r="CG15" s="252"/>
      <c r="CH15" s="252"/>
      <c r="CI15" s="252"/>
      <c r="CJ15" s="252"/>
      <c r="CK15" s="252"/>
      <c r="CL15" s="252"/>
      <c r="CM15" s="252"/>
      <c r="CN15" s="252"/>
      <c r="CO15" s="252"/>
      <c r="CP15" s="252"/>
      <c r="CQ15" s="252"/>
      <c r="CR15" s="252"/>
      <c r="CS15" s="252"/>
      <c r="CT15" s="252"/>
      <c r="CU15" s="252"/>
      <c r="CV15" s="252"/>
      <c r="CW15" s="252"/>
      <c r="CX15" s="252"/>
      <c r="CY15" s="252"/>
      <c r="CZ15" s="252"/>
      <c r="DA15" s="252"/>
      <c r="DB15" s="252"/>
      <c r="DC15" s="252"/>
      <c r="DD15" s="252"/>
      <c r="DE15" s="252"/>
      <c r="DF15" s="252"/>
      <c r="DG15" s="252"/>
      <c r="DH15" s="252"/>
      <c r="DI15" s="252"/>
      <c r="DJ15" s="252"/>
      <c r="DK15" s="252"/>
      <c r="DL15" s="252"/>
      <c r="DM15" s="252"/>
      <c r="DN15" s="252"/>
      <c r="DO15" s="252"/>
      <c r="DP15" s="252"/>
      <c r="DQ15" s="252"/>
      <c r="DR15" s="252"/>
      <c r="DS15" s="252"/>
      <c r="DT15" s="252"/>
      <c r="DU15" s="252"/>
      <c r="DV15" s="252"/>
      <c r="DW15" s="252"/>
      <c r="DX15" s="252"/>
      <c r="DY15" s="252"/>
      <c r="DZ15" s="252"/>
      <c r="EA15" s="252"/>
      <c r="EB15" s="252"/>
      <c r="EC15" s="252"/>
      <c r="ED15" s="252"/>
      <c r="EE15" s="252"/>
      <c r="EF15" s="252"/>
      <c r="EG15" s="252"/>
      <c r="EH15" s="252"/>
      <c r="EI15" s="252"/>
      <c r="EJ15" s="252"/>
      <c r="EK15" s="252"/>
      <c r="EL15" s="252"/>
      <c r="EM15" s="252"/>
      <c r="EN15" s="252"/>
      <c r="EO15" s="252"/>
      <c r="EP15" s="252"/>
      <c r="EQ15" s="252"/>
      <c r="ER15" s="252"/>
      <c r="ES15" s="252"/>
      <c r="ET15" s="252"/>
      <c r="EU15" s="252"/>
      <c r="EV15" s="252"/>
      <c r="EW15" s="252"/>
      <c r="EX15" s="252"/>
      <c r="EY15" s="252"/>
      <c r="EZ15" s="252"/>
      <c r="FA15" s="252"/>
      <c r="FB15" s="252"/>
      <c r="FC15" s="252"/>
      <c r="FD15" s="252"/>
      <c r="FE15" s="252"/>
      <c r="FF15" s="252"/>
      <c r="FG15" s="252"/>
      <c r="FH15" s="252"/>
      <c r="FI15" s="252"/>
      <c r="FJ15" s="252"/>
      <c r="FK15" s="252"/>
      <c r="FL15" s="252"/>
      <c r="FM15" s="252"/>
      <c r="FN15" s="252"/>
      <c r="FO15" s="252"/>
      <c r="FP15" s="252"/>
      <c r="FQ15" s="252"/>
      <c r="FR15" s="252"/>
      <c r="FS15" s="252"/>
      <c r="FT15" s="252"/>
      <c r="FU15" s="252"/>
      <c r="FV15" s="252"/>
      <c r="FW15" s="252"/>
      <c r="FX15" s="252"/>
      <c r="FY15" s="252"/>
      <c r="FZ15" s="252"/>
      <c r="GA15" s="252"/>
      <c r="GB15" s="252"/>
      <c r="GC15" s="252"/>
      <c r="GD15" s="252"/>
      <c r="GE15" s="252"/>
      <c r="GF15" s="252"/>
      <c r="GG15" s="252"/>
      <c r="GH15" s="252"/>
      <c r="GI15" s="252"/>
      <c r="GJ15" s="252"/>
      <c r="GK15" s="252"/>
      <c r="GL15" s="252"/>
      <c r="GM15" s="252"/>
      <c r="GN15" s="252"/>
      <c r="GO15" s="252"/>
      <c r="GP15" s="252"/>
      <c r="GQ15" s="252"/>
      <c r="GR15" s="252"/>
      <c r="GS15" s="252"/>
      <c r="GT15" s="252"/>
      <c r="GU15" s="252"/>
      <c r="GV15" s="252"/>
      <c r="GW15" s="252"/>
      <c r="GX15" s="252"/>
      <c r="GY15" s="252"/>
      <c r="GZ15" s="252"/>
      <c r="HA15" s="252"/>
      <c r="HB15" s="252"/>
      <c r="HC15" s="252"/>
      <c r="HD15" s="252"/>
      <c r="HE15" s="252"/>
      <c r="HF15" s="252"/>
      <c r="HG15" s="252"/>
      <c r="HH15" s="252"/>
      <c r="HI15" s="252"/>
      <c r="HJ15" s="252"/>
      <c r="HK15" s="252"/>
      <c r="HL15" s="252"/>
      <c r="HM15" s="252"/>
      <c r="HN15" s="252"/>
      <c r="HO15" s="252"/>
      <c r="HP15" s="252"/>
      <c r="HQ15" s="252"/>
      <c r="HR15" s="252"/>
      <c r="HS15" s="252"/>
      <c r="HT15" s="252"/>
      <c r="HU15" s="252"/>
      <c r="HV15" s="252"/>
      <c r="HW15" s="252"/>
      <c r="HX15" s="252"/>
      <c r="HY15" s="252"/>
      <c r="HZ15" s="252"/>
      <c r="IA15" s="252"/>
      <c r="IB15" s="252"/>
      <c r="IC15" s="252"/>
      <c r="ID15" s="252"/>
      <c r="IE15" s="252"/>
      <c r="IF15" s="252"/>
      <c r="IG15" s="252"/>
      <c r="IH15" s="252"/>
      <c r="II15" s="252"/>
      <c r="IJ15" s="252"/>
      <c r="IK15" s="252"/>
      <c r="IL15" s="252"/>
      <c r="IM15" s="252"/>
      <c r="IN15" s="252"/>
      <c r="IO15" s="252"/>
      <c r="IP15" s="252"/>
      <c r="IQ15" s="252"/>
      <c r="IR15" s="252"/>
      <c r="IS15" s="252"/>
      <c r="IT15" s="252"/>
      <c r="IU15" s="252"/>
      <c r="IV15" s="252"/>
      <c r="IW15" s="252"/>
      <c r="IX15" s="252"/>
      <c r="IY15" s="252"/>
      <c r="IZ15" s="252"/>
      <c r="JA15" s="252"/>
      <c r="JB15" s="252"/>
      <c r="JC15" s="252"/>
      <c r="JD15" s="252"/>
      <c r="JE15" s="252"/>
      <c r="JF15" s="252"/>
      <c r="JG15" s="252"/>
      <c r="JH15" s="252"/>
      <c r="JI15" s="252"/>
      <c r="JJ15" s="252"/>
      <c r="JK15" s="252"/>
      <c r="JL15" s="252"/>
      <c r="JM15" s="252"/>
      <c r="JN15" s="252"/>
      <c r="JO15" s="252"/>
      <c r="JP15" s="252"/>
      <c r="JQ15" s="252"/>
      <c r="JR15" s="252"/>
      <c r="JS15" s="252"/>
      <c r="JT15" s="252"/>
      <c r="JU15" s="252"/>
      <c r="JV15" s="252"/>
      <c r="JW15" s="252"/>
      <c r="JX15" s="252"/>
      <c r="JY15" s="252"/>
      <c r="JZ15" s="252"/>
      <c r="KA15" s="252"/>
      <c r="KB15" s="252"/>
      <c r="KC15" s="252"/>
      <c r="KD15" s="252"/>
      <c r="KE15" s="252"/>
      <c r="KF15" s="252"/>
      <c r="KG15" s="252"/>
      <c r="KH15" s="252"/>
      <c r="KI15" s="252"/>
      <c r="KJ15" s="252"/>
      <c r="KK15" s="252"/>
      <c r="KL15" s="252"/>
      <c r="KM15" s="252"/>
      <c r="KN15" s="252"/>
      <c r="KO15" s="252"/>
      <c r="KP15" s="252"/>
      <c r="KQ15" s="252"/>
      <c r="KR15" s="252"/>
      <c r="KS15" s="252"/>
      <c r="KT15" s="252"/>
      <c r="KU15" s="252"/>
      <c r="KV15" s="252"/>
      <c r="KW15" s="252"/>
      <c r="KX15" s="252"/>
      <c r="KY15" s="252"/>
      <c r="KZ15" s="252"/>
      <c r="LA15" s="252"/>
      <c r="LB15" s="252"/>
      <c r="LC15" s="252"/>
      <c r="LD15" s="252"/>
      <c r="LE15" s="252"/>
      <c r="LF15" s="252"/>
      <c r="LG15" s="252"/>
      <c r="LH15" s="252"/>
      <c r="LI15" s="252"/>
      <c r="LJ15" s="252"/>
      <c r="LK15" s="252"/>
      <c r="LL15" s="252"/>
      <c r="LM15" s="252"/>
      <c r="LN15" s="252"/>
      <c r="LO15" s="252"/>
      <c r="LP15" s="252"/>
      <c r="LQ15" s="252"/>
      <c r="LR15" s="252"/>
      <c r="LS15" s="252"/>
      <c r="LT15" s="252"/>
      <c r="LU15" s="252"/>
      <c r="LV15" s="252"/>
      <c r="LW15" s="252"/>
      <c r="LX15" s="252"/>
      <c r="LY15" s="252"/>
      <c r="LZ15" s="252"/>
      <c r="MA15" s="252"/>
      <c r="MB15" s="252"/>
      <c r="MC15" s="252"/>
      <c r="MD15" s="252"/>
      <c r="ME15" s="252"/>
      <c r="MF15" s="252"/>
      <c r="MG15" s="252"/>
      <c r="MH15" s="252"/>
      <c r="MI15" s="252"/>
      <c r="MJ15" s="252"/>
      <c r="MK15" s="252"/>
      <c r="ML15" s="252"/>
      <c r="MM15" s="252"/>
      <c r="MN15" s="252"/>
      <c r="MO15" s="252"/>
      <c r="MP15" s="252"/>
      <c r="MQ15" s="252"/>
      <c r="MR15" s="252"/>
      <c r="MS15" s="252"/>
      <c r="MT15" s="252"/>
      <c r="MU15" s="252"/>
      <c r="MV15" s="252"/>
      <c r="MW15" s="252"/>
      <c r="MX15" s="252"/>
      <c r="MY15" s="252"/>
      <c r="MZ15" s="252"/>
      <c r="NA15" s="252"/>
      <c r="NB15" s="252"/>
      <c r="NC15" s="252"/>
      <c r="ND15" s="252"/>
      <c r="NE15" s="252"/>
      <c r="NF15" s="252"/>
      <c r="NG15" s="252"/>
      <c r="NH15" s="252"/>
      <c r="NI15" s="252"/>
      <c r="NJ15" s="252"/>
      <c r="NK15" s="252"/>
      <c r="NL15" s="252"/>
      <c r="NM15" s="252"/>
      <c r="NN15" s="252"/>
      <c r="NO15" s="252"/>
      <c r="NP15" s="252"/>
      <c r="NQ15" s="252"/>
      <c r="NR15" s="252"/>
      <c r="NS15" s="252"/>
      <c r="NT15" s="252"/>
      <c r="NU15" s="252"/>
      <c r="NV15" s="252"/>
      <c r="NW15" s="252"/>
      <c r="NX15" s="252"/>
      <c r="NY15" s="252"/>
      <c r="NZ15" s="252"/>
      <c r="OA15" s="252"/>
      <c r="OB15" s="252"/>
      <c r="OC15" s="252"/>
      <c r="OD15" s="252"/>
      <c r="OE15" s="252"/>
      <c r="OF15" s="252"/>
      <c r="OG15" s="252"/>
      <c r="OH15" s="252"/>
      <c r="OI15" s="252"/>
      <c r="OJ15" s="252"/>
      <c r="OK15" s="252"/>
      <c r="OL15" s="252"/>
      <c r="OM15" s="252"/>
      <c r="ON15" s="252"/>
      <c r="OO15" s="252"/>
      <c r="OP15" s="252"/>
      <c r="OQ15" s="252"/>
      <c r="OR15" s="252"/>
      <c r="OS15" s="252"/>
      <c r="OT15" s="252"/>
      <c r="OU15" s="252"/>
      <c r="OV15" s="252"/>
      <c r="OW15" s="252"/>
      <c r="OX15" s="252"/>
      <c r="OY15" s="252"/>
      <c r="OZ15" s="252"/>
      <c r="PA15" s="252"/>
      <c r="PB15" s="252"/>
      <c r="PC15" s="252"/>
      <c r="PD15" s="252"/>
      <c r="PE15" s="252"/>
      <c r="PF15" s="252"/>
      <c r="PG15" s="252"/>
      <c r="PH15" s="252"/>
      <c r="PI15" s="252"/>
      <c r="PJ15" s="252"/>
      <c r="PK15" s="252"/>
      <c r="PL15" s="252"/>
      <c r="PM15" s="252"/>
      <c r="PN15" s="252"/>
      <c r="PO15" s="252"/>
      <c r="PP15" s="252"/>
      <c r="PQ15" s="252"/>
      <c r="PR15" s="252"/>
      <c r="PS15" s="252"/>
      <c r="PT15" s="252"/>
      <c r="PU15" s="252"/>
      <c r="PV15" s="252"/>
      <c r="PW15" s="252"/>
      <c r="PX15" s="252"/>
      <c r="PY15" s="252"/>
      <c r="PZ15" s="252"/>
      <c r="QA15" s="252"/>
      <c r="QB15" s="252"/>
      <c r="QC15" s="252"/>
      <c r="QD15" s="252"/>
      <c r="QE15" s="252"/>
      <c r="QF15" s="252"/>
      <c r="QG15" s="252"/>
      <c r="QH15" s="252"/>
      <c r="QI15" s="252"/>
      <c r="QJ15" s="252"/>
      <c r="QK15" s="252"/>
      <c r="QL15" s="252"/>
      <c r="QM15" s="252"/>
      <c r="QN15" s="252"/>
      <c r="QO15" s="252"/>
      <c r="QP15" s="252"/>
      <c r="QQ15" s="252"/>
      <c r="QR15" s="252"/>
      <c r="QS15" s="252"/>
      <c r="QT15" s="252"/>
      <c r="QU15" s="252"/>
      <c r="QV15" s="252"/>
      <c r="QW15" s="252"/>
      <c r="QX15" s="252"/>
      <c r="QY15" s="252"/>
      <c r="QZ15" s="252"/>
      <c r="RA15" s="252"/>
      <c r="RB15" s="252"/>
      <c r="RC15" s="252"/>
      <c r="RD15" s="252"/>
      <c r="RE15" s="252"/>
      <c r="RF15" s="252"/>
      <c r="RG15" s="252"/>
      <c r="RH15" s="252"/>
      <c r="RI15" s="252"/>
      <c r="RJ15" s="252"/>
      <c r="RK15" s="252"/>
      <c r="RL15" s="252"/>
      <c r="RM15" s="252"/>
      <c r="RN15" s="252"/>
      <c r="RO15" s="252"/>
      <c r="RP15" s="252"/>
      <c r="RQ15" s="252"/>
      <c r="RR15" s="252"/>
      <c r="RS15" s="252"/>
      <c r="RT15" s="252"/>
      <c r="RU15" s="252"/>
      <c r="RV15" s="252"/>
      <c r="RW15" s="252"/>
      <c r="RX15" s="252"/>
      <c r="RY15" s="252"/>
      <c r="RZ15" s="252"/>
      <c r="SA15" s="252"/>
      <c r="SB15" s="252"/>
      <c r="SC15" s="252"/>
      <c r="SD15" s="252"/>
      <c r="SE15" s="252"/>
      <c r="SF15" s="252"/>
      <c r="SG15" s="252"/>
      <c r="SH15" s="252"/>
      <c r="SI15" s="252"/>
      <c r="SJ15" s="252"/>
      <c r="SK15" s="252"/>
      <c r="SL15" s="252"/>
      <c r="SM15" s="252"/>
      <c r="SN15" s="252"/>
      <c r="SO15" s="252"/>
      <c r="SP15" s="252"/>
      <c r="SQ15" s="252"/>
      <c r="SR15" s="252"/>
      <c r="SS15" s="252"/>
      <c r="ST15" s="252"/>
      <c r="SU15" s="252"/>
      <c r="SV15" s="252"/>
      <c r="SW15" s="252"/>
      <c r="SX15" s="252"/>
      <c r="SY15" s="252"/>
      <c r="SZ15" s="252"/>
      <c r="TA15" s="252"/>
      <c r="TB15" s="252"/>
      <c r="TC15" s="252"/>
      <c r="TD15" s="252"/>
      <c r="TE15" s="252"/>
      <c r="TF15" s="252"/>
      <c r="TG15" s="252"/>
      <c r="TH15" s="252"/>
      <c r="TI15" s="252"/>
      <c r="TJ15" s="252"/>
      <c r="TK15" s="252"/>
      <c r="TL15" s="252"/>
      <c r="TM15" s="252"/>
      <c r="TN15" s="252"/>
      <c r="TO15" s="252"/>
      <c r="TP15" s="252"/>
      <c r="TQ15" s="252"/>
      <c r="TR15" s="252"/>
      <c r="TS15" s="252"/>
      <c r="TT15" s="252"/>
      <c r="TU15" s="252"/>
      <c r="TV15" s="252"/>
      <c r="TW15" s="252"/>
      <c r="TX15" s="252"/>
      <c r="TY15" s="252"/>
      <c r="TZ15" s="252"/>
      <c r="UA15" s="252"/>
      <c r="UB15" s="252"/>
      <c r="UC15" s="252"/>
      <c r="UD15" s="252"/>
      <c r="UE15" s="252"/>
      <c r="UF15" s="252"/>
      <c r="UG15" s="252"/>
      <c r="UH15" s="252"/>
      <c r="UI15" s="252"/>
      <c r="UJ15" s="252"/>
      <c r="UK15" s="252"/>
      <c r="UL15" s="252"/>
      <c r="UM15" s="252"/>
      <c r="UN15" s="252"/>
      <c r="UO15" s="252"/>
      <c r="UP15" s="252"/>
      <c r="UQ15" s="252"/>
      <c r="UR15" s="252"/>
      <c r="US15" s="252"/>
      <c r="UT15" s="252"/>
      <c r="UU15" s="252"/>
      <c r="UV15" s="252"/>
      <c r="UW15" s="252"/>
      <c r="UX15" s="252"/>
      <c r="UY15" s="252"/>
      <c r="UZ15" s="252"/>
      <c r="VA15" s="252"/>
      <c r="VB15" s="252"/>
      <c r="VC15" s="252"/>
      <c r="VD15" s="252"/>
      <c r="VE15" s="252"/>
      <c r="VF15" s="252"/>
      <c r="VG15" s="252"/>
      <c r="VH15" s="252"/>
      <c r="VI15" s="252"/>
      <c r="VJ15" s="252"/>
      <c r="VK15" s="252"/>
      <c r="VL15" s="252"/>
      <c r="VM15" s="252"/>
      <c r="VN15" s="252"/>
      <c r="VO15" s="252"/>
      <c r="VP15" s="252"/>
      <c r="VQ15" s="252"/>
      <c r="VR15" s="252"/>
      <c r="VS15" s="252"/>
      <c r="VT15" s="252"/>
      <c r="VU15" s="252"/>
      <c r="VV15" s="252"/>
      <c r="VW15" s="252"/>
      <c r="VX15" s="252"/>
      <c r="VY15" s="252"/>
      <c r="VZ15" s="252"/>
      <c r="WA15" s="252"/>
      <c r="WB15" s="252"/>
      <c r="WC15" s="252"/>
      <c r="WD15" s="252"/>
      <c r="WE15" s="252"/>
      <c r="WF15" s="252"/>
      <c r="WG15" s="252"/>
      <c r="WH15" s="252"/>
      <c r="WI15" s="252"/>
      <c r="WJ15" s="252"/>
      <c r="WK15" s="252"/>
      <c r="WL15" s="252"/>
      <c r="WM15" s="252"/>
      <c r="WN15" s="252"/>
      <c r="WO15" s="252"/>
      <c r="WP15" s="252"/>
      <c r="WQ15" s="252"/>
      <c r="WR15" s="252"/>
      <c r="WS15" s="252"/>
      <c r="WT15" s="252"/>
      <c r="WU15" s="252"/>
      <c r="WV15" s="252"/>
      <c r="WW15" s="252"/>
      <c r="WX15" s="252"/>
      <c r="WY15" s="252"/>
      <c r="WZ15" s="252"/>
      <c r="XA15" s="252"/>
      <c r="XB15" s="252"/>
      <c r="XC15" s="252"/>
      <c r="XD15" s="252"/>
      <c r="XE15" s="252"/>
      <c r="XF15" s="252"/>
      <c r="XG15" s="252"/>
      <c r="XH15" s="252"/>
      <c r="XI15" s="252"/>
      <c r="XJ15" s="252"/>
      <c r="XK15" s="252"/>
      <c r="XL15" s="252"/>
      <c r="XM15" s="252"/>
      <c r="XN15" s="252"/>
      <c r="XO15" s="252"/>
      <c r="XP15" s="252"/>
      <c r="XQ15" s="252"/>
      <c r="XR15" s="252"/>
      <c r="XS15" s="252"/>
      <c r="XT15" s="252"/>
      <c r="XU15" s="252"/>
      <c r="XV15" s="252"/>
      <c r="XW15" s="252"/>
      <c r="XX15" s="252"/>
      <c r="XY15" s="252"/>
      <c r="XZ15" s="252"/>
      <c r="YA15" s="252"/>
      <c r="YB15" s="252"/>
      <c r="YC15" s="252"/>
      <c r="YD15" s="252"/>
      <c r="YE15" s="252"/>
      <c r="YF15" s="252"/>
      <c r="YG15" s="252"/>
      <c r="YH15" s="252"/>
      <c r="YI15" s="252"/>
      <c r="YJ15" s="252"/>
      <c r="YK15" s="252"/>
      <c r="YL15" s="252"/>
      <c r="YM15" s="252"/>
      <c r="YN15" s="252"/>
      <c r="YO15" s="252"/>
      <c r="YP15" s="252"/>
      <c r="YQ15" s="252"/>
      <c r="YR15" s="252"/>
      <c r="YS15" s="252"/>
      <c r="YT15" s="252"/>
      <c r="YU15" s="252"/>
      <c r="YV15" s="252"/>
      <c r="YW15" s="252"/>
      <c r="YX15" s="252"/>
      <c r="YY15" s="252"/>
      <c r="YZ15" s="252"/>
      <c r="ZA15" s="252"/>
      <c r="ZB15" s="252"/>
      <c r="ZC15" s="252"/>
      <c r="ZD15" s="252"/>
      <c r="ZE15" s="252"/>
      <c r="ZF15" s="252"/>
      <c r="ZG15" s="252"/>
      <c r="ZH15" s="252"/>
      <c r="ZI15" s="252"/>
      <c r="ZJ15" s="252"/>
      <c r="ZK15" s="252"/>
      <c r="ZL15" s="252"/>
      <c r="ZM15" s="252"/>
      <c r="ZN15" s="252"/>
      <c r="ZO15" s="252"/>
      <c r="ZP15" s="252"/>
      <c r="ZQ15" s="252"/>
      <c r="ZR15" s="252"/>
      <c r="ZS15" s="252"/>
      <c r="ZT15" s="252"/>
      <c r="ZU15" s="252"/>
      <c r="ZV15" s="252"/>
      <c r="ZW15" s="252"/>
      <c r="ZX15" s="252"/>
      <c r="ZY15" s="252"/>
      <c r="ZZ15" s="252"/>
      <c r="AAA15" s="252"/>
      <c r="AAB15" s="252"/>
      <c r="AAC15" s="252"/>
      <c r="AAD15" s="252"/>
      <c r="AAE15" s="252"/>
      <c r="AAF15" s="252"/>
      <c r="AAG15" s="252"/>
      <c r="AAH15" s="252"/>
      <c r="AAI15" s="252"/>
      <c r="AAJ15" s="252"/>
      <c r="AAK15" s="252"/>
      <c r="AAL15" s="252"/>
      <c r="AAM15" s="252"/>
      <c r="AAN15" s="252"/>
      <c r="AAO15" s="252"/>
      <c r="AAP15" s="252"/>
      <c r="AAQ15" s="252"/>
      <c r="AAR15" s="252"/>
      <c r="AAS15" s="252"/>
      <c r="AAT15" s="252"/>
      <c r="AAU15" s="252"/>
      <c r="AAV15" s="252"/>
      <c r="AAW15" s="252"/>
      <c r="AAX15" s="252"/>
      <c r="AAY15" s="252"/>
      <c r="AAZ15" s="252"/>
      <c r="ABA15" s="252"/>
      <c r="ABB15" s="252"/>
      <c r="ABC15" s="252"/>
      <c r="ABD15" s="252"/>
      <c r="ABE15" s="252"/>
      <c r="ABF15" s="252"/>
      <c r="ABG15" s="252"/>
      <c r="ABH15" s="252"/>
      <c r="ABI15" s="252"/>
      <c r="ABJ15" s="252"/>
      <c r="ABK15" s="252"/>
      <c r="ABL15" s="252"/>
      <c r="ABM15" s="252"/>
      <c r="ABN15" s="252"/>
      <c r="ABO15" s="252"/>
      <c r="ABP15" s="252"/>
      <c r="ABQ15" s="252"/>
      <c r="ABR15" s="252"/>
      <c r="ABS15" s="252"/>
      <c r="ABT15" s="252"/>
      <c r="ABU15" s="252"/>
      <c r="ABV15" s="252"/>
      <c r="ABW15" s="252"/>
      <c r="ABX15" s="252"/>
      <c r="ABY15" s="252"/>
      <c r="ABZ15" s="252"/>
      <c r="ACA15" s="252"/>
      <c r="ACB15" s="252"/>
      <c r="ACC15" s="252"/>
      <c r="ACD15" s="252"/>
      <c r="ACE15" s="252"/>
      <c r="ACF15" s="252"/>
      <c r="ACG15" s="252"/>
      <c r="ACH15" s="252"/>
      <c r="ACI15" s="252"/>
      <c r="ACJ15" s="252"/>
      <c r="ACK15" s="252"/>
      <c r="ACL15" s="252"/>
      <c r="ACM15" s="252"/>
      <c r="ACN15" s="252"/>
      <c r="ACO15" s="252"/>
      <c r="ACP15" s="252"/>
      <c r="ACQ15" s="252"/>
      <c r="ACR15" s="252"/>
      <c r="ACS15" s="252"/>
      <c r="ACT15" s="252"/>
      <c r="ACU15" s="252"/>
      <c r="ACV15" s="252"/>
      <c r="ACW15" s="252"/>
      <c r="ACX15" s="252"/>
      <c r="ACY15" s="252"/>
      <c r="ACZ15" s="252"/>
      <c r="ADA15" s="252"/>
      <c r="ADB15" s="252"/>
      <c r="ADC15" s="252"/>
      <c r="ADD15" s="252"/>
      <c r="ADE15" s="252"/>
      <c r="ADF15" s="252"/>
      <c r="ADG15" s="252"/>
      <c r="ADH15" s="252"/>
      <c r="ADI15" s="252"/>
      <c r="ADJ15" s="252"/>
      <c r="ADK15" s="252"/>
      <c r="ADL15" s="252"/>
      <c r="ADM15" s="252"/>
      <c r="ADN15" s="252"/>
      <c r="ADO15" s="252"/>
      <c r="ADP15" s="252"/>
      <c r="ADQ15" s="252"/>
      <c r="ADR15" s="252"/>
      <c r="ADS15" s="252"/>
      <c r="ADT15" s="252"/>
      <c r="ADU15" s="252"/>
      <c r="ADV15" s="252"/>
      <c r="ADW15" s="252"/>
      <c r="ADX15" s="252"/>
      <c r="ADY15" s="252"/>
      <c r="ADZ15" s="252"/>
      <c r="AEA15" s="252"/>
      <c r="AEB15" s="252"/>
      <c r="AEC15" s="252"/>
      <c r="AED15" s="252"/>
      <c r="AEE15" s="252"/>
      <c r="AEF15" s="252"/>
      <c r="AEG15" s="252"/>
      <c r="AEH15" s="252"/>
      <c r="AEI15" s="252"/>
      <c r="AEJ15" s="252"/>
      <c r="AEK15" s="252"/>
      <c r="AEL15" s="252"/>
      <c r="AEM15" s="252"/>
      <c r="AEN15" s="252"/>
      <c r="AEO15" s="252"/>
      <c r="AEP15" s="252"/>
      <c r="AEQ15" s="252"/>
      <c r="AER15" s="252"/>
      <c r="AES15" s="252"/>
      <c r="AET15" s="252"/>
      <c r="AEU15" s="252"/>
      <c r="AEV15" s="252"/>
      <c r="AEW15" s="252"/>
      <c r="AEX15" s="252"/>
      <c r="AEY15" s="252"/>
      <c r="AEZ15" s="252"/>
      <c r="AFA15" s="252"/>
      <c r="AFB15" s="252"/>
      <c r="AFC15" s="252"/>
      <c r="AFD15" s="252"/>
      <c r="AFE15" s="252"/>
      <c r="AFF15" s="252"/>
      <c r="AFG15" s="252"/>
      <c r="AFH15" s="252"/>
      <c r="AFI15" s="252"/>
      <c r="AFJ15" s="252"/>
      <c r="AFK15" s="252"/>
      <c r="AFL15" s="252"/>
      <c r="AFM15" s="252"/>
      <c r="AFN15" s="252"/>
      <c r="AFO15" s="252"/>
      <c r="AFP15" s="252"/>
      <c r="AFQ15" s="252"/>
      <c r="AFR15" s="252"/>
      <c r="AFS15" s="252"/>
      <c r="AFT15" s="252"/>
      <c r="AFU15" s="252"/>
      <c r="AFV15" s="252"/>
      <c r="AFW15" s="252"/>
      <c r="AFX15" s="252"/>
      <c r="AFY15" s="252"/>
      <c r="AFZ15" s="252"/>
      <c r="AGA15" s="252"/>
      <c r="AGB15" s="252"/>
      <c r="AGC15" s="252"/>
      <c r="AGD15" s="252"/>
      <c r="AGE15" s="252"/>
      <c r="AGF15" s="252"/>
      <c r="AGG15" s="252"/>
      <c r="AGH15" s="252"/>
      <c r="AGI15" s="252"/>
      <c r="AGJ15" s="252"/>
      <c r="AGK15" s="252"/>
      <c r="AGL15" s="252"/>
      <c r="AGM15" s="252"/>
      <c r="AGN15" s="252"/>
      <c r="AGO15" s="252"/>
      <c r="AGP15" s="252"/>
      <c r="AGQ15" s="252"/>
      <c r="AGR15" s="252"/>
      <c r="AGS15" s="252"/>
      <c r="AGT15" s="252"/>
      <c r="AGU15" s="252"/>
      <c r="AGV15" s="252"/>
      <c r="AGW15" s="252"/>
      <c r="AGX15" s="252"/>
      <c r="AGY15" s="252"/>
      <c r="AGZ15" s="252"/>
      <c r="AHA15" s="252"/>
      <c r="AHB15" s="252"/>
      <c r="AHC15" s="252"/>
      <c r="AHD15" s="252"/>
      <c r="AHE15" s="252"/>
      <c r="AHF15" s="252"/>
      <c r="AHG15" s="252"/>
      <c r="AHH15" s="252"/>
      <c r="AHI15" s="252"/>
      <c r="AHJ15" s="252"/>
      <c r="AHK15" s="252"/>
      <c r="AHL15" s="252"/>
      <c r="AHM15" s="252"/>
      <c r="AHN15" s="252"/>
      <c r="AHO15" s="252"/>
      <c r="AHP15" s="252"/>
      <c r="AHQ15" s="252"/>
      <c r="AHR15" s="252"/>
      <c r="AHS15" s="252"/>
      <c r="AHT15" s="252"/>
      <c r="AHU15" s="252"/>
      <c r="AHV15" s="252"/>
      <c r="AHW15" s="252"/>
      <c r="AHX15" s="252"/>
      <c r="AHY15" s="252"/>
      <c r="AHZ15" s="252"/>
      <c r="AIA15" s="252"/>
      <c r="AIB15" s="252"/>
      <c r="AIC15" s="252"/>
      <c r="AID15" s="252"/>
      <c r="AIE15" s="252"/>
      <c r="AIF15" s="252"/>
      <c r="AIG15" s="252"/>
      <c r="AIH15" s="252"/>
      <c r="AII15" s="252"/>
      <c r="AIJ15" s="252"/>
      <c r="AIK15" s="252"/>
      <c r="AIL15" s="252"/>
      <c r="AIM15" s="252"/>
      <c r="AIN15" s="252"/>
      <c r="AIO15" s="252"/>
      <c r="AIP15" s="252"/>
      <c r="AIQ15" s="252"/>
      <c r="AIR15" s="252"/>
      <c r="AIS15" s="252"/>
      <c r="AIT15" s="252"/>
      <c r="AIU15" s="252"/>
      <c r="AIV15" s="252"/>
      <c r="AIW15" s="252"/>
      <c r="AIX15" s="252"/>
      <c r="AIY15" s="252"/>
      <c r="AIZ15" s="252"/>
      <c r="AJA15" s="252"/>
      <c r="AJB15" s="252"/>
      <c r="AJC15" s="252"/>
      <c r="AJD15" s="252"/>
      <c r="AJE15" s="252"/>
      <c r="AJF15" s="252"/>
      <c r="AJG15" s="252"/>
      <c r="AJH15" s="252"/>
      <c r="AJI15" s="252"/>
      <c r="AJJ15" s="252"/>
      <c r="AJK15" s="252"/>
      <c r="AJL15" s="252"/>
      <c r="AJM15" s="252"/>
      <c r="AJN15" s="252"/>
      <c r="AJO15" s="252"/>
      <c r="AJP15" s="252"/>
      <c r="AJQ15" s="252"/>
      <c r="AJR15" s="252"/>
      <c r="AJS15" s="252"/>
      <c r="AJT15" s="252"/>
      <c r="AJU15" s="252"/>
      <c r="AJV15" s="252"/>
      <c r="AJW15" s="252"/>
      <c r="AJX15" s="252"/>
      <c r="AJY15" s="252"/>
      <c r="AJZ15" s="252"/>
      <c r="AKA15" s="252"/>
      <c r="AKB15" s="252"/>
      <c r="AKC15" s="252"/>
      <c r="AKD15" s="252"/>
      <c r="AKE15" s="252"/>
      <c r="AKF15" s="252"/>
      <c r="AKG15" s="252"/>
      <c r="AKH15" s="252"/>
      <c r="AKI15" s="252"/>
      <c r="AKJ15" s="252"/>
      <c r="AKK15" s="252"/>
      <c r="AKL15" s="252"/>
      <c r="AKM15" s="252"/>
      <c r="AKN15" s="252"/>
      <c r="AKO15" s="252"/>
      <c r="AKP15" s="252"/>
      <c r="AKQ15" s="252"/>
      <c r="AKR15" s="252"/>
      <c r="AKS15" s="252"/>
      <c r="AKT15" s="252"/>
      <c r="AKU15" s="252"/>
      <c r="AKV15" s="252"/>
      <c r="AKW15" s="252"/>
      <c r="AKX15" s="252"/>
      <c r="AKY15" s="252"/>
      <c r="AKZ15" s="252"/>
      <c r="ALA15" s="252"/>
      <c r="ALB15" s="252"/>
      <c r="ALC15" s="252"/>
      <c r="ALD15" s="252"/>
      <c r="ALE15" s="252"/>
      <c r="ALF15" s="252"/>
      <c r="ALG15" s="252"/>
      <c r="ALH15" s="252"/>
      <c r="ALI15" s="252"/>
      <c r="ALJ15" s="252"/>
      <c r="ALK15" s="252"/>
      <c r="ALL15" s="252"/>
      <c r="ALM15" s="252"/>
      <c r="ALN15" s="252"/>
      <c r="ALO15" s="252"/>
      <c r="ALP15" s="252"/>
      <c r="ALQ15" s="252"/>
      <c r="ALR15" s="252"/>
      <c r="ALS15" s="252"/>
    </row>
    <row r="16" spans="1:1007" s="3" customFormat="1" x14ac:dyDescent="0.2">
      <c r="A16" s="369" t="s">
        <v>299</v>
      </c>
      <c r="B16" s="382"/>
      <c r="C16" s="382"/>
      <c r="D16" s="382">
        <v>11700</v>
      </c>
      <c r="E16" s="733"/>
      <c r="F16" s="730"/>
      <c r="G16" s="730"/>
      <c r="H16" s="369"/>
      <c r="I16" s="730"/>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252"/>
      <c r="BW16" s="252"/>
      <c r="BX16" s="252"/>
      <c r="BY16" s="252"/>
      <c r="BZ16" s="252"/>
      <c r="CA16" s="252"/>
      <c r="CB16" s="252"/>
      <c r="CC16" s="252"/>
      <c r="CD16" s="252"/>
      <c r="CE16" s="252"/>
      <c r="CF16" s="252"/>
      <c r="CG16" s="252"/>
      <c r="CH16" s="252"/>
      <c r="CI16" s="252"/>
      <c r="CJ16" s="252"/>
      <c r="CK16" s="252"/>
      <c r="CL16" s="252"/>
      <c r="CM16" s="252"/>
      <c r="CN16" s="252"/>
      <c r="CO16" s="252"/>
      <c r="CP16" s="252"/>
      <c r="CQ16" s="252"/>
      <c r="CR16" s="252"/>
      <c r="CS16" s="252"/>
      <c r="CT16" s="252"/>
      <c r="CU16" s="252"/>
      <c r="CV16" s="252"/>
      <c r="CW16" s="252"/>
      <c r="CX16" s="252"/>
      <c r="CY16" s="252"/>
      <c r="CZ16" s="252"/>
      <c r="DA16" s="252"/>
      <c r="DB16" s="252"/>
      <c r="DC16" s="252"/>
      <c r="DD16" s="252"/>
      <c r="DE16" s="252"/>
      <c r="DF16" s="252"/>
      <c r="DG16" s="252"/>
      <c r="DH16" s="252"/>
      <c r="DI16" s="252"/>
      <c r="DJ16" s="252"/>
      <c r="DK16" s="252"/>
      <c r="DL16" s="252"/>
      <c r="DM16" s="252"/>
      <c r="DN16" s="252"/>
      <c r="DO16" s="252"/>
      <c r="DP16" s="252"/>
      <c r="DQ16" s="252"/>
      <c r="DR16" s="252"/>
      <c r="DS16" s="252"/>
      <c r="DT16" s="252"/>
      <c r="DU16" s="252"/>
      <c r="DV16" s="252"/>
      <c r="DW16" s="252"/>
      <c r="DX16" s="252"/>
      <c r="DY16" s="252"/>
      <c r="DZ16" s="252"/>
      <c r="EA16" s="252"/>
      <c r="EB16" s="252"/>
      <c r="EC16" s="252"/>
      <c r="ED16" s="252"/>
      <c r="EE16" s="252"/>
      <c r="EF16" s="252"/>
      <c r="EG16" s="252"/>
      <c r="EH16" s="252"/>
      <c r="EI16" s="252"/>
      <c r="EJ16" s="252"/>
      <c r="EK16" s="252"/>
      <c r="EL16" s="252"/>
      <c r="EM16" s="252"/>
      <c r="EN16" s="252"/>
      <c r="EO16" s="252"/>
      <c r="EP16" s="252"/>
      <c r="EQ16" s="252"/>
      <c r="ER16" s="252"/>
      <c r="ES16" s="252"/>
      <c r="ET16" s="252"/>
      <c r="EU16" s="252"/>
      <c r="EV16" s="252"/>
      <c r="EW16" s="252"/>
      <c r="EX16" s="252"/>
      <c r="EY16" s="252"/>
      <c r="EZ16" s="252"/>
      <c r="FA16" s="252"/>
      <c r="FB16" s="252"/>
      <c r="FC16" s="252"/>
      <c r="FD16" s="252"/>
      <c r="FE16" s="252"/>
      <c r="FF16" s="252"/>
      <c r="FG16" s="252"/>
      <c r="FH16" s="252"/>
      <c r="FI16" s="252"/>
      <c r="FJ16" s="252"/>
      <c r="FK16" s="252"/>
      <c r="FL16" s="252"/>
      <c r="FM16" s="252"/>
      <c r="FN16" s="252"/>
      <c r="FO16" s="252"/>
      <c r="FP16" s="252"/>
      <c r="FQ16" s="252"/>
      <c r="FR16" s="252"/>
      <c r="FS16" s="252"/>
      <c r="FT16" s="252"/>
      <c r="FU16" s="252"/>
      <c r="FV16" s="252"/>
      <c r="FW16" s="252"/>
      <c r="FX16" s="252"/>
      <c r="FY16" s="252"/>
      <c r="FZ16" s="252"/>
      <c r="GA16" s="252"/>
      <c r="GB16" s="252"/>
      <c r="GC16" s="252"/>
      <c r="GD16" s="252"/>
      <c r="GE16" s="252"/>
      <c r="GF16" s="252"/>
      <c r="GG16" s="252"/>
      <c r="GH16" s="252"/>
      <c r="GI16" s="252"/>
      <c r="GJ16" s="252"/>
      <c r="GK16" s="252"/>
      <c r="GL16" s="252"/>
      <c r="GM16" s="252"/>
      <c r="GN16" s="252"/>
      <c r="GO16" s="252"/>
      <c r="GP16" s="252"/>
      <c r="GQ16" s="252"/>
      <c r="GR16" s="252"/>
      <c r="GS16" s="252"/>
      <c r="GT16" s="252"/>
      <c r="GU16" s="252"/>
      <c r="GV16" s="252"/>
      <c r="GW16" s="252"/>
      <c r="GX16" s="252"/>
      <c r="GY16" s="252"/>
      <c r="GZ16" s="252"/>
      <c r="HA16" s="252"/>
      <c r="HB16" s="252"/>
      <c r="HC16" s="252"/>
      <c r="HD16" s="252"/>
      <c r="HE16" s="252"/>
      <c r="HF16" s="252"/>
      <c r="HG16" s="252"/>
      <c r="HH16" s="252"/>
      <c r="HI16" s="252"/>
      <c r="HJ16" s="252"/>
      <c r="HK16" s="252"/>
      <c r="HL16" s="252"/>
      <c r="HM16" s="252"/>
      <c r="HN16" s="252"/>
      <c r="HO16" s="252"/>
      <c r="HP16" s="252"/>
      <c r="HQ16" s="252"/>
      <c r="HR16" s="252"/>
      <c r="HS16" s="252"/>
      <c r="HT16" s="252"/>
      <c r="HU16" s="252"/>
      <c r="HV16" s="252"/>
      <c r="HW16" s="252"/>
      <c r="HX16" s="252"/>
      <c r="HY16" s="252"/>
      <c r="HZ16" s="252"/>
      <c r="IA16" s="252"/>
      <c r="IB16" s="252"/>
      <c r="IC16" s="252"/>
      <c r="ID16" s="252"/>
      <c r="IE16" s="252"/>
      <c r="IF16" s="252"/>
      <c r="IG16" s="252"/>
      <c r="IH16" s="252"/>
      <c r="II16" s="252"/>
      <c r="IJ16" s="252"/>
      <c r="IK16" s="252"/>
      <c r="IL16" s="252"/>
      <c r="IM16" s="252"/>
      <c r="IN16" s="252"/>
      <c r="IO16" s="252"/>
      <c r="IP16" s="252"/>
      <c r="IQ16" s="252"/>
      <c r="IR16" s="252"/>
      <c r="IS16" s="252"/>
      <c r="IT16" s="252"/>
      <c r="IU16" s="252"/>
      <c r="IV16" s="252"/>
      <c r="IW16" s="252"/>
      <c r="IX16" s="252"/>
      <c r="IY16" s="252"/>
      <c r="IZ16" s="252"/>
      <c r="JA16" s="252"/>
      <c r="JB16" s="252"/>
      <c r="JC16" s="252"/>
      <c r="JD16" s="252"/>
      <c r="JE16" s="252"/>
      <c r="JF16" s="252"/>
      <c r="JG16" s="252"/>
      <c r="JH16" s="252"/>
      <c r="JI16" s="252"/>
      <c r="JJ16" s="252"/>
      <c r="JK16" s="252"/>
      <c r="JL16" s="252"/>
      <c r="JM16" s="252"/>
      <c r="JN16" s="252"/>
      <c r="JO16" s="252"/>
      <c r="JP16" s="252"/>
      <c r="JQ16" s="252"/>
      <c r="JR16" s="252"/>
      <c r="JS16" s="252"/>
      <c r="JT16" s="252"/>
      <c r="JU16" s="252"/>
      <c r="JV16" s="252"/>
      <c r="JW16" s="252"/>
      <c r="JX16" s="252"/>
      <c r="JY16" s="252"/>
      <c r="JZ16" s="252"/>
      <c r="KA16" s="252"/>
      <c r="KB16" s="252"/>
      <c r="KC16" s="252"/>
      <c r="KD16" s="252"/>
      <c r="KE16" s="252"/>
      <c r="KF16" s="252"/>
      <c r="KG16" s="252"/>
      <c r="KH16" s="252"/>
      <c r="KI16" s="252"/>
      <c r="KJ16" s="252"/>
      <c r="KK16" s="252"/>
      <c r="KL16" s="252"/>
      <c r="KM16" s="252"/>
      <c r="KN16" s="252"/>
      <c r="KO16" s="252"/>
      <c r="KP16" s="252"/>
      <c r="KQ16" s="252"/>
      <c r="KR16" s="252"/>
      <c r="KS16" s="252"/>
      <c r="KT16" s="252"/>
      <c r="KU16" s="252"/>
      <c r="KV16" s="252"/>
      <c r="KW16" s="252"/>
      <c r="KX16" s="252"/>
      <c r="KY16" s="252"/>
      <c r="KZ16" s="252"/>
      <c r="LA16" s="252"/>
      <c r="LB16" s="252"/>
      <c r="LC16" s="252"/>
      <c r="LD16" s="252"/>
      <c r="LE16" s="252"/>
      <c r="LF16" s="252"/>
      <c r="LG16" s="252"/>
      <c r="LH16" s="252"/>
      <c r="LI16" s="252"/>
      <c r="LJ16" s="252"/>
      <c r="LK16" s="252"/>
      <c r="LL16" s="252"/>
      <c r="LM16" s="252"/>
      <c r="LN16" s="252"/>
      <c r="LO16" s="252"/>
      <c r="LP16" s="252"/>
      <c r="LQ16" s="252"/>
      <c r="LR16" s="252"/>
      <c r="LS16" s="252"/>
      <c r="LT16" s="252"/>
      <c r="LU16" s="252"/>
      <c r="LV16" s="252"/>
      <c r="LW16" s="252"/>
      <c r="LX16" s="252"/>
      <c r="LY16" s="252"/>
      <c r="LZ16" s="252"/>
      <c r="MA16" s="252"/>
      <c r="MB16" s="252"/>
      <c r="MC16" s="252"/>
      <c r="MD16" s="252"/>
      <c r="ME16" s="252"/>
      <c r="MF16" s="252"/>
      <c r="MG16" s="252"/>
      <c r="MH16" s="252"/>
      <c r="MI16" s="252"/>
      <c r="MJ16" s="252"/>
      <c r="MK16" s="252"/>
      <c r="ML16" s="252"/>
      <c r="MM16" s="252"/>
      <c r="MN16" s="252"/>
      <c r="MO16" s="252"/>
      <c r="MP16" s="252"/>
      <c r="MQ16" s="252"/>
      <c r="MR16" s="252"/>
      <c r="MS16" s="252"/>
      <c r="MT16" s="252"/>
      <c r="MU16" s="252"/>
      <c r="MV16" s="252"/>
      <c r="MW16" s="252"/>
      <c r="MX16" s="252"/>
      <c r="MY16" s="252"/>
      <c r="MZ16" s="252"/>
      <c r="NA16" s="252"/>
      <c r="NB16" s="252"/>
      <c r="NC16" s="252"/>
      <c r="ND16" s="252"/>
      <c r="NE16" s="252"/>
      <c r="NF16" s="252"/>
      <c r="NG16" s="252"/>
      <c r="NH16" s="252"/>
      <c r="NI16" s="252"/>
      <c r="NJ16" s="252"/>
      <c r="NK16" s="252"/>
      <c r="NL16" s="252"/>
      <c r="NM16" s="252"/>
      <c r="NN16" s="252"/>
      <c r="NO16" s="252"/>
      <c r="NP16" s="252"/>
      <c r="NQ16" s="252"/>
      <c r="NR16" s="252"/>
      <c r="NS16" s="252"/>
      <c r="NT16" s="252"/>
      <c r="NU16" s="252"/>
      <c r="NV16" s="252"/>
      <c r="NW16" s="252"/>
      <c r="NX16" s="252"/>
      <c r="NY16" s="252"/>
      <c r="NZ16" s="252"/>
      <c r="OA16" s="252"/>
      <c r="OB16" s="252"/>
      <c r="OC16" s="252"/>
      <c r="OD16" s="252"/>
      <c r="OE16" s="252"/>
      <c r="OF16" s="252"/>
      <c r="OG16" s="252"/>
      <c r="OH16" s="252"/>
      <c r="OI16" s="252"/>
      <c r="OJ16" s="252"/>
      <c r="OK16" s="252"/>
      <c r="OL16" s="252"/>
      <c r="OM16" s="252"/>
      <c r="ON16" s="252"/>
      <c r="OO16" s="252"/>
      <c r="OP16" s="252"/>
      <c r="OQ16" s="252"/>
      <c r="OR16" s="252"/>
      <c r="OS16" s="252"/>
      <c r="OT16" s="252"/>
      <c r="OU16" s="252"/>
      <c r="OV16" s="252"/>
      <c r="OW16" s="252"/>
      <c r="OX16" s="252"/>
      <c r="OY16" s="252"/>
      <c r="OZ16" s="252"/>
      <c r="PA16" s="252"/>
      <c r="PB16" s="252"/>
      <c r="PC16" s="252"/>
      <c r="PD16" s="252"/>
      <c r="PE16" s="252"/>
      <c r="PF16" s="252"/>
      <c r="PG16" s="252"/>
      <c r="PH16" s="252"/>
      <c r="PI16" s="252"/>
      <c r="PJ16" s="252"/>
      <c r="PK16" s="252"/>
      <c r="PL16" s="252"/>
      <c r="PM16" s="252"/>
      <c r="PN16" s="252"/>
      <c r="PO16" s="252"/>
      <c r="PP16" s="252"/>
      <c r="PQ16" s="252"/>
      <c r="PR16" s="252"/>
      <c r="PS16" s="252"/>
      <c r="PT16" s="252"/>
      <c r="PU16" s="252"/>
      <c r="PV16" s="252"/>
      <c r="PW16" s="252"/>
      <c r="PX16" s="252"/>
      <c r="PY16" s="252"/>
      <c r="PZ16" s="252"/>
      <c r="QA16" s="252"/>
      <c r="QB16" s="252"/>
      <c r="QC16" s="252"/>
      <c r="QD16" s="252"/>
      <c r="QE16" s="252"/>
      <c r="QF16" s="252"/>
      <c r="QG16" s="252"/>
      <c r="QH16" s="252"/>
      <c r="QI16" s="252"/>
      <c r="QJ16" s="252"/>
      <c r="QK16" s="252"/>
      <c r="QL16" s="252"/>
      <c r="QM16" s="252"/>
      <c r="QN16" s="252"/>
      <c r="QO16" s="252"/>
      <c r="QP16" s="252"/>
      <c r="QQ16" s="252"/>
      <c r="QR16" s="252"/>
      <c r="QS16" s="252"/>
      <c r="QT16" s="252"/>
      <c r="QU16" s="252"/>
      <c r="QV16" s="252"/>
      <c r="QW16" s="252"/>
      <c r="QX16" s="252"/>
      <c r="QY16" s="252"/>
      <c r="QZ16" s="252"/>
      <c r="RA16" s="252"/>
      <c r="RB16" s="252"/>
      <c r="RC16" s="252"/>
      <c r="RD16" s="252"/>
      <c r="RE16" s="252"/>
      <c r="RF16" s="252"/>
      <c r="RG16" s="252"/>
      <c r="RH16" s="252"/>
      <c r="RI16" s="252"/>
      <c r="RJ16" s="252"/>
      <c r="RK16" s="252"/>
      <c r="RL16" s="252"/>
      <c r="RM16" s="252"/>
      <c r="RN16" s="252"/>
      <c r="RO16" s="252"/>
      <c r="RP16" s="252"/>
      <c r="RQ16" s="252"/>
      <c r="RR16" s="252"/>
      <c r="RS16" s="252"/>
      <c r="RT16" s="252"/>
      <c r="RU16" s="252"/>
      <c r="RV16" s="252"/>
      <c r="RW16" s="252"/>
      <c r="RX16" s="252"/>
      <c r="RY16" s="252"/>
      <c r="RZ16" s="252"/>
      <c r="SA16" s="252"/>
      <c r="SB16" s="252"/>
      <c r="SC16" s="252"/>
      <c r="SD16" s="252"/>
      <c r="SE16" s="252"/>
      <c r="SF16" s="252"/>
      <c r="SG16" s="252"/>
      <c r="SH16" s="252"/>
      <c r="SI16" s="252"/>
      <c r="SJ16" s="252"/>
      <c r="SK16" s="252"/>
      <c r="SL16" s="252"/>
      <c r="SM16" s="252"/>
      <c r="SN16" s="252"/>
      <c r="SO16" s="252"/>
      <c r="SP16" s="252"/>
      <c r="SQ16" s="252"/>
      <c r="SR16" s="252"/>
      <c r="SS16" s="252"/>
      <c r="ST16" s="252"/>
      <c r="SU16" s="252"/>
      <c r="SV16" s="252"/>
      <c r="SW16" s="252"/>
      <c r="SX16" s="252"/>
      <c r="SY16" s="252"/>
      <c r="SZ16" s="252"/>
      <c r="TA16" s="252"/>
      <c r="TB16" s="252"/>
      <c r="TC16" s="252"/>
      <c r="TD16" s="252"/>
      <c r="TE16" s="252"/>
      <c r="TF16" s="252"/>
      <c r="TG16" s="252"/>
      <c r="TH16" s="252"/>
      <c r="TI16" s="252"/>
      <c r="TJ16" s="252"/>
      <c r="TK16" s="252"/>
      <c r="TL16" s="252"/>
      <c r="TM16" s="252"/>
      <c r="TN16" s="252"/>
      <c r="TO16" s="252"/>
      <c r="TP16" s="252"/>
      <c r="TQ16" s="252"/>
      <c r="TR16" s="252"/>
      <c r="TS16" s="252"/>
      <c r="TT16" s="252"/>
      <c r="TU16" s="252"/>
      <c r="TV16" s="252"/>
      <c r="TW16" s="252"/>
      <c r="TX16" s="252"/>
      <c r="TY16" s="252"/>
      <c r="TZ16" s="252"/>
      <c r="UA16" s="252"/>
      <c r="UB16" s="252"/>
      <c r="UC16" s="252"/>
      <c r="UD16" s="252"/>
      <c r="UE16" s="252"/>
      <c r="UF16" s="252"/>
      <c r="UG16" s="252"/>
      <c r="UH16" s="252"/>
      <c r="UI16" s="252"/>
      <c r="UJ16" s="252"/>
      <c r="UK16" s="252"/>
      <c r="UL16" s="252"/>
      <c r="UM16" s="252"/>
      <c r="UN16" s="252"/>
      <c r="UO16" s="252"/>
      <c r="UP16" s="252"/>
      <c r="UQ16" s="252"/>
      <c r="UR16" s="252"/>
      <c r="US16" s="252"/>
      <c r="UT16" s="252"/>
      <c r="UU16" s="252"/>
      <c r="UV16" s="252"/>
      <c r="UW16" s="252"/>
      <c r="UX16" s="252"/>
      <c r="UY16" s="252"/>
      <c r="UZ16" s="252"/>
      <c r="VA16" s="252"/>
      <c r="VB16" s="252"/>
      <c r="VC16" s="252"/>
      <c r="VD16" s="252"/>
      <c r="VE16" s="252"/>
      <c r="VF16" s="252"/>
      <c r="VG16" s="252"/>
      <c r="VH16" s="252"/>
      <c r="VI16" s="252"/>
      <c r="VJ16" s="252"/>
      <c r="VK16" s="252"/>
      <c r="VL16" s="252"/>
      <c r="VM16" s="252"/>
      <c r="VN16" s="252"/>
      <c r="VO16" s="252"/>
      <c r="VP16" s="252"/>
      <c r="VQ16" s="252"/>
      <c r="VR16" s="252"/>
      <c r="VS16" s="252"/>
      <c r="VT16" s="252"/>
      <c r="VU16" s="252"/>
      <c r="VV16" s="252"/>
      <c r="VW16" s="252"/>
      <c r="VX16" s="252"/>
      <c r="VY16" s="252"/>
      <c r="VZ16" s="252"/>
      <c r="WA16" s="252"/>
      <c r="WB16" s="252"/>
      <c r="WC16" s="252"/>
      <c r="WD16" s="252"/>
      <c r="WE16" s="252"/>
      <c r="WF16" s="252"/>
      <c r="WG16" s="252"/>
      <c r="WH16" s="252"/>
      <c r="WI16" s="252"/>
      <c r="WJ16" s="252"/>
      <c r="WK16" s="252"/>
      <c r="WL16" s="252"/>
      <c r="WM16" s="252"/>
      <c r="WN16" s="252"/>
      <c r="WO16" s="252"/>
      <c r="WP16" s="252"/>
      <c r="WQ16" s="252"/>
      <c r="WR16" s="252"/>
      <c r="WS16" s="252"/>
      <c r="WT16" s="252"/>
      <c r="WU16" s="252"/>
      <c r="WV16" s="252"/>
      <c r="WW16" s="252"/>
      <c r="WX16" s="252"/>
      <c r="WY16" s="252"/>
      <c r="WZ16" s="252"/>
      <c r="XA16" s="252"/>
      <c r="XB16" s="252"/>
      <c r="XC16" s="252"/>
      <c r="XD16" s="252"/>
      <c r="XE16" s="252"/>
      <c r="XF16" s="252"/>
      <c r="XG16" s="252"/>
      <c r="XH16" s="252"/>
      <c r="XI16" s="252"/>
      <c r="XJ16" s="252"/>
      <c r="XK16" s="252"/>
      <c r="XL16" s="252"/>
      <c r="XM16" s="252"/>
      <c r="XN16" s="252"/>
      <c r="XO16" s="252"/>
      <c r="XP16" s="252"/>
      <c r="XQ16" s="252"/>
      <c r="XR16" s="252"/>
      <c r="XS16" s="252"/>
      <c r="XT16" s="252"/>
      <c r="XU16" s="252"/>
      <c r="XV16" s="252"/>
      <c r="XW16" s="252"/>
      <c r="XX16" s="252"/>
      <c r="XY16" s="252"/>
      <c r="XZ16" s="252"/>
      <c r="YA16" s="252"/>
      <c r="YB16" s="252"/>
      <c r="YC16" s="252"/>
      <c r="YD16" s="252"/>
      <c r="YE16" s="252"/>
      <c r="YF16" s="252"/>
      <c r="YG16" s="252"/>
      <c r="YH16" s="252"/>
      <c r="YI16" s="252"/>
      <c r="YJ16" s="252"/>
      <c r="YK16" s="252"/>
      <c r="YL16" s="252"/>
      <c r="YM16" s="252"/>
      <c r="YN16" s="252"/>
      <c r="YO16" s="252"/>
      <c r="YP16" s="252"/>
      <c r="YQ16" s="252"/>
      <c r="YR16" s="252"/>
      <c r="YS16" s="252"/>
      <c r="YT16" s="252"/>
      <c r="YU16" s="252"/>
      <c r="YV16" s="252"/>
      <c r="YW16" s="252"/>
      <c r="YX16" s="252"/>
      <c r="YY16" s="252"/>
      <c r="YZ16" s="252"/>
      <c r="ZA16" s="252"/>
      <c r="ZB16" s="252"/>
      <c r="ZC16" s="252"/>
      <c r="ZD16" s="252"/>
      <c r="ZE16" s="252"/>
      <c r="ZF16" s="252"/>
      <c r="ZG16" s="252"/>
      <c r="ZH16" s="252"/>
      <c r="ZI16" s="252"/>
      <c r="ZJ16" s="252"/>
      <c r="ZK16" s="252"/>
      <c r="ZL16" s="252"/>
      <c r="ZM16" s="252"/>
      <c r="ZN16" s="252"/>
      <c r="ZO16" s="252"/>
      <c r="ZP16" s="252"/>
      <c r="ZQ16" s="252"/>
      <c r="ZR16" s="252"/>
      <c r="ZS16" s="252"/>
      <c r="ZT16" s="252"/>
      <c r="ZU16" s="252"/>
      <c r="ZV16" s="252"/>
      <c r="ZW16" s="252"/>
      <c r="ZX16" s="252"/>
      <c r="ZY16" s="252"/>
      <c r="ZZ16" s="252"/>
      <c r="AAA16" s="252"/>
      <c r="AAB16" s="252"/>
      <c r="AAC16" s="252"/>
      <c r="AAD16" s="252"/>
      <c r="AAE16" s="252"/>
      <c r="AAF16" s="252"/>
      <c r="AAG16" s="252"/>
      <c r="AAH16" s="252"/>
      <c r="AAI16" s="252"/>
      <c r="AAJ16" s="252"/>
      <c r="AAK16" s="252"/>
      <c r="AAL16" s="252"/>
      <c r="AAM16" s="252"/>
      <c r="AAN16" s="252"/>
      <c r="AAO16" s="252"/>
      <c r="AAP16" s="252"/>
      <c r="AAQ16" s="252"/>
      <c r="AAR16" s="252"/>
      <c r="AAS16" s="252"/>
      <c r="AAT16" s="252"/>
      <c r="AAU16" s="252"/>
      <c r="AAV16" s="252"/>
      <c r="AAW16" s="252"/>
      <c r="AAX16" s="252"/>
      <c r="AAY16" s="252"/>
      <c r="AAZ16" s="252"/>
      <c r="ABA16" s="252"/>
      <c r="ABB16" s="252"/>
      <c r="ABC16" s="252"/>
      <c r="ABD16" s="252"/>
      <c r="ABE16" s="252"/>
      <c r="ABF16" s="252"/>
      <c r="ABG16" s="252"/>
      <c r="ABH16" s="252"/>
      <c r="ABI16" s="252"/>
      <c r="ABJ16" s="252"/>
      <c r="ABK16" s="252"/>
      <c r="ABL16" s="252"/>
      <c r="ABM16" s="252"/>
      <c r="ABN16" s="252"/>
      <c r="ABO16" s="252"/>
      <c r="ABP16" s="252"/>
      <c r="ABQ16" s="252"/>
      <c r="ABR16" s="252"/>
      <c r="ABS16" s="252"/>
      <c r="ABT16" s="252"/>
      <c r="ABU16" s="252"/>
      <c r="ABV16" s="252"/>
      <c r="ABW16" s="252"/>
      <c r="ABX16" s="252"/>
      <c r="ABY16" s="252"/>
      <c r="ABZ16" s="252"/>
      <c r="ACA16" s="252"/>
      <c r="ACB16" s="252"/>
      <c r="ACC16" s="252"/>
      <c r="ACD16" s="252"/>
      <c r="ACE16" s="252"/>
      <c r="ACF16" s="252"/>
      <c r="ACG16" s="252"/>
      <c r="ACH16" s="252"/>
      <c r="ACI16" s="252"/>
      <c r="ACJ16" s="252"/>
      <c r="ACK16" s="252"/>
      <c r="ACL16" s="252"/>
      <c r="ACM16" s="252"/>
      <c r="ACN16" s="252"/>
      <c r="ACO16" s="252"/>
      <c r="ACP16" s="252"/>
      <c r="ACQ16" s="252"/>
      <c r="ACR16" s="252"/>
      <c r="ACS16" s="252"/>
      <c r="ACT16" s="252"/>
      <c r="ACU16" s="252"/>
      <c r="ACV16" s="252"/>
      <c r="ACW16" s="252"/>
      <c r="ACX16" s="252"/>
      <c r="ACY16" s="252"/>
      <c r="ACZ16" s="252"/>
      <c r="ADA16" s="252"/>
      <c r="ADB16" s="252"/>
      <c r="ADC16" s="252"/>
      <c r="ADD16" s="252"/>
      <c r="ADE16" s="252"/>
      <c r="ADF16" s="252"/>
      <c r="ADG16" s="252"/>
      <c r="ADH16" s="252"/>
      <c r="ADI16" s="252"/>
      <c r="ADJ16" s="252"/>
      <c r="ADK16" s="252"/>
      <c r="ADL16" s="252"/>
      <c r="ADM16" s="252"/>
      <c r="ADN16" s="252"/>
      <c r="ADO16" s="252"/>
      <c r="ADP16" s="252"/>
      <c r="ADQ16" s="252"/>
      <c r="ADR16" s="252"/>
      <c r="ADS16" s="252"/>
      <c r="ADT16" s="252"/>
      <c r="ADU16" s="252"/>
      <c r="ADV16" s="252"/>
      <c r="ADW16" s="252"/>
      <c r="ADX16" s="252"/>
      <c r="ADY16" s="252"/>
      <c r="ADZ16" s="252"/>
      <c r="AEA16" s="252"/>
      <c r="AEB16" s="252"/>
      <c r="AEC16" s="252"/>
      <c r="AED16" s="252"/>
      <c r="AEE16" s="252"/>
      <c r="AEF16" s="252"/>
      <c r="AEG16" s="252"/>
      <c r="AEH16" s="252"/>
      <c r="AEI16" s="252"/>
      <c r="AEJ16" s="252"/>
      <c r="AEK16" s="252"/>
      <c r="AEL16" s="252"/>
      <c r="AEM16" s="252"/>
      <c r="AEN16" s="252"/>
      <c r="AEO16" s="252"/>
      <c r="AEP16" s="252"/>
      <c r="AEQ16" s="252"/>
      <c r="AER16" s="252"/>
      <c r="AES16" s="252"/>
      <c r="AET16" s="252"/>
      <c r="AEU16" s="252"/>
      <c r="AEV16" s="252"/>
      <c r="AEW16" s="252"/>
      <c r="AEX16" s="252"/>
      <c r="AEY16" s="252"/>
      <c r="AEZ16" s="252"/>
      <c r="AFA16" s="252"/>
      <c r="AFB16" s="252"/>
      <c r="AFC16" s="252"/>
      <c r="AFD16" s="252"/>
      <c r="AFE16" s="252"/>
      <c r="AFF16" s="252"/>
      <c r="AFG16" s="252"/>
      <c r="AFH16" s="252"/>
      <c r="AFI16" s="252"/>
      <c r="AFJ16" s="252"/>
      <c r="AFK16" s="252"/>
      <c r="AFL16" s="252"/>
      <c r="AFM16" s="252"/>
      <c r="AFN16" s="252"/>
      <c r="AFO16" s="252"/>
      <c r="AFP16" s="252"/>
      <c r="AFQ16" s="252"/>
      <c r="AFR16" s="252"/>
      <c r="AFS16" s="252"/>
      <c r="AFT16" s="252"/>
      <c r="AFU16" s="252"/>
      <c r="AFV16" s="252"/>
      <c r="AFW16" s="252"/>
      <c r="AFX16" s="252"/>
      <c r="AFY16" s="252"/>
      <c r="AFZ16" s="252"/>
      <c r="AGA16" s="252"/>
      <c r="AGB16" s="252"/>
      <c r="AGC16" s="252"/>
      <c r="AGD16" s="252"/>
      <c r="AGE16" s="252"/>
      <c r="AGF16" s="252"/>
      <c r="AGG16" s="252"/>
      <c r="AGH16" s="252"/>
      <c r="AGI16" s="252"/>
      <c r="AGJ16" s="252"/>
      <c r="AGK16" s="252"/>
      <c r="AGL16" s="252"/>
      <c r="AGM16" s="252"/>
      <c r="AGN16" s="252"/>
      <c r="AGO16" s="252"/>
      <c r="AGP16" s="252"/>
      <c r="AGQ16" s="252"/>
      <c r="AGR16" s="252"/>
      <c r="AGS16" s="252"/>
      <c r="AGT16" s="252"/>
      <c r="AGU16" s="252"/>
      <c r="AGV16" s="252"/>
      <c r="AGW16" s="252"/>
      <c r="AGX16" s="252"/>
      <c r="AGY16" s="252"/>
      <c r="AGZ16" s="252"/>
      <c r="AHA16" s="252"/>
      <c r="AHB16" s="252"/>
      <c r="AHC16" s="252"/>
      <c r="AHD16" s="252"/>
      <c r="AHE16" s="252"/>
      <c r="AHF16" s="252"/>
      <c r="AHG16" s="252"/>
      <c r="AHH16" s="252"/>
      <c r="AHI16" s="252"/>
      <c r="AHJ16" s="252"/>
      <c r="AHK16" s="252"/>
      <c r="AHL16" s="252"/>
      <c r="AHM16" s="252"/>
      <c r="AHN16" s="252"/>
      <c r="AHO16" s="252"/>
      <c r="AHP16" s="252"/>
      <c r="AHQ16" s="252"/>
      <c r="AHR16" s="252"/>
      <c r="AHS16" s="252"/>
      <c r="AHT16" s="252"/>
      <c r="AHU16" s="252"/>
      <c r="AHV16" s="252"/>
      <c r="AHW16" s="252"/>
      <c r="AHX16" s="252"/>
      <c r="AHY16" s="252"/>
      <c r="AHZ16" s="252"/>
      <c r="AIA16" s="252"/>
      <c r="AIB16" s="252"/>
      <c r="AIC16" s="252"/>
      <c r="AID16" s="252"/>
      <c r="AIE16" s="252"/>
      <c r="AIF16" s="252"/>
      <c r="AIG16" s="252"/>
      <c r="AIH16" s="252"/>
      <c r="AII16" s="252"/>
      <c r="AIJ16" s="252"/>
      <c r="AIK16" s="252"/>
      <c r="AIL16" s="252"/>
      <c r="AIM16" s="252"/>
      <c r="AIN16" s="252"/>
      <c r="AIO16" s="252"/>
      <c r="AIP16" s="252"/>
      <c r="AIQ16" s="252"/>
      <c r="AIR16" s="252"/>
      <c r="AIS16" s="252"/>
      <c r="AIT16" s="252"/>
      <c r="AIU16" s="252"/>
      <c r="AIV16" s="252"/>
      <c r="AIW16" s="252"/>
      <c r="AIX16" s="252"/>
      <c r="AIY16" s="252"/>
      <c r="AIZ16" s="252"/>
      <c r="AJA16" s="252"/>
      <c r="AJB16" s="252"/>
      <c r="AJC16" s="252"/>
      <c r="AJD16" s="252"/>
      <c r="AJE16" s="252"/>
      <c r="AJF16" s="252"/>
      <c r="AJG16" s="252"/>
      <c r="AJH16" s="252"/>
      <c r="AJI16" s="252"/>
      <c r="AJJ16" s="252"/>
      <c r="AJK16" s="252"/>
      <c r="AJL16" s="252"/>
      <c r="AJM16" s="252"/>
      <c r="AJN16" s="252"/>
      <c r="AJO16" s="252"/>
      <c r="AJP16" s="252"/>
      <c r="AJQ16" s="252"/>
      <c r="AJR16" s="252"/>
      <c r="AJS16" s="252"/>
      <c r="AJT16" s="252"/>
      <c r="AJU16" s="252"/>
      <c r="AJV16" s="252"/>
      <c r="AJW16" s="252"/>
      <c r="AJX16" s="252"/>
      <c r="AJY16" s="252"/>
      <c r="AJZ16" s="252"/>
      <c r="AKA16" s="252"/>
      <c r="AKB16" s="252"/>
      <c r="AKC16" s="252"/>
      <c r="AKD16" s="252"/>
      <c r="AKE16" s="252"/>
      <c r="AKF16" s="252"/>
      <c r="AKG16" s="252"/>
      <c r="AKH16" s="252"/>
      <c r="AKI16" s="252"/>
      <c r="AKJ16" s="252"/>
      <c r="AKK16" s="252"/>
      <c r="AKL16" s="252"/>
      <c r="AKM16" s="252"/>
      <c r="AKN16" s="252"/>
      <c r="AKO16" s="252"/>
      <c r="AKP16" s="252"/>
      <c r="AKQ16" s="252"/>
      <c r="AKR16" s="252"/>
      <c r="AKS16" s="252"/>
      <c r="AKT16" s="252"/>
      <c r="AKU16" s="252"/>
      <c r="AKV16" s="252"/>
      <c r="AKW16" s="252"/>
      <c r="AKX16" s="252"/>
      <c r="AKY16" s="252"/>
      <c r="AKZ16" s="252"/>
      <c r="ALA16" s="252"/>
      <c r="ALB16" s="252"/>
      <c r="ALC16" s="252"/>
      <c r="ALD16" s="252"/>
      <c r="ALE16" s="252"/>
      <c r="ALF16" s="252"/>
      <c r="ALG16" s="252"/>
      <c r="ALH16" s="252"/>
      <c r="ALI16" s="252"/>
      <c r="ALJ16" s="252"/>
      <c r="ALK16" s="252"/>
      <c r="ALL16" s="252"/>
      <c r="ALM16" s="252"/>
      <c r="ALN16" s="252"/>
      <c r="ALO16" s="252"/>
      <c r="ALP16" s="252"/>
      <c r="ALQ16" s="252"/>
      <c r="ALR16" s="252"/>
      <c r="ALS16" s="252"/>
    </row>
    <row r="17" spans="1:1007" s="3" customFormat="1" x14ac:dyDescent="0.2">
      <c r="A17" s="369" t="s">
        <v>300</v>
      </c>
      <c r="B17" s="382"/>
      <c r="C17" s="382"/>
      <c r="D17" s="382">
        <v>11600</v>
      </c>
      <c r="E17" s="733"/>
      <c r="F17" s="730"/>
      <c r="G17" s="730"/>
      <c r="H17" s="369"/>
      <c r="I17" s="730"/>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2"/>
      <c r="AM17" s="252"/>
      <c r="AN17" s="252"/>
      <c r="AO17" s="252"/>
      <c r="AP17" s="252"/>
      <c r="AQ17" s="252"/>
      <c r="AR17" s="252"/>
      <c r="AS17" s="252"/>
      <c r="AT17" s="252"/>
      <c r="AU17" s="252"/>
      <c r="AV17" s="252"/>
      <c r="AW17" s="252"/>
      <c r="AX17" s="252"/>
      <c r="AY17" s="252"/>
      <c r="AZ17" s="252"/>
      <c r="BA17" s="252"/>
      <c r="BB17" s="252"/>
      <c r="BC17" s="252"/>
      <c r="BD17" s="252"/>
      <c r="BE17" s="252"/>
      <c r="BF17" s="252"/>
      <c r="BG17" s="252"/>
      <c r="BH17" s="252"/>
      <c r="BI17" s="252"/>
      <c r="BJ17" s="252"/>
      <c r="BK17" s="252"/>
      <c r="BL17" s="252"/>
      <c r="BM17" s="252"/>
      <c r="BN17" s="252"/>
      <c r="BO17" s="252"/>
      <c r="BP17" s="252"/>
      <c r="BQ17" s="252"/>
      <c r="BR17" s="252"/>
      <c r="BS17" s="252"/>
      <c r="BT17" s="252"/>
      <c r="BU17" s="252"/>
      <c r="BV17" s="252"/>
      <c r="BW17" s="252"/>
      <c r="BX17" s="252"/>
      <c r="BY17" s="252"/>
      <c r="BZ17" s="252"/>
      <c r="CA17" s="252"/>
      <c r="CB17" s="252"/>
      <c r="CC17" s="252"/>
      <c r="CD17" s="252"/>
      <c r="CE17" s="252"/>
      <c r="CF17" s="252"/>
      <c r="CG17" s="252"/>
      <c r="CH17" s="252"/>
      <c r="CI17" s="252"/>
      <c r="CJ17" s="252"/>
      <c r="CK17" s="252"/>
      <c r="CL17" s="252"/>
      <c r="CM17" s="252"/>
      <c r="CN17" s="252"/>
      <c r="CO17" s="252"/>
      <c r="CP17" s="252"/>
      <c r="CQ17" s="252"/>
      <c r="CR17" s="252"/>
      <c r="CS17" s="252"/>
      <c r="CT17" s="252"/>
      <c r="CU17" s="252"/>
      <c r="CV17" s="252"/>
      <c r="CW17" s="252"/>
      <c r="CX17" s="252"/>
      <c r="CY17" s="252"/>
      <c r="CZ17" s="252"/>
      <c r="DA17" s="252"/>
      <c r="DB17" s="252"/>
      <c r="DC17" s="252"/>
      <c r="DD17" s="252"/>
      <c r="DE17" s="252"/>
      <c r="DF17" s="252"/>
      <c r="DG17" s="252"/>
      <c r="DH17" s="252"/>
      <c r="DI17" s="252"/>
      <c r="DJ17" s="252"/>
      <c r="DK17" s="252"/>
      <c r="DL17" s="252"/>
      <c r="DM17" s="252"/>
      <c r="DN17" s="252"/>
      <c r="DO17" s="252"/>
      <c r="DP17" s="252"/>
      <c r="DQ17" s="252"/>
      <c r="DR17" s="252"/>
      <c r="DS17" s="252"/>
      <c r="DT17" s="252"/>
      <c r="DU17" s="252"/>
      <c r="DV17" s="252"/>
      <c r="DW17" s="252"/>
      <c r="DX17" s="252"/>
      <c r="DY17" s="252"/>
      <c r="DZ17" s="252"/>
      <c r="EA17" s="252"/>
      <c r="EB17" s="252"/>
      <c r="EC17" s="252"/>
      <c r="ED17" s="252"/>
      <c r="EE17" s="252"/>
      <c r="EF17" s="252"/>
      <c r="EG17" s="252"/>
      <c r="EH17" s="252"/>
      <c r="EI17" s="252"/>
      <c r="EJ17" s="252"/>
      <c r="EK17" s="252"/>
      <c r="EL17" s="252"/>
      <c r="EM17" s="252"/>
      <c r="EN17" s="252"/>
      <c r="EO17" s="252"/>
      <c r="EP17" s="252"/>
      <c r="EQ17" s="252"/>
      <c r="ER17" s="252"/>
      <c r="ES17" s="252"/>
      <c r="ET17" s="252"/>
      <c r="EU17" s="252"/>
      <c r="EV17" s="252"/>
      <c r="EW17" s="252"/>
      <c r="EX17" s="252"/>
      <c r="EY17" s="252"/>
      <c r="EZ17" s="252"/>
      <c r="FA17" s="252"/>
      <c r="FB17" s="252"/>
      <c r="FC17" s="252"/>
      <c r="FD17" s="252"/>
      <c r="FE17" s="252"/>
      <c r="FF17" s="252"/>
      <c r="FG17" s="252"/>
      <c r="FH17" s="252"/>
      <c r="FI17" s="252"/>
      <c r="FJ17" s="252"/>
      <c r="FK17" s="252"/>
      <c r="FL17" s="252"/>
      <c r="FM17" s="252"/>
      <c r="FN17" s="252"/>
      <c r="FO17" s="252"/>
      <c r="FP17" s="252"/>
      <c r="FQ17" s="252"/>
      <c r="FR17" s="252"/>
      <c r="FS17" s="252"/>
      <c r="FT17" s="252"/>
      <c r="FU17" s="252"/>
      <c r="FV17" s="252"/>
      <c r="FW17" s="252"/>
      <c r="FX17" s="252"/>
      <c r="FY17" s="252"/>
      <c r="FZ17" s="252"/>
      <c r="GA17" s="252"/>
      <c r="GB17" s="252"/>
      <c r="GC17" s="252"/>
      <c r="GD17" s="252"/>
      <c r="GE17" s="252"/>
      <c r="GF17" s="252"/>
      <c r="GG17" s="252"/>
      <c r="GH17" s="252"/>
      <c r="GI17" s="252"/>
      <c r="GJ17" s="252"/>
      <c r="GK17" s="252"/>
      <c r="GL17" s="252"/>
      <c r="GM17" s="252"/>
      <c r="GN17" s="252"/>
      <c r="GO17" s="252"/>
      <c r="GP17" s="252"/>
      <c r="GQ17" s="252"/>
      <c r="GR17" s="252"/>
      <c r="GS17" s="252"/>
      <c r="GT17" s="252"/>
      <c r="GU17" s="252"/>
      <c r="GV17" s="252"/>
      <c r="GW17" s="252"/>
      <c r="GX17" s="252"/>
      <c r="GY17" s="252"/>
      <c r="GZ17" s="252"/>
      <c r="HA17" s="252"/>
      <c r="HB17" s="252"/>
      <c r="HC17" s="252"/>
      <c r="HD17" s="252"/>
      <c r="HE17" s="252"/>
      <c r="HF17" s="252"/>
      <c r="HG17" s="252"/>
      <c r="HH17" s="252"/>
      <c r="HI17" s="252"/>
      <c r="HJ17" s="252"/>
      <c r="HK17" s="252"/>
      <c r="HL17" s="252"/>
      <c r="HM17" s="252"/>
      <c r="HN17" s="252"/>
      <c r="HO17" s="252"/>
      <c r="HP17" s="252"/>
      <c r="HQ17" s="252"/>
      <c r="HR17" s="252"/>
      <c r="HS17" s="252"/>
      <c r="HT17" s="252"/>
      <c r="HU17" s="252"/>
      <c r="HV17" s="252"/>
      <c r="HW17" s="252"/>
      <c r="HX17" s="252"/>
      <c r="HY17" s="252"/>
      <c r="HZ17" s="252"/>
      <c r="IA17" s="252"/>
      <c r="IB17" s="252"/>
      <c r="IC17" s="252"/>
      <c r="ID17" s="252"/>
      <c r="IE17" s="252"/>
      <c r="IF17" s="252"/>
      <c r="IG17" s="252"/>
      <c r="IH17" s="252"/>
      <c r="II17" s="252"/>
      <c r="IJ17" s="252"/>
      <c r="IK17" s="252"/>
      <c r="IL17" s="252"/>
      <c r="IM17" s="252"/>
      <c r="IN17" s="252"/>
      <c r="IO17" s="252"/>
      <c r="IP17" s="252"/>
      <c r="IQ17" s="252"/>
      <c r="IR17" s="252"/>
      <c r="IS17" s="252"/>
      <c r="IT17" s="252"/>
      <c r="IU17" s="252"/>
      <c r="IV17" s="252"/>
      <c r="IW17" s="252"/>
      <c r="IX17" s="252"/>
      <c r="IY17" s="252"/>
      <c r="IZ17" s="252"/>
      <c r="JA17" s="252"/>
      <c r="JB17" s="252"/>
      <c r="JC17" s="252"/>
      <c r="JD17" s="252"/>
      <c r="JE17" s="252"/>
      <c r="JF17" s="252"/>
      <c r="JG17" s="252"/>
      <c r="JH17" s="252"/>
      <c r="JI17" s="252"/>
      <c r="JJ17" s="252"/>
      <c r="JK17" s="252"/>
      <c r="JL17" s="252"/>
      <c r="JM17" s="252"/>
      <c r="JN17" s="252"/>
      <c r="JO17" s="252"/>
      <c r="JP17" s="252"/>
      <c r="JQ17" s="252"/>
      <c r="JR17" s="252"/>
      <c r="JS17" s="252"/>
      <c r="JT17" s="252"/>
      <c r="JU17" s="252"/>
      <c r="JV17" s="252"/>
      <c r="JW17" s="252"/>
      <c r="JX17" s="252"/>
      <c r="JY17" s="252"/>
      <c r="JZ17" s="252"/>
      <c r="KA17" s="252"/>
      <c r="KB17" s="252"/>
      <c r="KC17" s="252"/>
      <c r="KD17" s="252"/>
      <c r="KE17" s="252"/>
      <c r="KF17" s="252"/>
      <c r="KG17" s="252"/>
      <c r="KH17" s="252"/>
      <c r="KI17" s="252"/>
      <c r="KJ17" s="252"/>
      <c r="KK17" s="252"/>
      <c r="KL17" s="252"/>
      <c r="KM17" s="252"/>
      <c r="KN17" s="252"/>
      <c r="KO17" s="252"/>
      <c r="KP17" s="252"/>
      <c r="KQ17" s="252"/>
      <c r="KR17" s="252"/>
      <c r="KS17" s="252"/>
      <c r="KT17" s="252"/>
      <c r="KU17" s="252"/>
      <c r="KV17" s="252"/>
      <c r="KW17" s="252"/>
      <c r="KX17" s="252"/>
      <c r="KY17" s="252"/>
      <c r="KZ17" s="252"/>
      <c r="LA17" s="252"/>
      <c r="LB17" s="252"/>
      <c r="LC17" s="252"/>
      <c r="LD17" s="252"/>
      <c r="LE17" s="252"/>
      <c r="LF17" s="252"/>
      <c r="LG17" s="252"/>
      <c r="LH17" s="252"/>
      <c r="LI17" s="252"/>
      <c r="LJ17" s="252"/>
      <c r="LK17" s="252"/>
      <c r="LL17" s="252"/>
      <c r="LM17" s="252"/>
      <c r="LN17" s="252"/>
      <c r="LO17" s="252"/>
      <c r="LP17" s="252"/>
      <c r="LQ17" s="252"/>
      <c r="LR17" s="252"/>
      <c r="LS17" s="252"/>
      <c r="LT17" s="252"/>
      <c r="LU17" s="252"/>
      <c r="LV17" s="252"/>
      <c r="LW17" s="252"/>
      <c r="LX17" s="252"/>
      <c r="LY17" s="252"/>
      <c r="LZ17" s="252"/>
      <c r="MA17" s="252"/>
      <c r="MB17" s="252"/>
      <c r="MC17" s="252"/>
      <c r="MD17" s="252"/>
      <c r="ME17" s="252"/>
      <c r="MF17" s="252"/>
      <c r="MG17" s="252"/>
      <c r="MH17" s="252"/>
      <c r="MI17" s="252"/>
      <c r="MJ17" s="252"/>
      <c r="MK17" s="252"/>
      <c r="ML17" s="252"/>
      <c r="MM17" s="252"/>
      <c r="MN17" s="252"/>
      <c r="MO17" s="252"/>
      <c r="MP17" s="252"/>
      <c r="MQ17" s="252"/>
      <c r="MR17" s="252"/>
      <c r="MS17" s="252"/>
      <c r="MT17" s="252"/>
      <c r="MU17" s="252"/>
      <c r="MV17" s="252"/>
      <c r="MW17" s="252"/>
      <c r="MX17" s="252"/>
      <c r="MY17" s="252"/>
      <c r="MZ17" s="252"/>
      <c r="NA17" s="252"/>
      <c r="NB17" s="252"/>
      <c r="NC17" s="252"/>
      <c r="ND17" s="252"/>
      <c r="NE17" s="252"/>
      <c r="NF17" s="252"/>
      <c r="NG17" s="252"/>
      <c r="NH17" s="252"/>
      <c r="NI17" s="252"/>
      <c r="NJ17" s="252"/>
      <c r="NK17" s="252"/>
      <c r="NL17" s="252"/>
      <c r="NM17" s="252"/>
      <c r="NN17" s="252"/>
      <c r="NO17" s="252"/>
      <c r="NP17" s="252"/>
      <c r="NQ17" s="252"/>
      <c r="NR17" s="252"/>
      <c r="NS17" s="252"/>
      <c r="NT17" s="252"/>
      <c r="NU17" s="252"/>
      <c r="NV17" s="252"/>
      <c r="NW17" s="252"/>
      <c r="NX17" s="252"/>
      <c r="NY17" s="252"/>
      <c r="NZ17" s="252"/>
      <c r="OA17" s="252"/>
      <c r="OB17" s="252"/>
      <c r="OC17" s="252"/>
      <c r="OD17" s="252"/>
      <c r="OE17" s="252"/>
      <c r="OF17" s="252"/>
      <c r="OG17" s="252"/>
      <c r="OH17" s="252"/>
      <c r="OI17" s="252"/>
      <c r="OJ17" s="252"/>
      <c r="OK17" s="252"/>
      <c r="OL17" s="252"/>
      <c r="OM17" s="252"/>
      <c r="ON17" s="252"/>
      <c r="OO17" s="252"/>
      <c r="OP17" s="252"/>
      <c r="OQ17" s="252"/>
      <c r="OR17" s="252"/>
      <c r="OS17" s="252"/>
      <c r="OT17" s="252"/>
      <c r="OU17" s="252"/>
      <c r="OV17" s="252"/>
      <c r="OW17" s="252"/>
      <c r="OX17" s="252"/>
      <c r="OY17" s="252"/>
      <c r="OZ17" s="252"/>
      <c r="PA17" s="252"/>
      <c r="PB17" s="252"/>
      <c r="PC17" s="252"/>
      <c r="PD17" s="252"/>
      <c r="PE17" s="252"/>
      <c r="PF17" s="252"/>
      <c r="PG17" s="252"/>
      <c r="PH17" s="252"/>
      <c r="PI17" s="252"/>
      <c r="PJ17" s="252"/>
      <c r="PK17" s="252"/>
      <c r="PL17" s="252"/>
      <c r="PM17" s="252"/>
      <c r="PN17" s="252"/>
      <c r="PO17" s="252"/>
      <c r="PP17" s="252"/>
      <c r="PQ17" s="252"/>
      <c r="PR17" s="252"/>
      <c r="PS17" s="252"/>
      <c r="PT17" s="252"/>
      <c r="PU17" s="252"/>
      <c r="PV17" s="252"/>
      <c r="PW17" s="252"/>
      <c r="PX17" s="252"/>
      <c r="PY17" s="252"/>
      <c r="PZ17" s="252"/>
      <c r="QA17" s="252"/>
      <c r="QB17" s="252"/>
      <c r="QC17" s="252"/>
      <c r="QD17" s="252"/>
      <c r="QE17" s="252"/>
      <c r="QF17" s="252"/>
      <c r="QG17" s="252"/>
      <c r="QH17" s="252"/>
      <c r="QI17" s="252"/>
      <c r="QJ17" s="252"/>
      <c r="QK17" s="252"/>
      <c r="QL17" s="252"/>
      <c r="QM17" s="252"/>
      <c r="QN17" s="252"/>
      <c r="QO17" s="252"/>
      <c r="QP17" s="252"/>
      <c r="QQ17" s="252"/>
      <c r="QR17" s="252"/>
      <c r="QS17" s="252"/>
      <c r="QT17" s="252"/>
      <c r="QU17" s="252"/>
      <c r="QV17" s="252"/>
      <c r="QW17" s="252"/>
      <c r="QX17" s="252"/>
      <c r="QY17" s="252"/>
      <c r="QZ17" s="252"/>
      <c r="RA17" s="252"/>
      <c r="RB17" s="252"/>
      <c r="RC17" s="252"/>
      <c r="RD17" s="252"/>
      <c r="RE17" s="252"/>
      <c r="RF17" s="252"/>
      <c r="RG17" s="252"/>
      <c r="RH17" s="252"/>
      <c r="RI17" s="252"/>
      <c r="RJ17" s="252"/>
      <c r="RK17" s="252"/>
      <c r="RL17" s="252"/>
      <c r="RM17" s="252"/>
      <c r="RN17" s="252"/>
      <c r="RO17" s="252"/>
      <c r="RP17" s="252"/>
      <c r="RQ17" s="252"/>
      <c r="RR17" s="252"/>
      <c r="RS17" s="252"/>
      <c r="RT17" s="252"/>
      <c r="RU17" s="252"/>
      <c r="RV17" s="252"/>
      <c r="RW17" s="252"/>
      <c r="RX17" s="252"/>
      <c r="RY17" s="252"/>
      <c r="RZ17" s="252"/>
      <c r="SA17" s="252"/>
      <c r="SB17" s="252"/>
      <c r="SC17" s="252"/>
      <c r="SD17" s="252"/>
      <c r="SE17" s="252"/>
      <c r="SF17" s="252"/>
      <c r="SG17" s="252"/>
      <c r="SH17" s="252"/>
      <c r="SI17" s="252"/>
      <c r="SJ17" s="252"/>
      <c r="SK17" s="252"/>
      <c r="SL17" s="252"/>
      <c r="SM17" s="252"/>
      <c r="SN17" s="252"/>
      <c r="SO17" s="252"/>
      <c r="SP17" s="252"/>
      <c r="SQ17" s="252"/>
      <c r="SR17" s="252"/>
      <c r="SS17" s="252"/>
      <c r="ST17" s="252"/>
      <c r="SU17" s="252"/>
      <c r="SV17" s="252"/>
      <c r="SW17" s="252"/>
      <c r="SX17" s="252"/>
      <c r="SY17" s="252"/>
      <c r="SZ17" s="252"/>
      <c r="TA17" s="252"/>
      <c r="TB17" s="252"/>
      <c r="TC17" s="252"/>
      <c r="TD17" s="252"/>
      <c r="TE17" s="252"/>
      <c r="TF17" s="252"/>
      <c r="TG17" s="252"/>
      <c r="TH17" s="252"/>
      <c r="TI17" s="252"/>
      <c r="TJ17" s="252"/>
      <c r="TK17" s="252"/>
      <c r="TL17" s="252"/>
      <c r="TM17" s="252"/>
      <c r="TN17" s="252"/>
      <c r="TO17" s="252"/>
      <c r="TP17" s="252"/>
      <c r="TQ17" s="252"/>
      <c r="TR17" s="252"/>
      <c r="TS17" s="252"/>
      <c r="TT17" s="252"/>
      <c r="TU17" s="252"/>
      <c r="TV17" s="252"/>
      <c r="TW17" s="252"/>
      <c r="TX17" s="252"/>
      <c r="TY17" s="252"/>
      <c r="TZ17" s="252"/>
      <c r="UA17" s="252"/>
      <c r="UB17" s="252"/>
      <c r="UC17" s="252"/>
      <c r="UD17" s="252"/>
      <c r="UE17" s="252"/>
      <c r="UF17" s="252"/>
      <c r="UG17" s="252"/>
      <c r="UH17" s="252"/>
      <c r="UI17" s="252"/>
      <c r="UJ17" s="252"/>
      <c r="UK17" s="252"/>
      <c r="UL17" s="252"/>
      <c r="UM17" s="252"/>
      <c r="UN17" s="252"/>
      <c r="UO17" s="252"/>
      <c r="UP17" s="252"/>
      <c r="UQ17" s="252"/>
      <c r="UR17" s="252"/>
      <c r="US17" s="252"/>
      <c r="UT17" s="252"/>
      <c r="UU17" s="252"/>
      <c r="UV17" s="252"/>
      <c r="UW17" s="252"/>
      <c r="UX17" s="252"/>
      <c r="UY17" s="252"/>
      <c r="UZ17" s="252"/>
      <c r="VA17" s="252"/>
      <c r="VB17" s="252"/>
      <c r="VC17" s="252"/>
      <c r="VD17" s="252"/>
      <c r="VE17" s="252"/>
      <c r="VF17" s="252"/>
      <c r="VG17" s="252"/>
      <c r="VH17" s="252"/>
      <c r="VI17" s="252"/>
      <c r="VJ17" s="252"/>
      <c r="VK17" s="252"/>
      <c r="VL17" s="252"/>
      <c r="VM17" s="252"/>
      <c r="VN17" s="252"/>
      <c r="VO17" s="252"/>
      <c r="VP17" s="252"/>
      <c r="VQ17" s="252"/>
      <c r="VR17" s="252"/>
      <c r="VS17" s="252"/>
      <c r="VT17" s="252"/>
      <c r="VU17" s="252"/>
      <c r="VV17" s="252"/>
      <c r="VW17" s="252"/>
      <c r="VX17" s="252"/>
      <c r="VY17" s="252"/>
      <c r="VZ17" s="252"/>
      <c r="WA17" s="252"/>
      <c r="WB17" s="252"/>
      <c r="WC17" s="252"/>
      <c r="WD17" s="252"/>
      <c r="WE17" s="252"/>
      <c r="WF17" s="252"/>
      <c r="WG17" s="252"/>
      <c r="WH17" s="252"/>
      <c r="WI17" s="252"/>
      <c r="WJ17" s="252"/>
      <c r="WK17" s="252"/>
      <c r="WL17" s="252"/>
      <c r="WM17" s="252"/>
      <c r="WN17" s="252"/>
      <c r="WO17" s="252"/>
      <c r="WP17" s="252"/>
      <c r="WQ17" s="252"/>
      <c r="WR17" s="252"/>
      <c r="WS17" s="252"/>
      <c r="WT17" s="252"/>
      <c r="WU17" s="252"/>
      <c r="WV17" s="252"/>
      <c r="WW17" s="252"/>
      <c r="WX17" s="252"/>
      <c r="WY17" s="252"/>
      <c r="WZ17" s="252"/>
      <c r="XA17" s="252"/>
      <c r="XB17" s="252"/>
      <c r="XC17" s="252"/>
      <c r="XD17" s="252"/>
      <c r="XE17" s="252"/>
      <c r="XF17" s="252"/>
      <c r="XG17" s="252"/>
      <c r="XH17" s="252"/>
      <c r="XI17" s="252"/>
      <c r="XJ17" s="252"/>
      <c r="XK17" s="252"/>
      <c r="XL17" s="252"/>
      <c r="XM17" s="252"/>
      <c r="XN17" s="252"/>
      <c r="XO17" s="252"/>
      <c r="XP17" s="252"/>
      <c r="XQ17" s="252"/>
      <c r="XR17" s="252"/>
      <c r="XS17" s="252"/>
      <c r="XT17" s="252"/>
      <c r="XU17" s="252"/>
      <c r="XV17" s="252"/>
      <c r="XW17" s="252"/>
      <c r="XX17" s="252"/>
      <c r="XY17" s="252"/>
      <c r="XZ17" s="252"/>
      <c r="YA17" s="252"/>
      <c r="YB17" s="252"/>
      <c r="YC17" s="252"/>
      <c r="YD17" s="252"/>
      <c r="YE17" s="252"/>
      <c r="YF17" s="252"/>
      <c r="YG17" s="252"/>
      <c r="YH17" s="252"/>
      <c r="YI17" s="252"/>
      <c r="YJ17" s="252"/>
      <c r="YK17" s="252"/>
      <c r="YL17" s="252"/>
      <c r="YM17" s="252"/>
      <c r="YN17" s="252"/>
      <c r="YO17" s="252"/>
      <c r="YP17" s="252"/>
      <c r="YQ17" s="252"/>
      <c r="YR17" s="252"/>
      <c r="YS17" s="252"/>
      <c r="YT17" s="252"/>
      <c r="YU17" s="252"/>
      <c r="YV17" s="252"/>
      <c r="YW17" s="252"/>
      <c r="YX17" s="252"/>
      <c r="YY17" s="252"/>
      <c r="YZ17" s="252"/>
      <c r="ZA17" s="252"/>
      <c r="ZB17" s="252"/>
      <c r="ZC17" s="252"/>
      <c r="ZD17" s="252"/>
      <c r="ZE17" s="252"/>
      <c r="ZF17" s="252"/>
      <c r="ZG17" s="252"/>
      <c r="ZH17" s="252"/>
      <c r="ZI17" s="252"/>
      <c r="ZJ17" s="252"/>
      <c r="ZK17" s="252"/>
      <c r="ZL17" s="252"/>
      <c r="ZM17" s="252"/>
      <c r="ZN17" s="252"/>
      <c r="ZO17" s="252"/>
      <c r="ZP17" s="252"/>
      <c r="ZQ17" s="252"/>
      <c r="ZR17" s="252"/>
      <c r="ZS17" s="252"/>
      <c r="ZT17" s="252"/>
      <c r="ZU17" s="252"/>
      <c r="ZV17" s="252"/>
      <c r="ZW17" s="252"/>
      <c r="ZX17" s="252"/>
      <c r="ZY17" s="252"/>
      <c r="ZZ17" s="252"/>
      <c r="AAA17" s="252"/>
      <c r="AAB17" s="252"/>
      <c r="AAC17" s="252"/>
      <c r="AAD17" s="252"/>
      <c r="AAE17" s="252"/>
      <c r="AAF17" s="252"/>
      <c r="AAG17" s="252"/>
      <c r="AAH17" s="252"/>
      <c r="AAI17" s="252"/>
      <c r="AAJ17" s="252"/>
      <c r="AAK17" s="252"/>
      <c r="AAL17" s="252"/>
      <c r="AAM17" s="252"/>
      <c r="AAN17" s="252"/>
      <c r="AAO17" s="252"/>
      <c r="AAP17" s="252"/>
      <c r="AAQ17" s="252"/>
      <c r="AAR17" s="252"/>
      <c r="AAS17" s="252"/>
      <c r="AAT17" s="252"/>
      <c r="AAU17" s="252"/>
      <c r="AAV17" s="252"/>
      <c r="AAW17" s="252"/>
      <c r="AAX17" s="252"/>
      <c r="AAY17" s="252"/>
      <c r="AAZ17" s="252"/>
      <c r="ABA17" s="252"/>
      <c r="ABB17" s="252"/>
      <c r="ABC17" s="252"/>
      <c r="ABD17" s="252"/>
      <c r="ABE17" s="252"/>
      <c r="ABF17" s="252"/>
      <c r="ABG17" s="252"/>
      <c r="ABH17" s="252"/>
      <c r="ABI17" s="252"/>
      <c r="ABJ17" s="252"/>
      <c r="ABK17" s="252"/>
      <c r="ABL17" s="252"/>
      <c r="ABM17" s="252"/>
      <c r="ABN17" s="252"/>
      <c r="ABO17" s="252"/>
      <c r="ABP17" s="252"/>
      <c r="ABQ17" s="252"/>
      <c r="ABR17" s="252"/>
      <c r="ABS17" s="252"/>
      <c r="ABT17" s="252"/>
      <c r="ABU17" s="252"/>
      <c r="ABV17" s="252"/>
      <c r="ABW17" s="252"/>
      <c r="ABX17" s="252"/>
      <c r="ABY17" s="252"/>
      <c r="ABZ17" s="252"/>
      <c r="ACA17" s="252"/>
      <c r="ACB17" s="252"/>
      <c r="ACC17" s="252"/>
      <c r="ACD17" s="252"/>
      <c r="ACE17" s="252"/>
      <c r="ACF17" s="252"/>
      <c r="ACG17" s="252"/>
      <c r="ACH17" s="252"/>
      <c r="ACI17" s="252"/>
      <c r="ACJ17" s="252"/>
      <c r="ACK17" s="252"/>
      <c r="ACL17" s="252"/>
      <c r="ACM17" s="252"/>
      <c r="ACN17" s="252"/>
      <c r="ACO17" s="252"/>
      <c r="ACP17" s="252"/>
      <c r="ACQ17" s="252"/>
      <c r="ACR17" s="252"/>
      <c r="ACS17" s="252"/>
      <c r="ACT17" s="252"/>
      <c r="ACU17" s="252"/>
      <c r="ACV17" s="252"/>
      <c r="ACW17" s="252"/>
      <c r="ACX17" s="252"/>
      <c r="ACY17" s="252"/>
      <c r="ACZ17" s="252"/>
      <c r="ADA17" s="252"/>
      <c r="ADB17" s="252"/>
      <c r="ADC17" s="252"/>
      <c r="ADD17" s="252"/>
      <c r="ADE17" s="252"/>
      <c r="ADF17" s="252"/>
      <c r="ADG17" s="252"/>
      <c r="ADH17" s="252"/>
      <c r="ADI17" s="252"/>
      <c r="ADJ17" s="252"/>
      <c r="ADK17" s="252"/>
      <c r="ADL17" s="252"/>
      <c r="ADM17" s="252"/>
      <c r="ADN17" s="252"/>
      <c r="ADO17" s="252"/>
      <c r="ADP17" s="252"/>
      <c r="ADQ17" s="252"/>
      <c r="ADR17" s="252"/>
      <c r="ADS17" s="252"/>
      <c r="ADT17" s="252"/>
      <c r="ADU17" s="252"/>
      <c r="ADV17" s="252"/>
      <c r="ADW17" s="252"/>
      <c r="ADX17" s="252"/>
      <c r="ADY17" s="252"/>
      <c r="ADZ17" s="252"/>
      <c r="AEA17" s="252"/>
      <c r="AEB17" s="252"/>
      <c r="AEC17" s="252"/>
      <c r="AED17" s="252"/>
      <c r="AEE17" s="252"/>
      <c r="AEF17" s="252"/>
      <c r="AEG17" s="252"/>
      <c r="AEH17" s="252"/>
      <c r="AEI17" s="252"/>
      <c r="AEJ17" s="252"/>
      <c r="AEK17" s="252"/>
      <c r="AEL17" s="252"/>
      <c r="AEM17" s="252"/>
      <c r="AEN17" s="252"/>
      <c r="AEO17" s="252"/>
      <c r="AEP17" s="252"/>
      <c r="AEQ17" s="252"/>
      <c r="AER17" s="252"/>
      <c r="AES17" s="252"/>
      <c r="AET17" s="252"/>
      <c r="AEU17" s="252"/>
      <c r="AEV17" s="252"/>
      <c r="AEW17" s="252"/>
      <c r="AEX17" s="252"/>
      <c r="AEY17" s="252"/>
      <c r="AEZ17" s="252"/>
      <c r="AFA17" s="252"/>
      <c r="AFB17" s="252"/>
      <c r="AFC17" s="252"/>
      <c r="AFD17" s="252"/>
      <c r="AFE17" s="252"/>
      <c r="AFF17" s="252"/>
      <c r="AFG17" s="252"/>
      <c r="AFH17" s="252"/>
      <c r="AFI17" s="252"/>
      <c r="AFJ17" s="252"/>
      <c r="AFK17" s="252"/>
      <c r="AFL17" s="252"/>
      <c r="AFM17" s="252"/>
      <c r="AFN17" s="252"/>
      <c r="AFO17" s="252"/>
      <c r="AFP17" s="252"/>
      <c r="AFQ17" s="252"/>
      <c r="AFR17" s="252"/>
      <c r="AFS17" s="252"/>
      <c r="AFT17" s="252"/>
      <c r="AFU17" s="252"/>
      <c r="AFV17" s="252"/>
      <c r="AFW17" s="252"/>
      <c r="AFX17" s="252"/>
      <c r="AFY17" s="252"/>
      <c r="AFZ17" s="252"/>
      <c r="AGA17" s="252"/>
      <c r="AGB17" s="252"/>
      <c r="AGC17" s="252"/>
      <c r="AGD17" s="252"/>
      <c r="AGE17" s="252"/>
      <c r="AGF17" s="252"/>
      <c r="AGG17" s="252"/>
      <c r="AGH17" s="252"/>
      <c r="AGI17" s="252"/>
      <c r="AGJ17" s="252"/>
      <c r="AGK17" s="252"/>
      <c r="AGL17" s="252"/>
      <c r="AGM17" s="252"/>
      <c r="AGN17" s="252"/>
      <c r="AGO17" s="252"/>
      <c r="AGP17" s="252"/>
      <c r="AGQ17" s="252"/>
      <c r="AGR17" s="252"/>
      <c r="AGS17" s="252"/>
      <c r="AGT17" s="252"/>
      <c r="AGU17" s="252"/>
      <c r="AGV17" s="252"/>
      <c r="AGW17" s="252"/>
      <c r="AGX17" s="252"/>
      <c r="AGY17" s="252"/>
      <c r="AGZ17" s="252"/>
      <c r="AHA17" s="252"/>
      <c r="AHB17" s="252"/>
      <c r="AHC17" s="252"/>
      <c r="AHD17" s="252"/>
      <c r="AHE17" s="252"/>
      <c r="AHF17" s="252"/>
      <c r="AHG17" s="252"/>
      <c r="AHH17" s="252"/>
      <c r="AHI17" s="252"/>
      <c r="AHJ17" s="252"/>
      <c r="AHK17" s="252"/>
      <c r="AHL17" s="252"/>
      <c r="AHM17" s="252"/>
      <c r="AHN17" s="252"/>
      <c r="AHO17" s="252"/>
      <c r="AHP17" s="252"/>
      <c r="AHQ17" s="252"/>
      <c r="AHR17" s="252"/>
      <c r="AHS17" s="252"/>
      <c r="AHT17" s="252"/>
      <c r="AHU17" s="252"/>
      <c r="AHV17" s="252"/>
      <c r="AHW17" s="252"/>
      <c r="AHX17" s="252"/>
      <c r="AHY17" s="252"/>
      <c r="AHZ17" s="252"/>
      <c r="AIA17" s="252"/>
      <c r="AIB17" s="252"/>
      <c r="AIC17" s="252"/>
      <c r="AID17" s="252"/>
      <c r="AIE17" s="252"/>
      <c r="AIF17" s="252"/>
      <c r="AIG17" s="252"/>
      <c r="AIH17" s="252"/>
      <c r="AII17" s="252"/>
      <c r="AIJ17" s="252"/>
      <c r="AIK17" s="252"/>
      <c r="AIL17" s="252"/>
      <c r="AIM17" s="252"/>
      <c r="AIN17" s="252"/>
      <c r="AIO17" s="252"/>
      <c r="AIP17" s="252"/>
      <c r="AIQ17" s="252"/>
      <c r="AIR17" s="252"/>
      <c r="AIS17" s="252"/>
      <c r="AIT17" s="252"/>
      <c r="AIU17" s="252"/>
      <c r="AIV17" s="252"/>
      <c r="AIW17" s="252"/>
      <c r="AIX17" s="252"/>
      <c r="AIY17" s="252"/>
      <c r="AIZ17" s="252"/>
      <c r="AJA17" s="252"/>
      <c r="AJB17" s="252"/>
      <c r="AJC17" s="252"/>
      <c r="AJD17" s="252"/>
      <c r="AJE17" s="252"/>
      <c r="AJF17" s="252"/>
      <c r="AJG17" s="252"/>
      <c r="AJH17" s="252"/>
      <c r="AJI17" s="252"/>
      <c r="AJJ17" s="252"/>
      <c r="AJK17" s="252"/>
      <c r="AJL17" s="252"/>
      <c r="AJM17" s="252"/>
      <c r="AJN17" s="252"/>
      <c r="AJO17" s="252"/>
      <c r="AJP17" s="252"/>
      <c r="AJQ17" s="252"/>
      <c r="AJR17" s="252"/>
      <c r="AJS17" s="252"/>
      <c r="AJT17" s="252"/>
      <c r="AJU17" s="252"/>
      <c r="AJV17" s="252"/>
      <c r="AJW17" s="252"/>
      <c r="AJX17" s="252"/>
      <c r="AJY17" s="252"/>
      <c r="AJZ17" s="252"/>
      <c r="AKA17" s="252"/>
      <c r="AKB17" s="252"/>
      <c r="AKC17" s="252"/>
      <c r="AKD17" s="252"/>
      <c r="AKE17" s="252"/>
      <c r="AKF17" s="252"/>
      <c r="AKG17" s="252"/>
      <c r="AKH17" s="252"/>
      <c r="AKI17" s="252"/>
      <c r="AKJ17" s="252"/>
      <c r="AKK17" s="252"/>
      <c r="AKL17" s="252"/>
      <c r="AKM17" s="252"/>
      <c r="AKN17" s="252"/>
      <c r="AKO17" s="252"/>
      <c r="AKP17" s="252"/>
      <c r="AKQ17" s="252"/>
      <c r="AKR17" s="252"/>
      <c r="AKS17" s="252"/>
      <c r="AKT17" s="252"/>
      <c r="AKU17" s="252"/>
      <c r="AKV17" s="252"/>
      <c r="AKW17" s="252"/>
      <c r="AKX17" s="252"/>
      <c r="AKY17" s="252"/>
      <c r="AKZ17" s="252"/>
      <c r="ALA17" s="252"/>
      <c r="ALB17" s="252"/>
      <c r="ALC17" s="252"/>
      <c r="ALD17" s="252"/>
      <c r="ALE17" s="252"/>
      <c r="ALF17" s="252"/>
      <c r="ALG17" s="252"/>
      <c r="ALH17" s="252"/>
      <c r="ALI17" s="252"/>
      <c r="ALJ17" s="252"/>
      <c r="ALK17" s="252"/>
      <c r="ALL17" s="252"/>
      <c r="ALM17" s="252"/>
      <c r="ALN17" s="252"/>
      <c r="ALO17" s="252"/>
      <c r="ALP17" s="252"/>
      <c r="ALQ17" s="252"/>
      <c r="ALR17" s="252"/>
      <c r="ALS17" s="252"/>
    </row>
    <row r="18" spans="1:1007" s="3" customFormat="1" x14ac:dyDescent="0.2">
      <c r="A18" s="749" t="s">
        <v>529</v>
      </c>
      <c r="B18" s="382"/>
      <c r="C18" s="382"/>
      <c r="D18" s="382"/>
      <c r="E18" s="740">
        <v>13200</v>
      </c>
      <c r="F18" s="730"/>
      <c r="G18" s="730"/>
      <c r="H18" s="369"/>
      <c r="I18" s="730"/>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2"/>
      <c r="BA18" s="252"/>
      <c r="BB18" s="252"/>
      <c r="BC18" s="252"/>
      <c r="BD18" s="252"/>
      <c r="BE18" s="252"/>
      <c r="BF18" s="252"/>
      <c r="BG18" s="252"/>
      <c r="BH18" s="252"/>
      <c r="BI18" s="252"/>
      <c r="BJ18" s="252"/>
      <c r="BK18" s="252"/>
      <c r="BL18" s="252"/>
      <c r="BM18" s="252"/>
      <c r="BN18" s="252"/>
      <c r="BO18" s="252"/>
      <c r="BP18" s="252"/>
      <c r="BQ18" s="252"/>
      <c r="BR18" s="252"/>
      <c r="BS18" s="252"/>
      <c r="BT18" s="252"/>
      <c r="BU18" s="252"/>
      <c r="BV18" s="252"/>
      <c r="BW18" s="252"/>
      <c r="BX18" s="252"/>
      <c r="BY18" s="252"/>
      <c r="BZ18" s="252"/>
      <c r="CA18" s="252"/>
      <c r="CB18" s="252"/>
      <c r="CC18" s="252"/>
      <c r="CD18" s="252"/>
      <c r="CE18" s="252"/>
      <c r="CF18" s="252"/>
      <c r="CG18" s="252"/>
      <c r="CH18" s="252"/>
      <c r="CI18" s="252"/>
      <c r="CJ18" s="252"/>
      <c r="CK18" s="252"/>
      <c r="CL18" s="252"/>
      <c r="CM18" s="252"/>
      <c r="CN18" s="252"/>
      <c r="CO18" s="252"/>
      <c r="CP18" s="252"/>
      <c r="CQ18" s="252"/>
      <c r="CR18" s="252"/>
      <c r="CS18" s="252"/>
      <c r="CT18" s="252"/>
      <c r="CU18" s="252"/>
      <c r="CV18" s="252"/>
      <c r="CW18" s="252"/>
      <c r="CX18" s="252"/>
      <c r="CY18" s="252"/>
      <c r="CZ18" s="252"/>
      <c r="DA18" s="252"/>
      <c r="DB18" s="252"/>
      <c r="DC18" s="252"/>
      <c r="DD18" s="252"/>
      <c r="DE18" s="252"/>
      <c r="DF18" s="252"/>
      <c r="DG18" s="252"/>
      <c r="DH18" s="252"/>
      <c r="DI18" s="252"/>
      <c r="DJ18" s="252"/>
      <c r="DK18" s="252"/>
      <c r="DL18" s="252"/>
      <c r="DM18" s="252"/>
      <c r="DN18" s="252"/>
      <c r="DO18" s="252"/>
      <c r="DP18" s="252"/>
      <c r="DQ18" s="252"/>
      <c r="DR18" s="252"/>
      <c r="DS18" s="252"/>
      <c r="DT18" s="252"/>
      <c r="DU18" s="252"/>
      <c r="DV18" s="252"/>
      <c r="DW18" s="252"/>
      <c r="DX18" s="252"/>
      <c r="DY18" s="252"/>
      <c r="DZ18" s="252"/>
      <c r="EA18" s="252"/>
      <c r="EB18" s="252"/>
      <c r="EC18" s="252"/>
      <c r="ED18" s="252"/>
      <c r="EE18" s="252"/>
      <c r="EF18" s="252"/>
      <c r="EG18" s="252"/>
      <c r="EH18" s="252"/>
      <c r="EI18" s="252"/>
      <c r="EJ18" s="252"/>
      <c r="EK18" s="252"/>
      <c r="EL18" s="252"/>
      <c r="EM18" s="252"/>
      <c r="EN18" s="252"/>
      <c r="EO18" s="252"/>
      <c r="EP18" s="252"/>
      <c r="EQ18" s="252"/>
      <c r="ER18" s="252"/>
      <c r="ES18" s="252"/>
      <c r="ET18" s="252"/>
      <c r="EU18" s="252"/>
      <c r="EV18" s="252"/>
      <c r="EW18" s="252"/>
      <c r="EX18" s="252"/>
      <c r="EY18" s="252"/>
      <c r="EZ18" s="252"/>
      <c r="FA18" s="252"/>
      <c r="FB18" s="252"/>
      <c r="FC18" s="252"/>
      <c r="FD18" s="252"/>
      <c r="FE18" s="252"/>
      <c r="FF18" s="252"/>
      <c r="FG18" s="252"/>
      <c r="FH18" s="252"/>
      <c r="FI18" s="252"/>
      <c r="FJ18" s="252"/>
      <c r="FK18" s="252"/>
      <c r="FL18" s="252"/>
      <c r="FM18" s="252"/>
      <c r="FN18" s="252"/>
      <c r="FO18" s="252"/>
      <c r="FP18" s="252"/>
      <c r="FQ18" s="252"/>
      <c r="FR18" s="252"/>
      <c r="FS18" s="252"/>
      <c r="FT18" s="252"/>
      <c r="FU18" s="252"/>
      <c r="FV18" s="252"/>
      <c r="FW18" s="252"/>
      <c r="FX18" s="252"/>
      <c r="FY18" s="252"/>
      <c r="FZ18" s="252"/>
      <c r="GA18" s="252"/>
      <c r="GB18" s="252"/>
      <c r="GC18" s="252"/>
      <c r="GD18" s="252"/>
      <c r="GE18" s="252"/>
      <c r="GF18" s="252"/>
      <c r="GG18" s="252"/>
      <c r="GH18" s="252"/>
      <c r="GI18" s="252"/>
      <c r="GJ18" s="252"/>
      <c r="GK18" s="252"/>
      <c r="GL18" s="252"/>
      <c r="GM18" s="252"/>
      <c r="GN18" s="252"/>
      <c r="GO18" s="252"/>
      <c r="GP18" s="252"/>
      <c r="GQ18" s="252"/>
      <c r="GR18" s="252"/>
      <c r="GS18" s="252"/>
      <c r="GT18" s="252"/>
      <c r="GU18" s="252"/>
      <c r="GV18" s="252"/>
      <c r="GW18" s="252"/>
      <c r="GX18" s="252"/>
      <c r="GY18" s="252"/>
      <c r="GZ18" s="252"/>
      <c r="HA18" s="252"/>
      <c r="HB18" s="252"/>
      <c r="HC18" s="252"/>
      <c r="HD18" s="252"/>
      <c r="HE18" s="252"/>
      <c r="HF18" s="252"/>
      <c r="HG18" s="252"/>
      <c r="HH18" s="252"/>
      <c r="HI18" s="252"/>
      <c r="HJ18" s="252"/>
      <c r="HK18" s="252"/>
      <c r="HL18" s="252"/>
      <c r="HM18" s="252"/>
      <c r="HN18" s="252"/>
      <c r="HO18" s="252"/>
      <c r="HP18" s="252"/>
      <c r="HQ18" s="252"/>
      <c r="HR18" s="252"/>
      <c r="HS18" s="252"/>
      <c r="HT18" s="252"/>
      <c r="HU18" s="252"/>
      <c r="HV18" s="252"/>
      <c r="HW18" s="252"/>
      <c r="HX18" s="252"/>
      <c r="HY18" s="252"/>
      <c r="HZ18" s="252"/>
      <c r="IA18" s="252"/>
      <c r="IB18" s="252"/>
      <c r="IC18" s="252"/>
      <c r="ID18" s="252"/>
      <c r="IE18" s="252"/>
      <c r="IF18" s="252"/>
      <c r="IG18" s="252"/>
      <c r="IH18" s="252"/>
      <c r="II18" s="252"/>
      <c r="IJ18" s="252"/>
      <c r="IK18" s="252"/>
      <c r="IL18" s="252"/>
      <c r="IM18" s="252"/>
      <c r="IN18" s="252"/>
      <c r="IO18" s="252"/>
      <c r="IP18" s="252"/>
      <c r="IQ18" s="252"/>
      <c r="IR18" s="252"/>
      <c r="IS18" s="252"/>
      <c r="IT18" s="252"/>
      <c r="IU18" s="252"/>
      <c r="IV18" s="252"/>
      <c r="IW18" s="252"/>
      <c r="IX18" s="252"/>
      <c r="IY18" s="252"/>
      <c r="IZ18" s="252"/>
      <c r="JA18" s="252"/>
      <c r="JB18" s="252"/>
      <c r="JC18" s="252"/>
      <c r="JD18" s="252"/>
      <c r="JE18" s="252"/>
      <c r="JF18" s="252"/>
      <c r="JG18" s="252"/>
      <c r="JH18" s="252"/>
      <c r="JI18" s="252"/>
      <c r="JJ18" s="252"/>
      <c r="JK18" s="252"/>
      <c r="JL18" s="252"/>
      <c r="JM18" s="252"/>
      <c r="JN18" s="252"/>
      <c r="JO18" s="252"/>
      <c r="JP18" s="252"/>
      <c r="JQ18" s="252"/>
      <c r="JR18" s="252"/>
      <c r="JS18" s="252"/>
      <c r="JT18" s="252"/>
      <c r="JU18" s="252"/>
      <c r="JV18" s="252"/>
      <c r="JW18" s="252"/>
      <c r="JX18" s="252"/>
      <c r="JY18" s="252"/>
      <c r="JZ18" s="252"/>
      <c r="KA18" s="252"/>
      <c r="KB18" s="252"/>
      <c r="KC18" s="252"/>
      <c r="KD18" s="252"/>
      <c r="KE18" s="252"/>
      <c r="KF18" s="252"/>
      <c r="KG18" s="252"/>
      <c r="KH18" s="252"/>
      <c r="KI18" s="252"/>
      <c r="KJ18" s="252"/>
      <c r="KK18" s="252"/>
      <c r="KL18" s="252"/>
      <c r="KM18" s="252"/>
      <c r="KN18" s="252"/>
      <c r="KO18" s="252"/>
      <c r="KP18" s="252"/>
      <c r="KQ18" s="252"/>
      <c r="KR18" s="252"/>
      <c r="KS18" s="252"/>
      <c r="KT18" s="252"/>
      <c r="KU18" s="252"/>
      <c r="KV18" s="252"/>
      <c r="KW18" s="252"/>
      <c r="KX18" s="252"/>
      <c r="KY18" s="252"/>
      <c r="KZ18" s="252"/>
      <c r="LA18" s="252"/>
      <c r="LB18" s="252"/>
      <c r="LC18" s="252"/>
      <c r="LD18" s="252"/>
      <c r="LE18" s="252"/>
      <c r="LF18" s="252"/>
      <c r="LG18" s="252"/>
      <c r="LH18" s="252"/>
      <c r="LI18" s="252"/>
      <c r="LJ18" s="252"/>
      <c r="LK18" s="252"/>
      <c r="LL18" s="252"/>
      <c r="LM18" s="252"/>
      <c r="LN18" s="252"/>
      <c r="LO18" s="252"/>
      <c r="LP18" s="252"/>
      <c r="LQ18" s="252"/>
      <c r="LR18" s="252"/>
      <c r="LS18" s="252"/>
      <c r="LT18" s="252"/>
      <c r="LU18" s="252"/>
      <c r="LV18" s="252"/>
      <c r="LW18" s="252"/>
      <c r="LX18" s="252"/>
      <c r="LY18" s="252"/>
      <c r="LZ18" s="252"/>
      <c r="MA18" s="252"/>
      <c r="MB18" s="252"/>
      <c r="MC18" s="252"/>
      <c r="MD18" s="252"/>
      <c r="ME18" s="252"/>
      <c r="MF18" s="252"/>
      <c r="MG18" s="252"/>
      <c r="MH18" s="252"/>
      <c r="MI18" s="252"/>
      <c r="MJ18" s="252"/>
      <c r="MK18" s="252"/>
      <c r="ML18" s="252"/>
      <c r="MM18" s="252"/>
      <c r="MN18" s="252"/>
      <c r="MO18" s="252"/>
      <c r="MP18" s="252"/>
      <c r="MQ18" s="252"/>
      <c r="MR18" s="252"/>
      <c r="MS18" s="252"/>
      <c r="MT18" s="252"/>
      <c r="MU18" s="252"/>
      <c r="MV18" s="252"/>
      <c r="MW18" s="252"/>
      <c r="MX18" s="252"/>
      <c r="MY18" s="252"/>
      <c r="MZ18" s="252"/>
      <c r="NA18" s="252"/>
      <c r="NB18" s="252"/>
      <c r="NC18" s="252"/>
      <c r="ND18" s="252"/>
      <c r="NE18" s="252"/>
      <c r="NF18" s="252"/>
      <c r="NG18" s="252"/>
      <c r="NH18" s="252"/>
      <c r="NI18" s="252"/>
      <c r="NJ18" s="252"/>
      <c r="NK18" s="252"/>
      <c r="NL18" s="252"/>
      <c r="NM18" s="252"/>
      <c r="NN18" s="252"/>
      <c r="NO18" s="252"/>
      <c r="NP18" s="252"/>
      <c r="NQ18" s="252"/>
      <c r="NR18" s="252"/>
      <c r="NS18" s="252"/>
      <c r="NT18" s="252"/>
      <c r="NU18" s="252"/>
      <c r="NV18" s="252"/>
      <c r="NW18" s="252"/>
      <c r="NX18" s="252"/>
      <c r="NY18" s="252"/>
      <c r="NZ18" s="252"/>
      <c r="OA18" s="252"/>
      <c r="OB18" s="252"/>
      <c r="OC18" s="252"/>
      <c r="OD18" s="252"/>
      <c r="OE18" s="252"/>
      <c r="OF18" s="252"/>
      <c r="OG18" s="252"/>
      <c r="OH18" s="252"/>
      <c r="OI18" s="252"/>
      <c r="OJ18" s="252"/>
      <c r="OK18" s="252"/>
      <c r="OL18" s="252"/>
      <c r="OM18" s="252"/>
      <c r="ON18" s="252"/>
      <c r="OO18" s="252"/>
      <c r="OP18" s="252"/>
      <c r="OQ18" s="252"/>
      <c r="OR18" s="252"/>
      <c r="OS18" s="252"/>
      <c r="OT18" s="252"/>
      <c r="OU18" s="252"/>
      <c r="OV18" s="252"/>
      <c r="OW18" s="252"/>
      <c r="OX18" s="252"/>
      <c r="OY18" s="252"/>
      <c r="OZ18" s="252"/>
      <c r="PA18" s="252"/>
      <c r="PB18" s="252"/>
      <c r="PC18" s="252"/>
      <c r="PD18" s="252"/>
      <c r="PE18" s="252"/>
      <c r="PF18" s="252"/>
      <c r="PG18" s="252"/>
      <c r="PH18" s="252"/>
      <c r="PI18" s="252"/>
      <c r="PJ18" s="252"/>
      <c r="PK18" s="252"/>
      <c r="PL18" s="252"/>
      <c r="PM18" s="252"/>
      <c r="PN18" s="252"/>
      <c r="PO18" s="252"/>
      <c r="PP18" s="252"/>
      <c r="PQ18" s="252"/>
      <c r="PR18" s="252"/>
      <c r="PS18" s="252"/>
      <c r="PT18" s="252"/>
      <c r="PU18" s="252"/>
      <c r="PV18" s="252"/>
      <c r="PW18" s="252"/>
      <c r="PX18" s="252"/>
      <c r="PY18" s="252"/>
      <c r="PZ18" s="252"/>
      <c r="QA18" s="252"/>
      <c r="QB18" s="252"/>
      <c r="QC18" s="252"/>
      <c r="QD18" s="252"/>
      <c r="QE18" s="252"/>
      <c r="QF18" s="252"/>
      <c r="QG18" s="252"/>
      <c r="QH18" s="252"/>
      <c r="QI18" s="252"/>
      <c r="QJ18" s="252"/>
      <c r="QK18" s="252"/>
      <c r="QL18" s="252"/>
      <c r="QM18" s="252"/>
      <c r="QN18" s="252"/>
      <c r="QO18" s="252"/>
      <c r="QP18" s="252"/>
      <c r="QQ18" s="252"/>
      <c r="QR18" s="252"/>
      <c r="QS18" s="252"/>
      <c r="QT18" s="252"/>
      <c r="QU18" s="252"/>
      <c r="QV18" s="252"/>
      <c r="QW18" s="252"/>
      <c r="QX18" s="252"/>
      <c r="QY18" s="252"/>
      <c r="QZ18" s="252"/>
      <c r="RA18" s="252"/>
      <c r="RB18" s="252"/>
      <c r="RC18" s="252"/>
      <c r="RD18" s="252"/>
      <c r="RE18" s="252"/>
      <c r="RF18" s="252"/>
      <c r="RG18" s="252"/>
      <c r="RH18" s="252"/>
      <c r="RI18" s="252"/>
      <c r="RJ18" s="252"/>
      <c r="RK18" s="252"/>
      <c r="RL18" s="252"/>
      <c r="RM18" s="252"/>
      <c r="RN18" s="252"/>
      <c r="RO18" s="252"/>
      <c r="RP18" s="252"/>
      <c r="RQ18" s="252"/>
      <c r="RR18" s="252"/>
      <c r="RS18" s="252"/>
      <c r="RT18" s="252"/>
      <c r="RU18" s="252"/>
      <c r="RV18" s="252"/>
      <c r="RW18" s="252"/>
      <c r="RX18" s="252"/>
      <c r="RY18" s="252"/>
      <c r="RZ18" s="252"/>
      <c r="SA18" s="252"/>
      <c r="SB18" s="252"/>
      <c r="SC18" s="252"/>
      <c r="SD18" s="252"/>
      <c r="SE18" s="252"/>
      <c r="SF18" s="252"/>
      <c r="SG18" s="252"/>
      <c r="SH18" s="252"/>
      <c r="SI18" s="252"/>
      <c r="SJ18" s="252"/>
      <c r="SK18" s="252"/>
      <c r="SL18" s="252"/>
      <c r="SM18" s="252"/>
      <c r="SN18" s="252"/>
      <c r="SO18" s="252"/>
      <c r="SP18" s="252"/>
      <c r="SQ18" s="252"/>
      <c r="SR18" s="252"/>
      <c r="SS18" s="252"/>
      <c r="ST18" s="252"/>
      <c r="SU18" s="252"/>
      <c r="SV18" s="252"/>
      <c r="SW18" s="252"/>
      <c r="SX18" s="252"/>
      <c r="SY18" s="252"/>
      <c r="SZ18" s="252"/>
      <c r="TA18" s="252"/>
      <c r="TB18" s="252"/>
      <c r="TC18" s="252"/>
      <c r="TD18" s="252"/>
      <c r="TE18" s="252"/>
      <c r="TF18" s="252"/>
      <c r="TG18" s="252"/>
      <c r="TH18" s="252"/>
      <c r="TI18" s="252"/>
      <c r="TJ18" s="252"/>
      <c r="TK18" s="252"/>
      <c r="TL18" s="252"/>
      <c r="TM18" s="252"/>
      <c r="TN18" s="252"/>
      <c r="TO18" s="252"/>
      <c r="TP18" s="252"/>
      <c r="TQ18" s="252"/>
      <c r="TR18" s="252"/>
      <c r="TS18" s="252"/>
      <c r="TT18" s="252"/>
      <c r="TU18" s="252"/>
      <c r="TV18" s="252"/>
      <c r="TW18" s="252"/>
      <c r="TX18" s="252"/>
      <c r="TY18" s="252"/>
      <c r="TZ18" s="252"/>
      <c r="UA18" s="252"/>
      <c r="UB18" s="252"/>
      <c r="UC18" s="252"/>
      <c r="UD18" s="252"/>
      <c r="UE18" s="252"/>
      <c r="UF18" s="252"/>
      <c r="UG18" s="252"/>
      <c r="UH18" s="252"/>
      <c r="UI18" s="252"/>
      <c r="UJ18" s="252"/>
      <c r="UK18" s="252"/>
      <c r="UL18" s="252"/>
      <c r="UM18" s="252"/>
      <c r="UN18" s="252"/>
      <c r="UO18" s="252"/>
      <c r="UP18" s="252"/>
      <c r="UQ18" s="252"/>
      <c r="UR18" s="252"/>
      <c r="US18" s="252"/>
      <c r="UT18" s="252"/>
      <c r="UU18" s="252"/>
      <c r="UV18" s="252"/>
      <c r="UW18" s="252"/>
      <c r="UX18" s="252"/>
      <c r="UY18" s="252"/>
      <c r="UZ18" s="252"/>
      <c r="VA18" s="252"/>
      <c r="VB18" s="252"/>
      <c r="VC18" s="252"/>
      <c r="VD18" s="252"/>
      <c r="VE18" s="252"/>
      <c r="VF18" s="252"/>
      <c r="VG18" s="252"/>
      <c r="VH18" s="252"/>
      <c r="VI18" s="252"/>
      <c r="VJ18" s="252"/>
      <c r="VK18" s="252"/>
      <c r="VL18" s="252"/>
      <c r="VM18" s="252"/>
      <c r="VN18" s="252"/>
      <c r="VO18" s="252"/>
      <c r="VP18" s="252"/>
      <c r="VQ18" s="252"/>
      <c r="VR18" s="252"/>
      <c r="VS18" s="252"/>
      <c r="VT18" s="252"/>
      <c r="VU18" s="252"/>
      <c r="VV18" s="252"/>
      <c r="VW18" s="252"/>
      <c r="VX18" s="252"/>
      <c r="VY18" s="252"/>
      <c r="VZ18" s="252"/>
      <c r="WA18" s="252"/>
      <c r="WB18" s="252"/>
      <c r="WC18" s="252"/>
      <c r="WD18" s="252"/>
      <c r="WE18" s="252"/>
      <c r="WF18" s="252"/>
      <c r="WG18" s="252"/>
      <c r="WH18" s="252"/>
      <c r="WI18" s="252"/>
      <c r="WJ18" s="252"/>
      <c r="WK18" s="252"/>
      <c r="WL18" s="252"/>
      <c r="WM18" s="252"/>
      <c r="WN18" s="252"/>
      <c r="WO18" s="252"/>
      <c r="WP18" s="252"/>
      <c r="WQ18" s="252"/>
      <c r="WR18" s="252"/>
      <c r="WS18" s="252"/>
      <c r="WT18" s="252"/>
      <c r="WU18" s="252"/>
      <c r="WV18" s="252"/>
      <c r="WW18" s="252"/>
      <c r="WX18" s="252"/>
      <c r="WY18" s="252"/>
      <c r="WZ18" s="252"/>
      <c r="XA18" s="252"/>
      <c r="XB18" s="252"/>
      <c r="XC18" s="252"/>
      <c r="XD18" s="252"/>
      <c r="XE18" s="252"/>
      <c r="XF18" s="252"/>
      <c r="XG18" s="252"/>
      <c r="XH18" s="252"/>
      <c r="XI18" s="252"/>
      <c r="XJ18" s="252"/>
      <c r="XK18" s="252"/>
      <c r="XL18" s="252"/>
      <c r="XM18" s="252"/>
      <c r="XN18" s="252"/>
      <c r="XO18" s="252"/>
      <c r="XP18" s="252"/>
      <c r="XQ18" s="252"/>
      <c r="XR18" s="252"/>
      <c r="XS18" s="252"/>
      <c r="XT18" s="252"/>
      <c r="XU18" s="252"/>
      <c r="XV18" s="252"/>
      <c r="XW18" s="252"/>
      <c r="XX18" s="252"/>
      <c r="XY18" s="252"/>
      <c r="XZ18" s="252"/>
      <c r="YA18" s="252"/>
      <c r="YB18" s="252"/>
      <c r="YC18" s="252"/>
      <c r="YD18" s="252"/>
      <c r="YE18" s="252"/>
      <c r="YF18" s="252"/>
      <c r="YG18" s="252"/>
      <c r="YH18" s="252"/>
      <c r="YI18" s="252"/>
      <c r="YJ18" s="252"/>
      <c r="YK18" s="252"/>
      <c r="YL18" s="252"/>
      <c r="YM18" s="252"/>
      <c r="YN18" s="252"/>
      <c r="YO18" s="252"/>
      <c r="YP18" s="252"/>
      <c r="YQ18" s="252"/>
      <c r="YR18" s="252"/>
      <c r="YS18" s="252"/>
      <c r="YT18" s="252"/>
      <c r="YU18" s="252"/>
      <c r="YV18" s="252"/>
      <c r="YW18" s="252"/>
      <c r="YX18" s="252"/>
      <c r="YY18" s="252"/>
      <c r="YZ18" s="252"/>
      <c r="ZA18" s="252"/>
      <c r="ZB18" s="252"/>
      <c r="ZC18" s="252"/>
      <c r="ZD18" s="252"/>
      <c r="ZE18" s="252"/>
      <c r="ZF18" s="252"/>
      <c r="ZG18" s="252"/>
      <c r="ZH18" s="252"/>
      <c r="ZI18" s="252"/>
      <c r="ZJ18" s="252"/>
      <c r="ZK18" s="252"/>
      <c r="ZL18" s="252"/>
      <c r="ZM18" s="252"/>
      <c r="ZN18" s="252"/>
      <c r="ZO18" s="252"/>
      <c r="ZP18" s="252"/>
      <c r="ZQ18" s="252"/>
      <c r="ZR18" s="252"/>
      <c r="ZS18" s="252"/>
      <c r="ZT18" s="252"/>
      <c r="ZU18" s="252"/>
      <c r="ZV18" s="252"/>
      <c r="ZW18" s="252"/>
      <c r="ZX18" s="252"/>
      <c r="ZY18" s="252"/>
      <c r="ZZ18" s="252"/>
      <c r="AAA18" s="252"/>
      <c r="AAB18" s="252"/>
      <c r="AAC18" s="252"/>
      <c r="AAD18" s="252"/>
      <c r="AAE18" s="252"/>
      <c r="AAF18" s="252"/>
      <c r="AAG18" s="252"/>
      <c r="AAH18" s="252"/>
      <c r="AAI18" s="252"/>
      <c r="AAJ18" s="252"/>
      <c r="AAK18" s="252"/>
      <c r="AAL18" s="252"/>
      <c r="AAM18" s="252"/>
      <c r="AAN18" s="252"/>
      <c r="AAO18" s="252"/>
      <c r="AAP18" s="252"/>
      <c r="AAQ18" s="252"/>
      <c r="AAR18" s="252"/>
      <c r="AAS18" s="252"/>
      <c r="AAT18" s="252"/>
      <c r="AAU18" s="252"/>
      <c r="AAV18" s="252"/>
      <c r="AAW18" s="252"/>
      <c r="AAX18" s="252"/>
      <c r="AAY18" s="252"/>
      <c r="AAZ18" s="252"/>
      <c r="ABA18" s="252"/>
      <c r="ABB18" s="252"/>
      <c r="ABC18" s="252"/>
      <c r="ABD18" s="252"/>
      <c r="ABE18" s="252"/>
      <c r="ABF18" s="252"/>
      <c r="ABG18" s="252"/>
      <c r="ABH18" s="252"/>
      <c r="ABI18" s="252"/>
      <c r="ABJ18" s="252"/>
      <c r="ABK18" s="252"/>
      <c r="ABL18" s="252"/>
      <c r="ABM18" s="252"/>
      <c r="ABN18" s="252"/>
      <c r="ABO18" s="252"/>
      <c r="ABP18" s="252"/>
      <c r="ABQ18" s="252"/>
      <c r="ABR18" s="252"/>
      <c r="ABS18" s="252"/>
      <c r="ABT18" s="252"/>
      <c r="ABU18" s="252"/>
      <c r="ABV18" s="252"/>
      <c r="ABW18" s="252"/>
      <c r="ABX18" s="252"/>
      <c r="ABY18" s="252"/>
      <c r="ABZ18" s="252"/>
      <c r="ACA18" s="252"/>
      <c r="ACB18" s="252"/>
      <c r="ACC18" s="252"/>
      <c r="ACD18" s="252"/>
      <c r="ACE18" s="252"/>
      <c r="ACF18" s="252"/>
      <c r="ACG18" s="252"/>
      <c r="ACH18" s="252"/>
      <c r="ACI18" s="252"/>
      <c r="ACJ18" s="252"/>
      <c r="ACK18" s="252"/>
      <c r="ACL18" s="252"/>
      <c r="ACM18" s="252"/>
      <c r="ACN18" s="252"/>
      <c r="ACO18" s="252"/>
      <c r="ACP18" s="252"/>
      <c r="ACQ18" s="252"/>
      <c r="ACR18" s="252"/>
      <c r="ACS18" s="252"/>
      <c r="ACT18" s="252"/>
      <c r="ACU18" s="252"/>
      <c r="ACV18" s="252"/>
      <c r="ACW18" s="252"/>
      <c r="ACX18" s="252"/>
      <c r="ACY18" s="252"/>
      <c r="ACZ18" s="252"/>
      <c r="ADA18" s="252"/>
      <c r="ADB18" s="252"/>
      <c r="ADC18" s="252"/>
      <c r="ADD18" s="252"/>
      <c r="ADE18" s="252"/>
      <c r="ADF18" s="252"/>
      <c r="ADG18" s="252"/>
      <c r="ADH18" s="252"/>
      <c r="ADI18" s="252"/>
      <c r="ADJ18" s="252"/>
      <c r="ADK18" s="252"/>
      <c r="ADL18" s="252"/>
      <c r="ADM18" s="252"/>
      <c r="ADN18" s="252"/>
      <c r="ADO18" s="252"/>
      <c r="ADP18" s="252"/>
      <c r="ADQ18" s="252"/>
      <c r="ADR18" s="252"/>
      <c r="ADS18" s="252"/>
      <c r="ADT18" s="252"/>
      <c r="ADU18" s="252"/>
      <c r="ADV18" s="252"/>
      <c r="ADW18" s="252"/>
      <c r="ADX18" s="252"/>
      <c r="ADY18" s="252"/>
      <c r="ADZ18" s="252"/>
      <c r="AEA18" s="252"/>
      <c r="AEB18" s="252"/>
      <c r="AEC18" s="252"/>
      <c r="AED18" s="252"/>
      <c r="AEE18" s="252"/>
      <c r="AEF18" s="252"/>
      <c r="AEG18" s="252"/>
      <c r="AEH18" s="252"/>
      <c r="AEI18" s="252"/>
      <c r="AEJ18" s="252"/>
      <c r="AEK18" s="252"/>
      <c r="AEL18" s="252"/>
      <c r="AEM18" s="252"/>
      <c r="AEN18" s="252"/>
      <c r="AEO18" s="252"/>
      <c r="AEP18" s="252"/>
      <c r="AEQ18" s="252"/>
      <c r="AER18" s="252"/>
      <c r="AES18" s="252"/>
      <c r="AET18" s="252"/>
      <c r="AEU18" s="252"/>
      <c r="AEV18" s="252"/>
      <c r="AEW18" s="252"/>
      <c r="AEX18" s="252"/>
      <c r="AEY18" s="252"/>
      <c r="AEZ18" s="252"/>
      <c r="AFA18" s="252"/>
      <c r="AFB18" s="252"/>
      <c r="AFC18" s="252"/>
      <c r="AFD18" s="252"/>
      <c r="AFE18" s="252"/>
      <c r="AFF18" s="252"/>
      <c r="AFG18" s="252"/>
      <c r="AFH18" s="252"/>
      <c r="AFI18" s="252"/>
      <c r="AFJ18" s="252"/>
      <c r="AFK18" s="252"/>
      <c r="AFL18" s="252"/>
      <c r="AFM18" s="252"/>
      <c r="AFN18" s="252"/>
      <c r="AFO18" s="252"/>
      <c r="AFP18" s="252"/>
      <c r="AFQ18" s="252"/>
      <c r="AFR18" s="252"/>
      <c r="AFS18" s="252"/>
      <c r="AFT18" s="252"/>
      <c r="AFU18" s="252"/>
      <c r="AFV18" s="252"/>
      <c r="AFW18" s="252"/>
      <c r="AFX18" s="252"/>
      <c r="AFY18" s="252"/>
      <c r="AFZ18" s="252"/>
      <c r="AGA18" s="252"/>
      <c r="AGB18" s="252"/>
      <c r="AGC18" s="252"/>
      <c r="AGD18" s="252"/>
      <c r="AGE18" s="252"/>
      <c r="AGF18" s="252"/>
      <c r="AGG18" s="252"/>
      <c r="AGH18" s="252"/>
      <c r="AGI18" s="252"/>
      <c r="AGJ18" s="252"/>
      <c r="AGK18" s="252"/>
      <c r="AGL18" s="252"/>
      <c r="AGM18" s="252"/>
      <c r="AGN18" s="252"/>
      <c r="AGO18" s="252"/>
      <c r="AGP18" s="252"/>
      <c r="AGQ18" s="252"/>
      <c r="AGR18" s="252"/>
      <c r="AGS18" s="252"/>
      <c r="AGT18" s="252"/>
      <c r="AGU18" s="252"/>
      <c r="AGV18" s="252"/>
      <c r="AGW18" s="252"/>
      <c r="AGX18" s="252"/>
      <c r="AGY18" s="252"/>
      <c r="AGZ18" s="252"/>
      <c r="AHA18" s="252"/>
      <c r="AHB18" s="252"/>
      <c r="AHC18" s="252"/>
      <c r="AHD18" s="252"/>
      <c r="AHE18" s="252"/>
      <c r="AHF18" s="252"/>
      <c r="AHG18" s="252"/>
      <c r="AHH18" s="252"/>
      <c r="AHI18" s="252"/>
      <c r="AHJ18" s="252"/>
      <c r="AHK18" s="252"/>
      <c r="AHL18" s="252"/>
      <c r="AHM18" s="252"/>
      <c r="AHN18" s="252"/>
      <c r="AHO18" s="252"/>
      <c r="AHP18" s="252"/>
      <c r="AHQ18" s="252"/>
      <c r="AHR18" s="252"/>
      <c r="AHS18" s="252"/>
      <c r="AHT18" s="252"/>
      <c r="AHU18" s="252"/>
      <c r="AHV18" s="252"/>
      <c r="AHW18" s="252"/>
      <c r="AHX18" s="252"/>
      <c r="AHY18" s="252"/>
      <c r="AHZ18" s="252"/>
      <c r="AIA18" s="252"/>
      <c r="AIB18" s="252"/>
      <c r="AIC18" s="252"/>
      <c r="AID18" s="252"/>
      <c r="AIE18" s="252"/>
      <c r="AIF18" s="252"/>
      <c r="AIG18" s="252"/>
      <c r="AIH18" s="252"/>
      <c r="AII18" s="252"/>
      <c r="AIJ18" s="252"/>
      <c r="AIK18" s="252"/>
      <c r="AIL18" s="252"/>
      <c r="AIM18" s="252"/>
      <c r="AIN18" s="252"/>
      <c r="AIO18" s="252"/>
      <c r="AIP18" s="252"/>
      <c r="AIQ18" s="252"/>
      <c r="AIR18" s="252"/>
      <c r="AIS18" s="252"/>
      <c r="AIT18" s="252"/>
      <c r="AIU18" s="252"/>
      <c r="AIV18" s="252"/>
      <c r="AIW18" s="252"/>
      <c r="AIX18" s="252"/>
      <c r="AIY18" s="252"/>
      <c r="AIZ18" s="252"/>
      <c r="AJA18" s="252"/>
      <c r="AJB18" s="252"/>
      <c r="AJC18" s="252"/>
      <c r="AJD18" s="252"/>
      <c r="AJE18" s="252"/>
      <c r="AJF18" s="252"/>
      <c r="AJG18" s="252"/>
      <c r="AJH18" s="252"/>
      <c r="AJI18" s="252"/>
      <c r="AJJ18" s="252"/>
      <c r="AJK18" s="252"/>
      <c r="AJL18" s="252"/>
      <c r="AJM18" s="252"/>
      <c r="AJN18" s="252"/>
      <c r="AJO18" s="252"/>
      <c r="AJP18" s="252"/>
      <c r="AJQ18" s="252"/>
      <c r="AJR18" s="252"/>
      <c r="AJS18" s="252"/>
      <c r="AJT18" s="252"/>
      <c r="AJU18" s="252"/>
      <c r="AJV18" s="252"/>
      <c r="AJW18" s="252"/>
      <c r="AJX18" s="252"/>
      <c r="AJY18" s="252"/>
      <c r="AJZ18" s="252"/>
      <c r="AKA18" s="252"/>
      <c r="AKB18" s="252"/>
      <c r="AKC18" s="252"/>
      <c r="AKD18" s="252"/>
      <c r="AKE18" s="252"/>
      <c r="AKF18" s="252"/>
      <c r="AKG18" s="252"/>
      <c r="AKH18" s="252"/>
      <c r="AKI18" s="252"/>
      <c r="AKJ18" s="252"/>
      <c r="AKK18" s="252"/>
      <c r="AKL18" s="252"/>
      <c r="AKM18" s="252"/>
      <c r="AKN18" s="252"/>
      <c r="AKO18" s="252"/>
      <c r="AKP18" s="252"/>
      <c r="AKQ18" s="252"/>
      <c r="AKR18" s="252"/>
      <c r="AKS18" s="252"/>
      <c r="AKT18" s="252"/>
      <c r="AKU18" s="252"/>
      <c r="AKV18" s="252"/>
      <c r="AKW18" s="252"/>
      <c r="AKX18" s="252"/>
      <c r="AKY18" s="252"/>
      <c r="AKZ18" s="252"/>
      <c r="ALA18" s="252"/>
      <c r="ALB18" s="252"/>
      <c r="ALC18" s="252"/>
      <c r="ALD18" s="252"/>
      <c r="ALE18" s="252"/>
      <c r="ALF18" s="252"/>
      <c r="ALG18" s="252"/>
      <c r="ALH18" s="252"/>
      <c r="ALI18" s="252"/>
      <c r="ALJ18" s="252"/>
      <c r="ALK18" s="252"/>
      <c r="ALL18" s="252"/>
      <c r="ALM18" s="252"/>
      <c r="ALN18" s="252"/>
      <c r="ALO18" s="252"/>
      <c r="ALP18" s="252"/>
      <c r="ALQ18" s="252"/>
      <c r="ALR18" s="252"/>
      <c r="ALS18" s="252"/>
    </row>
    <row r="19" spans="1:1007" s="3" customFormat="1" x14ac:dyDescent="0.2">
      <c r="A19" s="749" t="s">
        <v>530</v>
      </c>
      <c r="B19" s="382"/>
      <c r="C19" s="382"/>
      <c r="D19" s="382"/>
      <c r="E19" s="740">
        <v>11600</v>
      </c>
      <c r="F19" s="730"/>
      <c r="G19" s="730"/>
      <c r="H19" s="369"/>
      <c r="I19" s="730"/>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252"/>
      <c r="AX19" s="252"/>
      <c r="AY19" s="252"/>
      <c r="AZ19" s="252"/>
      <c r="BA19" s="252"/>
      <c r="BB19" s="252"/>
      <c r="BC19" s="252"/>
      <c r="BD19" s="252"/>
      <c r="BE19" s="252"/>
      <c r="BF19" s="252"/>
      <c r="BG19" s="252"/>
      <c r="BH19" s="252"/>
      <c r="BI19" s="252"/>
      <c r="BJ19" s="252"/>
      <c r="BK19" s="252"/>
      <c r="BL19" s="252"/>
      <c r="BM19" s="252"/>
      <c r="BN19" s="252"/>
      <c r="BO19" s="252"/>
      <c r="BP19" s="252"/>
      <c r="BQ19" s="252"/>
      <c r="BR19" s="252"/>
      <c r="BS19" s="252"/>
      <c r="BT19" s="252"/>
      <c r="BU19" s="252"/>
      <c r="BV19" s="252"/>
      <c r="BW19" s="252"/>
      <c r="BX19" s="252"/>
      <c r="BY19" s="252"/>
      <c r="BZ19" s="252"/>
      <c r="CA19" s="252"/>
      <c r="CB19" s="252"/>
      <c r="CC19" s="252"/>
      <c r="CD19" s="252"/>
      <c r="CE19" s="252"/>
      <c r="CF19" s="252"/>
      <c r="CG19" s="252"/>
      <c r="CH19" s="252"/>
      <c r="CI19" s="252"/>
      <c r="CJ19" s="252"/>
      <c r="CK19" s="252"/>
      <c r="CL19" s="252"/>
      <c r="CM19" s="252"/>
      <c r="CN19" s="252"/>
      <c r="CO19" s="252"/>
      <c r="CP19" s="252"/>
      <c r="CQ19" s="252"/>
      <c r="CR19" s="252"/>
      <c r="CS19" s="252"/>
      <c r="CT19" s="252"/>
      <c r="CU19" s="252"/>
      <c r="CV19" s="252"/>
      <c r="CW19" s="252"/>
      <c r="CX19" s="252"/>
      <c r="CY19" s="252"/>
      <c r="CZ19" s="252"/>
      <c r="DA19" s="252"/>
      <c r="DB19" s="252"/>
      <c r="DC19" s="252"/>
      <c r="DD19" s="252"/>
      <c r="DE19" s="252"/>
      <c r="DF19" s="252"/>
      <c r="DG19" s="252"/>
      <c r="DH19" s="252"/>
      <c r="DI19" s="252"/>
      <c r="DJ19" s="252"/>
      <c r="DK19" s="252"/>
      <c r="DL19" s="252"/>
      <c r="DM19" s="252"/>
      <c r="DN19" s="252"/>
      <c r="DO19" s="252"/>
      <c r="DP19" s="252"/>
      <c r="DQ19" s="252"/>
      <c r="DR19" s="252"/>
      <c r="DS19" s="252"/>
      <c r="DT19" s="252"/>
      <c r="DU19" s="252"/>
      <c r="DV19" s="252"/>
      <c r="DW19" s="252"/>
      <c r="DX19" s="252"/>
      <c r="DY19" s="252"/>
      <c r="DZ19" s="252"/>
      <c r="EA19" s="252"/>
      <c r="EB19" s="252"/>
      <c r="EC19" s="252"/>
      <c r="ED19" s="252"/>
      <c r="EE19" s="252"/>
      <c r="EF19" s="252"/>
      <c r="EG19" s="252"/>
      <c r="EH19" s="252"/>
      <c r="EI19" s="252"/>
      <c r="EJ19" s="252"/>
      <c r="EK19" s="252"/>
      <c r="EL19" s="252"/>
      <c r="EM19" s="252"/>
      <c r="EN19" s="252"/>
      <c r="EO19" s="252"/>
      <c r="EP19" s="252"/>
      <c r="EQ19" s="252"/>
      <c r="ER19" s="252"/>
      <c r="ES19" s="252"/>
      <c r="ET19" s="252"/>
      <c r="EU19" s="252"/>
      <c r="EV19" s="252"/>
      <c r="EW19" s="252"/>
      <c r="EX19" s="252"/>
      <c r="EY19" s="252"/>
      <c r="EZ19" s="252"/>
      <c r="FA19" s="252"/>
      <c r="FB19" s="252"/>
      <c r="FC19" s="252"/>
      <c r="FD19" s="252"/>
      <c r="FE19" s="252"/>
      <c r="FF19" s="252"/>
      <c r="FG19" s="252"/>
      <c r="FH19" s="252"/>
      <c r="FI19" s="252"/>
      <c r="FJ19" s="252"/>
      <c r="FK19" s="252"/>
      <c r="FL19" s="252"/>
      <c r="FM19" s="252"/>
      <c r="FN19" s="252"/>
      <c r="FO19" s="252"/>
      <c r="FP19" s="252"/>
      <c r="FQ19" s="252"/>
      <c r="FR19" s="252"/>
      <c r="FS19" s="252"/>
      <c r="FT19" s="252"/>
      <c r="FU19" s="252"/>
      <c r="FV19" s="252"/>
      <c r="FW19" s="252"/>
      <c r="FX19" s="252"/>
      <c r="FY19" s="252"/>
      <c r="FZ19" s="252"/>
      <c r="GA19" s="252"/>
      <c r="GB19" s="252"/>
      <c r="GC19" s="252"/>
      <c r="GD19" s="252"/>
      <c r="GE19" s="252"/>
      <c r="GF19" s="252"/>
      <c r="GG19" s="252"/>
      <c r="GH19" s="252"/>
      <c r="GI19" s="252"/>
      <c r="GJ19" s="252"/>
      <c r="GK19" s="252"/>
      <c r="GL19" s="252"/>
      <c r="GM19" s="252"/>
      <c r="GN19" s="252"/>
      <c r="GO19" s="252"/>
      <c r="GP19" s="252"/>
      <c r="GQ19" s="252"/>
      <c r="GR19" s="252"/>
      <c r="GS19" s="252"/>
      <c r="GT19" s="252"/>
      <c r="GU19" s="252"/>
      <c r="GV19" s="252"/>
      <c r="GW19" s="252"/>
      <c r="GX19" s="252"/>
      <c r="GY19" s="252"/>
      <c r="GZ19" s="252"/>
      <c r="HA19" s="252"/>
      <c r="HB19" s="252"/>
      <c r="HC19" s="252"/>
      <c r="HD19" s="252"/>
      <c r="HE19" s="252"/>
      <c r="HF19" s="252"/>
      <c r="HG19" s="252"/>
      <c r="HH19" s="252"/>
      <c r="HI19" s="252"/>
      <c r="HJ19" s="252"/>
      <c r="HK19" s="252"/>
      <c r="HL19" s="252"/>
      <c r="HM19" s="252"/>
      <c r="HN19" s="252"/>
      <c r="HO19" s="252"/>
      <c r="HP19" s="252"/>
      <c r="HQ19" s="252"/>
      <c r="HR19" s="252"/>
      <c r="HS19" s="252"/>
      <c r="HT19" s="252"/>
      <c r="HU19" s="252"/>
      <c r="HV19" s="252"/>
      <c r="HW19" s="252"/>
      <c r="HX19" s="252"/>
      <c r="HY19" s="252"/>
      <c r="HZ19" s="252"/>
      <c r="IA19" s="252"/>
      <c r="IB19" s="252"/>
      <c r="IC19" s="252"/>
      <c r="ID19" s="252"/>
      <c r="IE19" s="252"/>
      <c r="IF19" s="252"/>
      <c r="IG19" s="252"/>
      <c r="IH19" s="252"/>
      <c r="II19" s="252"/>
      <c r="IJ19" s="252"/>
      <c r="IK19" s="252"/>
      <c r="IL19" s="252"/>
      <c r="IM19" s="252"/>
      <c r="IN19" s="252"/>
      <c r="IO19" s="252"/>
      <c r="IP19" s="252"/>
      <c r="IQ19" s="252"/>
      <c r="IR19" s="252"/>
      <c r="IS19" s="252"/>
      <c r="IT19" s="252"/>
      <c r="IU19" s="252"/>
      <c r="IV19" s="252"/>
      <c r="IW19" s="252"/>
      <c r="IX19" s="252"/>
      <c r="IY19" s="252"/>
      <c r="IZ19" s="252"/>
      <c r="JA19" s="252"/>
      <c r="JB19" s="252"/>
      <c r="JC19" s="252"/>
      <c r="JD19" s="252"/>
      <c r="JE19" s="252"/>
      <c r="JF19" s="252"/>
      <c r="JG19" s="252"/>
      <c r="JH19" s="252"/>
      <c r="JI19" s="252"/>
      <c r="JJ19" s="252"/>
      <c r="JK19" s="252"/>
      <c r="JL19" s="252"/>
      <c r="JM19" s="252"/>
      <c r="JN19" s="252"/>
      <c r="JO19" s="252"/>
      <c r="JP19" s="252"/>
      <c r="JQ19" s="252"/>
      <c r="JR19" s="252"/>
      <c r="JS19" s="252"/>
      <c r="JT19" s="252"/>
      <c r="JU19" s="252"/>
      <c r="JV19" s="252"/>
      <c r="JW19" s="252"/>
      <c r="JX19" s="252"/>
      <c r="JY19" s="252"/>
      <c r="JZ19" s="252"/>
      <c r="KA19" s="252"/>
      <c r="KB19" s="252"/>
      <c r="KC19" s="252"/>
      <c r="KD19" s="252"/>
      <c r="KE19" s="252"/>
      <c r="KF19" s="252"/>
      <c r="KG19" s="252"/>
      <c r="KH19" s="252"/>
      <c r="KI19" s="252"/>
      <c r="KJ19" s="252"/>
      <c r="KK19" s="252"/>
      <c r="KL19" s="252"/>
      <c r="KM19" s="252"/>
      <c r="KN19" s="252"/>
      <c r="KO19" s="252"/>
      <c r="KP19" s="252"/>
      <c r="KQ19" s="252"/>
      <c r="KR19" s="252"/>
      <c r="KS19" s="252"/>
      <c r="KT19" s="252"/>
      <c r="KU19" s="252"/>
      <c r="KV19" s="252"/>
      <c r="KW19" s="252"/>
      <c r="KX19" s="252"/>
      <c r="KY19" s="252"/>
      <c r="KZ19" s="252"/>
      <c r="LA19" s="252"/>
      <c r="LB19" s="252"/>
      <c r="LC19" s="252"/>
      <c r="LD19" s="252"/>
      <c r="LE19" s="252"/>
      <c r="LF19" s="252"/>
      <c r="LG19" s="252"/>
      <c r="LH19" s="252"/>
      <c r="LI19" s="252"/>
      <c r="LJ19" s="252"/>
      <c r="LK19" s="252"/>
      <c r="LL19" s="252"/>
      <c r="LM19" s="252"/>
      <c r="LN19" s="252"/>
      <c r="LO19" s="252"/>
      <c r="LP19" s="252"/>
      <c r="LQ19" s="252"/>
      <c r="LR19" s="252"/>
      <c r="LS19" s="252"/>
      <c r="LT19" s="252"/>
      <c r="LU19" s="252"/>
      <c r="LV19" s="252"/>
      <c r="LW19" s="252"/>
      <c r="LX19" s="252"/>
      <c r="LY19" s="252"/>
      <c r="LZ19" s="252"/>
      <c r="MA19" s="252"/>
      <c r="MB19" s="252"/>
      <c r="MC19" s="252"/>
      <c r="MD19" s="252"/>
      <c r="ME19" s="252"/>
      <c r="MF19" s="252"/>
      <c r="MG19" s="252"/>
      <c r="MH19" s="252"/>
      <c r="MI19" s="252"/>
      <c r="MJ19" s="252"/>
      <c r="MK19" s="252"/>
      <c r="ML19" s="252"/>
      <c r="MM19" s="252"/>
      <c r="MN19" s="252"/>
      <c r="MO19" s="252"/>
      <c r="MP19" s="252"/>
      <c r="MQ19" s="252"/>
      <c r="MR19" s="252"/>
      <c r="MS19" s="252"/>
      <c r="MT19" s="252"/>
      <c r="MU19" s="252"/>
      <c r="MV19" s="252"/>
      <c r="MW19" s="252"/>
      <c r="MX19" s="252"/>
      <c r="MY19" s="252"/>
      <c r="MZ19" s="252"/>
      <c r="NA19" s="252"/>
      <c r="NB19" s="252"/>
      <c r="NC19" s="252"/>
      <c r="ND19" s="252"/>
      <c r="NE19" s="252"/>
      <c r="NF19" s="252"/>
      <c r="NG19" s="252"/>
      <c r="NH19" s="252"/>
      <c r="NI19" s="252"/>
      <c r="NJ19" s="252"/>
      <c r="NK19" s="252"/>
      <c r="NL19" s="252"/>
      <c r="NM19" s="252"/>
      <c r="NN19" s="252"/>
      <c r="NO19" s="252"/>
      <c r="NP19" s="252"/>
      <c r="NQ19" s="252"/>
      <c r="NR19" s="252"/>
      <c r="NS19" s="252"/>
      <c r="NT19" s="252"/>
      <c r="NU19" s="252"/>
      <c r="NV19" s="252"/>
      <c r="NW19" s="252"/>
      <c r="NX19" s="252"/>
      <c r="NY19" s="252"/>
      <c r="NZ19" s="252"/>
      <c r="OA19" s="252"/>
      <c r="OB19" s="252"/>
      <c r="OC19" s="252"/>
      <c r="OD19" s="252"/>
      <c r="OE19" s="252"/>
      <c r="OF19" s="252"/>
      <c r="OG19" s="252"/>
      <c r="OH19" s="252"/>
      <c r="OI19" s="252"/>
      <c r="OJ19" s="252"/>
      <c r="OK19" s="252"/>
      <c r="OL19" s="252"/>
      <c r="OM19" s="252"/>
      <c r="ON19" s="252"/>
      <c r="OO19" s="252"/>
      <c r="OP19" s="252"/>
      <c r="OQ19" s="252"/>
      <c r="OR19" s="252"/>
      <c r="OS19" s="252"/>
      <c r="OT19" s="252"/>
      <c r="OU19" s="252"/>
      <c r="OV19" s="252"/>
      <c r="OW19" s="252"/>
      <c r="OX19" s="252"/>
      <c r="OY19" s="252"/>
      <c r="OZ19" s="252"/>
      <c r="PA19" s="252"/>
      <c r="PB19" s="252"/>
      <c r="PC19" s="252"/>
      <c r="PD19" s="252"/>
      <c r="PE19" s="252"/>
      <c r="PF19" s="252"/>
      <c r="PG19" s="252"/>
      <c r="PH19" s="252"/>
      <c r="PI19" s="252"/>
      <c r="PJ19" s="252"/>
      <c r="PK19" s="252"/>
      <c r="PL19" s="252"/>
      <c r="PM19" s="252"/>
      <c r="PN19" s="252"/>
      <c r="PO19" s="252"/>
      <c r="PP19" s="252"/>
      <c r="PQ19" s="252"/>
      <c r="PR19" s="252"/>
      <c r="PS19" s="252"/>
      <c r="PT19" s="252"/>
      <c r="PU19" s="252"/>
      <c r="PV19" s="252"/>
      <c r="PW19" s="252"/>
      <c r="PX19" s="252"/>
      <c r="PY19" s="252"/>
      <c r="PZ19" s="252"/>
      <c r="QA19" s="252"/>
      <c r="QB19" s="252"/>
      <c r="QC19" s="252"/>
      <c r="QD19" s="252"/>
      <c r="QE19" s="252"/>
      <c r="QF19" s="252"/>
      <c r="QG19" s="252"/>
      <c r="QH19" s="252"/>
      <c r="QI19" s="252"/>
      <c r="QJ19" s="252"/>
      <c r="QK19" s="252"/>
      <c r="QL19" s="252"/>
      <c r="QM19" s="252"/>
      <c r="QN19" s="252"/>
      <c r="QO19" s="252"/>
      <c r="QP19" s="252"/>
      <c r="QQ19" s="252"/>
      <c r="QR19" s="252"/>
      <c r="QS19" s="252"/>
      <c r="QT19" s="252"/>
      <c r="QU19" s="252"/>
      <c r="QV19" s="252"/>
      <c r="QW19" s="252"/>
      <c r="QX19" s="252"/>
      <c r="QY19" s="252"/>
      <c r="QZ19" s="252"/>
      <c r="RA19" s="252"/>
      <c r="RB19" s="252"/>
      <c r="RC19" s="252"/>
      <c r="RD19" s="252"/>
      <c r="RE19" s="252"/>
      <c r="RF19" s="252"/>
      <c r="RG19" s="252"/>
      <c r="RH19" s="252"/>
      <c r="RI19" s="252"/>
      <c r="RJ19" s="252"/>
      <c r="RK19" s="252"/>
      <c r="RL19" s="252"/>
      <c r="RM19" s="252"/>
      <c r="RN19" s="252"/>
      <c r="RO19" s="252"/>
      <c r="RP19" s="252"/>
      <c r="RQ19" s="252"/>
      <c r="RR19" s="252"/>
      <c r="RS19" s="252"/>
      <c r="RT19" s="252"/>
      <c r="RU19" s="252"/>
      <c r="RV19" s="252"/>
      <c r="RW19" s="252"/>
      <c r="RX19" s="252"/>
      <c r="RY19" s="252"/>
      <c r="RZ19" s="252"/>
      <c r="SA19" s="252"/>
      <c r="SB19" s="252"/>
      <c r="SC19" s="252"/>
      <c r="SD19" s="252"/>
      <c r="SE19" s="252"/>
      <c r="SF19" s="252"/>
      <c r="SG19" s="252"/>
      <c r="SH19" s="252"/>
      <c r="SI19" s="252"/>
      <c r="SJ19" s="252"/>
      <c r="SK19" s="252"/>
      <c r="SL19" s="252"/>
      <c r="SM19" s="252"/>
      <c r="SN19" s="252"/>
      <c r="SO19" s="252"/>
      <c r="SP19" s="252"/>
      <c r="SQ19" s="252"/>
      <c r="SR19" s="252"/>
      <c r="SS19" s="252"/>
      <c r="ST19" s="252"/>
      <c r="SU19" s="252"/>
      <c r="SV19" s="252"/>
      <c r="SW19" s="252"/>
      <c r="SX19" s="252"/>
      <c r="SY19" s="252"/>
      <c r="SZ19" s="252"/>
      <c r="TA19" s="252"/>
      <c r="TB19" s="252"/>
      <c r="TC19" s="252"/>
      <c r="TD19" s="252"/>
      <c r="TE19" s="252"/>
      <c r="TF19" s="252"/>
      <c r="TG19" s="252"/>
      <c r="TH19" s="252"/>
      <c r="TI19" s="252"/>
      <c r="TJ19" s="252"/>
      <c r="TK19" s="252"/>
      <c r="TL19" s="252"/>
      <c r="TM19" s="252"/>
      <c r="TN19" s="252"/>
      <c r="TO19" s="252"/>
      <c r="TP19" s="252"/>
      <c r="TQ19" s="252"/>
      <c r="TR19" s="252"/>
      <c r="TS19" s="252"/>
      <c r="TT19" s="252"/>
      <c r="TU19" s="252"/>
      <c r="TV19" s="252"/>
      <c r="TW19" s="252"/>
      <c r="TX19" s="252"/>
      <c r="TY19" s="252"/>
      <c r="TZ19" s="252"/>
      <c r="UA19" s="252"/>
      <c r="UB19" s="252"/>
      <c r="UC19" s="252"/>
      <c r="UD19" s="252"/>
      <c r="UE19" s="252"/>
      <c r="UF19" s="252"/>
      <c r="UG19" s="252"/>
      <c r="UH19" s="252"/>
      <c r="UI19" s="252"/>
      <c r="UJ19" s="252"/>
      <c r="UK19" s="252"/>
      <c r="UL19" s="252"/>
      <c r="UM19" s="252"/>
      <c r="UN19" s="252"/>
      <c r="UO19" s="252"/>
      <c r="UP19" s="252"/>
      <c r="UQ19" s="252"/>
      <c r="UR19" s="252"/>
      <c r="US19" s="252"/>
      <c r="UT19" s="252"/>
      <c r="UU19" s="252"/>
      <c r="UV19" s="252"/>
      <c r="UW19" s="252"/>
      <c r="UX19" s="252"/>
      <c r="UY19" s="252"/>
      <c r="UZ19" s="252"/>
      <c r="VA19" s="252"/>
      <c r="VB19" s="252"/>
      <c r="VC19" s="252"/>
      <c r="VD19" s="252"/>
      <c r="VE19" s="252"/>
      <c r="VF19" s="252"/>
      <c r="VG19" s="252"/>
      <c r="VH19" s="252"/>
      <c r="VI19" s="252"/>
      <c r="VJ19" s="252"/>
      <c r="VK19" s="252"/>
      <c r="VL19" s="252"/>
      <c r="VM19" s="252"/>
      <c r="VN19" s="252"/>
      <c r="VO19" s="252"/>
      <c r="VP19" s="252"/>
      <c r="VQ19" s="252"/>
      <c r="VR19" s="252"/>
      <c r="VS19" s="252"/>
      <c r="VT19" s="252"/>
      <c r="VU19" s="252"/>
      <c r="VV19" s="252"/>
      <c r="VW19" s="252"/>
      <c r="VX19" s="252"/>
      <c r="VY19" s="252"/>
      <c r="VZ19" s="252"/>
      <c r="WA19" s="252"/>
      <c r="WB19" s="252"/>
      <c r="WC19" s="252"/>
      <c r="WD19" s="252"/>
      <c r="WE19" s="252"/>
      <c r="WF19" s="252"/>
      <c r="WG19" s="252"/>
      <c r="WH19" s="252"/>
      <c r="WI19" s="252"/>
      <c r="WJ19" s="252"/>
      <c r="WK19" s="252"/>
      <c r="WL19" s="252"/>
      <c r="WM19" s="252"/>
      <c r="WN19" s="252"/>
      <c r="WO19" s="252"/>
      <c r="WP19" s="252"/>
      <c r="WQ19" s="252"/>
      <c r="WR19" s="252"/>
      <c r="WS19" s="252"/>
      <c r="WT19" s="252"/>
      <c r="WU19" s="252"/>
      <c r="WV19" s="252"/>
      <c r="WW19" s="252"/>
      <c r="WX19" s="252"/>
      <c r="WY19" s="252"/>
      <c r="WZ19" s="252"/>
      <c r="XA19" s="252"/>
      <c r="XB19" s="252"/>
      <c r="XC19" s="252"/>
      <c r="XD19" s="252"/>
      <c r="XE19" s="252"/>
      <c r="XF19" s="252"/>
      <c r="XG19" s="252"/>
      <c r="XH19" s="252"/>
      <c r="XI19" s="252"/>
      <c r="XJ19" s="252"/>
      <c r="XK19" s="252"/>
      <c r="XL19" s="252"/>
      <c r="XM19" s="252"/>
      <c r="XN19" s="252"/>
      <c r="XO19" s="252"/>
      <c r="XP19" s="252"/>
      <c r="XQ19" s="252"/>
      <c r="XR19" s="252"/>
      <c r="XS19" s="252"/>
      <c r="XT19" s="252"/>
      <c r="XU19" s="252"/>
      <c r="XV19" s="252"/>
      <c r="XW19" s="252"/>
      <c r="XX19" s="252"/>
      <c r="XY19" s="252"/>
      <c r="XZ19" s="252"/>
      <c r="YA19" s="252"/>
      <c r="YB19" s="252"/>
      <c r="YC19" s="252"/>
      <c r="YD19" s="252"/>
      <c r="YE19" s="252"/>
      <c r="YF19" s="252"/>
      <c r="YG19" s="252"/>
      <c r="YH19" s="252"/>
      <c r="YI19" s="252"/>
      <c r="YJ19" s="252"/>
      <c r="YK19" s="252"/>
      <c r="YL19" s="252"/>
      <c r="YM19" s="252"/>
      <c r="YN19" s="252"/>
      <c r="YO19" s="252"/>
      <c r="YP19" s="252"/>
      <c r="YQ19" s="252"/>
      <c r="YR19" s="252"/>
      <c r="YS19" s="252"/>
      <c r="YT19" s="252"/>
      <c r="YU19" s="252"/>
      <c r="YV19" s="252"/>
      <c r="YW19" s="252"/>
      <c r="YX19" s="252"/>
      <c r="YY19" s="252"/>
      <c r="YZ19" s="252"/>
      <c r="ZA19" s="252"/>
      <c r="ZB19" s="252"/>
      <c r="ZC19" s="252"/>
      <c r="ZD19" s="252"/>
      <c r="ZE19" s="252"/>
      <c r="ZF19" s="252"/>
      <c r="ZG19" s="252"/>
      <c r="ZH19" s="252"/>
      <c r="ZI19" s="252"/>
      <c r="ZJ19" s="252"/>
      <c r="ZK19" s="252"/>
      <c r="ZL19" s="252"/>
      <c r="ZM19" s="252"/>
      <c r="ZN19" s="252"/>
      <c r="ZO19" s="252"/>
      <c r="ZP19" s="252"/>
      <c r="ZQ19" s="252"/>
      <c r="ZR19" s="252"/>
      <c r="ZS19" s="252"/>
      <c r="ZT19" s="252"/>
      <c r="ZU19" s="252"/>
      <c r="ZV19" s="252"/>
      <c r="ZW19" s="252"/>
      <c r="ZX19" s="252"/>
      <c r="ZY19" s="252"/>
      <c r="ZZ19" s="252"/>
      <c r="AAA19" s="252"/>
      <c r="AAB19" s="252"/>
      <c r="AAC19" s="252"/>
      <c r="AAD19" s="252"/>
      <c r="AAE19" s="252"/>
      <c r="AAF19" s="252"/>
      <c r="AAG19" s="252"/>
      <c r="AAH19" s="252"/>
      <c r="AAI19" s="252"/>
      <c r="AAJ19" s="252"/>
      <c r="AAK19" s="252"/>
      <c r="AAL19" s="252"/>
      <c r="AAM19" s="252"/>
      <c r="AAN19" s="252"/>
      <c r="AAO19" s="252"/>
      <c r="AAP19" s="252"/>
      <c r="AAQ19" s="252"/>
      <c r="AAR19" s="252"/>
      <c r="AAS19" s="252"/>
      <c r="AAT19" s="252"/>
      <c r="AAU19" s="252"/>
      <c r="AAV19" s="252"/>
      <c r="AAW19" s="252"/>
      <c r="AAX19" s="252"/>
      <c r="AAY19" s="252"/>
      <c r="AAZ19" s="252"/>
      <c r="ABA19" s="252"/>
      <c r="ABB19" s="252"/>
      <c r="ABC19" s="252"/>
      <c r="ABD19" s="252"/>
      <c r="ABE19" s="252"/>
      <c r="ABF19" s="252"/>
      <c r="ABG19" s="252"/>
      <c r="ABH19" s="252"/>
      <c r="ABI19" s="252"/>
      <c r="ABJ19" s="252"/>
      <c r="ABK19" s="252"/>
      <c r="ABL19" s="252"/>
      <c r="ABM19" s="252"/>
      <c r="ABN19" s="252"/>
      <c r="ABO19" s="252"/>
      <c r="ABP19" s="252"/>
      <c r="ABQ19" s="252"/>
      <c r="ABR19" s="252"/>
      <c r="ABS19" s="252"/>
      <c r="ABT19" s="252"/>
      <c r="ABU19" s="252"/>
      <c r="ABV19" s="252"/>
      <c r="ABW19" s="252"/>
      <c r="ABX19" s="252"/>
      <c r="ABY19" s="252"/>
      <c r="ABZ19" s="252"/>
      <c r="ACA19" s="252"/>
      <c r="ACB19" s="252"/>
      <c r="ACC19" s="252"/>
      <c r="ACD19" s="252"/>
      <c r="ACE19" s="252"/>
      <c r="ACF19" s="252"/>
      <c r="ACG19" s="252"/>
      <c r="ACH19" s="252"/>
      <c r="ACI19" s="252"/>
      <c r="ACJ19" s="252"/>
      <c r="ACK19" s="252"/>
      <c r="ACL19" s="252"/>
      <c r="ACM19" s="252"/>
      <c r="ACN19" s="252"/>
      <c r="ACO19" s="252"/>
      <c r="ACP19" s="252"/>
      <c r="ACQ19" s="252"/>
      <c r="ACR19" s="252"/>
      <c r="ACS19" s="252"/>
      <c r="ACT19" s="252"/>
      <c r="ACU19" s="252"/>
      <c r="ACV19" s="252"/>
      <c r="ACW19" s="252"/>
      <c r="ACX19" s="252"/>
      <c r="ACY19" s="252"/>
      <c r="ACZ19" s="252"/>
      <c r="ADA19" s="252"/>
      <c r="ADB19" s="252"/>
      <c r="ADC19" s="252"/>
      <c r="ADD19" s="252"/>
      <c r="ADE19" s="252"/>
      <c r="ADF19" s="252"/>
      <c r="ADG19" s="252"/>
      <c r="ADH19" s="252"/>
      <c r="ADI19" s="252"/>
      <c r="ADJ19" s="252"/>
      <c r="ADK19" s="252"/>
      <c r="ADL19" s="252"/>
      <c r="ADM19" s="252"/>
      <c r="ADN19" s="252"/>
      <c r="ADO19" s="252"/>
      <c r="ADP19" s="252"/>
      <c r="ADQ19" s="252"/>
      <c r="ADR19" s="252"/>
      <c r="ADS19" s="252"/>
      <c r="ADT19" s="252"/>
      <c r="ADU19" s="252"/>
      <c r="ADV19" s="252"/>
      <c r="ADW19" s="252"/>
      <c r="ADX19" s="252"/>
      <c r="ADY19" s="252"/>
      <c r="ADZ19" s="252"/>
      <c r="AEA19" s="252"/>
      <c r="AEB19" s="252"/>
      <c r="AEC19" s="252"/>
      <c r="AED19" s="252"/>
      <c r="AEE19" s="252"/>
      <c r="AEF19" s="252"/>
      <c r="AEG19" s="252"/>
      <c r="AEH19" s="252"/>
      <c r="AEI19" s="252"/>
      <c r="AEJ19" s="252"/>
      <c r="AEK19" s="252"/>
      <c r="AEL19" s="252"/>
      <c r="AEM19" s="252"/>
      <c r="AEN19" s="252"/>
      <c r="AEO19" s="252"/>
      <c r="AEP19" s="252"/>
      <c r="AEQ19" s="252"/>
      <c r="AER19" s="252"/>
      <c r="AES19" s="252"/>
      <c r="AET19" s="252"/>
      <c r="AEU19" s="252"/>
      <c r="AEV19" s="252"/>
      <c r="AEW19" s="252"/>
      <c r="AEX19" s="252"/>
      <c r="AEY19" s="252"/>
      <c r="AEZ19" s="252"/>
      <c r="AFA19" s="252"/>
      <c r="AFB19" s="252"/>
      <c r="AFC19" s="252"/>
      <c r="AFD19" s="252"/>
      <c r="AFE19" s="252"/>
      <c r="AFF19" s="252"/>
      <c r="AFG19" s="252"/>
      <c r="AFH19" s="252"/>
      <c r="AFI19" s="252"/>
      <c r="AFJ19" s="252"/>
      <c r="AFK19" s="252"/>
      <c r="AFL19" s="252"/>
      <c r="AFM19" s="252"/>
      <c r="AFN19" s="252"/>
      <c r="AFO19" s="252"/>
      <c r="AFP19" s="252"/>
      <c r="AFQ19" s="252"/>
      <c r="AFR19" s="252"/>
      <c r="AFS19" s="252"/>
      <c r="AFT19" s="252"/>
      <c r="AFU19" s="252"/>
      <c r="AFV19" s="252"/>
      <c r="AFW19" s="252"/>
      <c r="AFX19" s="252"/>
      <c r="AFY19" s="252"/>
      <c r="AFZ19" s="252"/>
      <c r="AGA19" s="252"/>
      <c r="AGB19" s="252"/>
      <c r="AGC19" s="252"/>
      <c r="AGD19" s="252"/>
      <c r="AGE19" s="252"/>
      <c r="AGF19" s="252"/>
      <c r="AGG19" s="252"/>
      <c r="AGH19" s="252"/>
      <c r="AGI19" s="252"/>
      <c r="AGJ19" s="252"/>
      <c r="AGK19" s="252"/>
      <c r="AGL19" s="252"/>
      <c r="AGM19" s="252"/>
      <c r="AGN19" s="252"/>
      <c r="AGO19" s="252"/>
      <c r="AGP19" s="252"/>
      <c r="AGQ19" s="252"/>
      <c r="AGR19" s="252"/>
      <c r="AGS19" s="252"/>
      <c r="AGT19" s="252"/>
      <c r="AGU19" s="252"/>
      <c r="AGV19" s="252"/>
      <c r="AGW19" s="252"/>
      <c r="AGX19" s="252"/>
      <c r="AGY19" s="252"/>
      <c r="AGZ19" s="252"/>
      <c r="AHA19" s="252"/>
      <c r="AHB19" s="252"/>
      <c r="AHC19" s="252"/>
      <c r="AHD19" s="252"/>
      <c r="AHE19" s="252"/>
      <c r="AHF19" s="252"/>
      <c r="AHG19" s="252"/>
      <c r="AHH19" s="252"/>
      <c r="AHI19" s="252"/>
      <c r="AHJ19" s="252"/>
      <c r="AHK19" s="252"/>
      <c r="AHL19" s="252"/>
      <c r="AHM19" s="252"/>
      <c r="AHN19" s="252"/>
      <c r="AHO19" s="252"/>
      <c r="AHP19" s="252"/>
      <c r="AHQ19" s="252"/>
      <c r="AHR19" s="252"/>
      <c r="AHS19" s="252"/>
      <c r="AHT19" s="252"/>
      <c r="AHU19" s="252"/>
      <c r="AHV19" s="252"/>
      <c r="AHW19" s="252"/>
      <c r="AHX19" s="252"/>
      <c r="AHY19" s="252"/>
      <c r="AHZ19" s="252"/>
      <c r="AIA19" s="252"/>
      <c r="AIB19" s="252"/>
      <c r="AIC19" s="252"/>
      <c r="AID19" s="252"/>
      <c r="AIE19" s="252"/>
      <c r="AIF19" s="252"/>
      <c r="AIG19" s="252"/>
      <c r="AIH19" s="252"/>
      <c r="AII19" s="252"/>
      <c r="AIJ19" s="252"/>
      <c r="AIK19" s="252"/>
      <c r="AIL19" s="252"/>
      <c r="AIM19" s="252"/>
      <c r="AIN19" s="252"/>
      <c r="AIO19" s="252"/>
      <c r="AIP19" s="252"/>
      <c r="AIQ19" s="252"/>
      <c r="AIR19" s="252"/>
      <c r="AIS19" s="252"/>
      <c r="AIT19" s="252"/>
      <c r="AIU19" s="252"/>
      <c r="AIV19" s="252"/>
      <c r="AIW19" s="252"/>
      <c r="AIX19" s="252"/>
      <c r="AIY19" s="252"/>
      <c r="AIZ19" s="252"/>
      <c r="AJA19" s="252"/>
      <c r="AJB19" s="252"/>
      <c r="AJC19" s="252"/>
      <c r="AJD19" s="252"/>
      <c r="AJE19" s="252"/>
      <c r="AJF19" s="252"/>
      <c r="AJG19" s="252"/>
      <c r="AJH19" s="252"/>
      <c r="AJI19" s="252"/>
      <c r="AJJ19" s="252"/>
      <c r="AJK19" s="252"/>
      <c r="AJL19" s="252"/>
      <c r="AJM19" s="252"/>
      <c r="AJN19" s="252"/>
      <c r="AJO19" s="252"/>
      <c r="AJP19" s="252"/>
      <c r="AJQ19" s="252"/>
      <c r="AJR19" s="252"/>
      <c r="AJS19" s="252"/>
      <c r="AJT19" s="252"/>
      <c r="AJU19" s="252"/>
      <c r="AJV19" s="252"/>
      <c r="AJW19" s="252"/>
      <c r="AJX19" s="252"/>
      <c r="AJY19" s="252"/>
      <c r="AJZ19" s="252"/>
      <c r="AKA19" s="252"/>
      <c r="AKB19" s="252"/>
      <c r="AKC19" s="252"/>
      <c r="AKD19" s="252"/>
      <c r="AKE19" s="252"/>
      <c r="AKF19" s="252"/>
      <c r="AKG19" s="252"/>
      <c r="AKH19" s="252"/>
      <c r="AKI19" s="252"/>
      <c r="AKJ19" s="252"/>
      <c r="AKK19" s="252"/>
      <c r="AKL19" s="252"/>
      <c r="AKM19" s="252"/>
      <c r="AKN19" s="252"/>
      <c r="AKO19" s="252"/>
      <c r="AKP19" s="252"/>
      <c r="AKQ19" s="252"/>
      <c r="AKR19" s="252"/>
      <c r="AKS19" s="252"/>
      <c r="AKT19" s="252"/>
      <c r="AKU19" s="252"/>
      <c r="AKV19" s="252"/>
      <c r="AKW19" s="252"/>
      <c r="AKX19" s="252"/>
      <c r="AKY19" s="252"/>
      <c r="AKZ19" s="252"/>
      <c r="ALA19" s="252"/>
      <c r="ALB19" s="252"/>
      <c r="ALC19" s="252"/>
      <c r="ALD19" s="252"/>
      <c r="ALE19" s="252"/>
      <c r="ALF19" s="252"/>
      <c r="ALG19" s="252"/>
      <c r="ALH19" s="252"/>
      <c r="ALI19" s="252"/>
      <c r="ALJ19" s="252"/>
      <c r="ALK19" s="252"/>
      <c r="ALL19" s="252"/>
      <c r="ALM19" s="252"/>
      <c r="ALN19" s="252"/>
      <c r="ALO19" s="252"/>
      <c r="ALP19" s="252"/>
      <c r="ALQ19" s="252"/>
      <c r="ALR19" s="252"/>
      <c r="ALS19" s="252"/>
    </row>
    <row r="20" spans="1:1007" s="3" customFormat="1" x14ac:dyDescent="0.2">
      <c r="A20" s="749" t="s">
        <v>292</v>
      </c>
      <c r="B20" s="382">
        <v>15000</v>
      </c>
      <c r="C20" s="382">
        <v>15400</v>
      </c>
      <c r="D20" s="382">
        <v>13800</v>
      </c>
      <c r="E20" s="740">
        <v>14700</v>
      </c>
      <c r="F20" s="730"/>
      <c r="G20" s="730"/>
      <c r="H20" s="369"/>
      <c r="I20" s="730"/>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2"/>
      <c r="BA20" s="252"/>
      <c r="BB20" s="252"/>
      <c r="BC20" s="252"/>
      <c r="BD20" s="252"/>
      <c r="BE20" s="252"/>
      <c r="BF20" s="252"/>
      <c r="BG20" s="252"/>
      <c r="BH20" s="252"/>
      <c r="BI20" s="252"/>
      <c r="BJ20" s="252"/>
      <c r="BK20" s="252"/>
      <c r="BL20" s="252"/>
      <c r="BM20" s="252"/>
      <c r="BN20" s="252"/>
      <c r="BO20" s="252"/>
      <c r="BP20" s="252"/>
      <c r="BQ20" s="252"/>
      <c r="BR20" s="252"/>
      <c r="BS20" s="252"/>
      <c r="BT20" s="252"/>
      <c r="BU20" s="252"/>
      <c r="BV20" s="252"/>
      <c r="BW20" s="252"/>
      <c r="BX20" s="252"/>
      <c r="BY20" s="252"/>
      <c r="BZ20" s="252"/>
      <c r="CA20" s="252"/>
      <c r="CB20" s="252"/>
      <c r="CC20" s="252"/>
      <c r="CD20" s="252"/>
      <c r="CE20" s="252"/>
      <c r="CF20" s="252"/>
      <c r="CG20" s="252"/>
      <c r="CH20" s="252"/>
      <c r="CI20" s="252"/>
      <c r="CJ20" s="252"/>
      <c r="CK20" s="252"/>
      <c r="CL20" s="252"/>
      <c r="CM20" s="252"/>
      <c r="CN20" s="252"/>
      <c r="CO20" s="252"/>
      <c r="CP20" s="252"/>
      <c r="CQ20" s="252"/>
      <c r="CR20" s="252"/>
      <c r="CS20" s="252"/>
      <c r="CT20" s="252"/>
      <c r="CU20" s="252"/>
      <c r="CV20" s="252"/>
      <c r="CW20" s="252"/>
      <c r="CX20" s="252"/>
      <c r="CY20" s="252"/>
      <c r="CZ20" s="252"/>
      <c r="DA20" s="252"/>
      <c r="DB20" s="252"/>
      <c r="DC20" s="252"/>
      <c r="DD20" s="252"/>
      <c r="DE20" s="252"/>
      <c r="DF20" s="252"/>
      <c r="DG20" s="252"/>
      <c r="DH20" s="252"/>
      <c r="DI20" s="252"/>
      <c r="DJ20" s="252"/>
      <c r="DK20" s="252"/>
      <c r="DL20" s="252"/>
      <c r="DM20" s="252"/>
      <c r="DN20" s="252"/>
      <c r="DO20" s="252"/>
      <c r="DP20" s="252"/>
      <c r="DQ20" s="252"/>
      <c r="DR20" s="252"/>
      <c r="DS20" s="252"/>
      <c r="DT20" s="252"/>
      <c r="DU20" s="252"/>
      <c r="DV20" s="252"/>
      <c r="DW20" s="252"/>
      <c r="DX20" s="252"/>
      <c r="DY20" s="252"/>
      <c r="DZ20" s="252"/>
      <c r="EA20" s="252"/>
      <c r="EB20" s="252"/>
      <c r="EC20" s="252"/>
      <c r="ED20" s="252"/>
      <c r="EE20" s="252"/>
      <c r="EF20" s="252"/>
      <c r="EG20" s="252"/>
      <c r="EH20" s="252"/>
      <c r="EI20" s="252"/>
      <c r="EJ20" s="252"/>
      <c r="EK20" s="252"/>
      <c r="EL20" s="252"/>
      <c r="EM20" s="252"/>
      <c r="EN20" s="252"/>
      <c r="EO20" s="252"/>
      <c r="EP20" s="252"/>
      <c r="EQ20" s="252"/>
      <c r="ER20" s="252"/>
      <c r="ES20" s="252"/>
      <c r="ET20" s="252"/>
      <c r="EU20" s="252"/>
      <c r="EV20" s="252"/>
      <c r="EW20" s="252"/>
      <c r="EX20" s="252"/>
      <c r="EY20" s="252"/>
      <c r="EZ20" s="252"/>
      <c r="FA20" s="252"/>
      <c r="FB20" s="252"/>
      <c r="FC20" s="252"/>
      <c r="FD20" s="252"/>
      <c r="FE20" s="252"/>
      <c r="FF20" s="252"/>
      <c r="FG20" s="252"/>
      <c r="FH20" s="252"/>
      <c r="FI20" s="252"/>
      <c r="FJ20" s="252"/>
      <c r="FK20" s="252"/>
      <c r="FL20" s="252"/>
      <c r="FM20" s="252"/>
      <c r="FN20" s="252"/>
      <c r="FO20" s="252"/>
      <c r="FP20" s="252"/>
      <c r="FQ20" s="252"/>
      <c r="FR20" s="252"/>
      <c r="FS20" s="252"/>
      <c r="FT20" s="252"/>
      <c r="FU20" s="252"/>
      <c r="FV20" s="252"/>
      <c r="FW20" s="252"/>
      <c r="FX20" s="252"/>
      <c r="FY20" s="252"/>
      <c r="FZ20" s="252"/>
      <c r="GA20" s="252"/>
      <c r="GB20" s="252"/>
      <c r="GC20" s="252"/>
      <c r="GD20" s="252"/>
      <c r="GE20" s="252"/>
      <c r="GF20" s="252"/>
      <c r="GG20" s="252"/>
      <c r="GH20" s="252"/>
      <c r="GI20" s="252"/>
      <c r="GJ20" s="252"/>
      <c r="GK20" s="252"/>
      <c r="GL20" s="252"/>
      <c r="GM20" s="252"/>
      <c r="GN20" s="252"/>
      <c r="GO20" s="252"/>
      <c r="GP20" s="252"/>
      <c r="GQ20" s="252"/>
      <c r="GR20" s="252"/>
      <c r="GS20" s="252"/>
      <c r="GT20" s="252"/>
      <c r="GU20" s="252"/>
      <c r="GV20" s="252"/>
      <c r="GW20" s="252"/>
      <c r="GX20" s="252"/>
      <c r="GY20" s="252"/>
      <c r="GZ20" s="252"/>
      <c r="HA20" s="252"/>
      <c r="HB20" s="252"/>
      <c r="HC20" s="252"/>
      <c r="HD20" s="252"/>
      <c r="HE20" s="252"/>
      <c r="HF20" s="252"/>
      <c r="HG20" s="252"/>
      <c r="HH20" s="252"/>
      <c r="HI20" s="252"/>
      <c r="HJ20" s="252"/>
      <c r="HK20" s="252"/>
      <c r="HL20" s="252"/>
      <c r="HM20" s="252"/>
      <c r="HN20" s="252"/>
      <c r="HO20" s="252"/>
      <c r="HP20" s="252"/>
      <c r="HQ20" s="252"/>
      <c r="HR20" s="252"/>
      <c r="HS20" s="252"/>
      <c r="HT20" s="252"/>
      <c r="HU20" s="252"/>
      <c r="HV20" s="252"/>
      <c r="HW20" s="252"/>
      <c r="HX20" s="252"/>
      <c r="HY20" s="252"/>
      <c r="HZ20" s="252"/>
      <c r="IA20" s="252"/>
      <c r="IB20" s="252"/>
      <c r="IC20" s="252"/>
      <c r="ID20" s="252"/>
      <c r="IE20" s="252"/>
      <c r="IF20" s="252"/>
      <c r="IG20" s="252"/>
      <c r="IH20" s="252"/>
      <c r="II20" s="252"/>
      <c r="IJ20" s="252"/>
      <c r="IK20" s="252"/>
      <c r="IL20" s="252"/>
      <c r="IM20" s="252"/>
      <c r="IN20" s="252"/>
      <c r="IO20" s="252"/>
      <c r="IP20" s="252"/>
      <c r="IQ20" s="252"/>
      <c r="IR20" s="252"/>
      <c r="IS20" s="252"/>
      <c r="IT20" s="252"/>
      <c r="IU20" s="252"/>
      <c r="IV20" s="252"/>
      <c r="IW20" s="252"/>
      <c r="IX20" s="252"/>
      <c r="IY20" s="252"/>
      <c r="IZ20" s="252"/>
      <c r="JA20" s="252"/>
      <c r="JB20" s="252"/>
      <c r="JC20" s="252"/>
      <c r="JD20" s="252"/>
      <c r="JE20" s="252"/>
      <c r="JF20" s="252"/>
      <c r="JG20" s="252"/>
      <c r="JH20" s="252"/>
      <c r="JI20" s="252"/>
      <c r="JJ20" s="252"/>
      <c r="JK20" s="252"/>
      <c r="JL20" s="252"/>
      <c r="JM20" s="252"/>
      <c r="JN20" s="252"/>
      <c r="JO20" s="252"/>
      <c r="JP20" s="252"/>
      <c r="JQ20" s="252"/>
      <c r="JR20" s="252"/>
      <c r="JS20" s="252"/>
      <c r="JT20" s="252"/>
      <c r="JU20" s="252"/>
      <c r="JV20" s="252"/>
      <c r="JW20" s="252"/>
      <c r="JX20" s="252"/>
      <c r="JY20" s="252"/>
      <c r="JZ20" s="252"/>
      <c r="KA20" s="252"/>
      <c r="KB20" s="252"/>
      <c r="KC20" s="252"/>
      <c r="KD20" s="252"/>
      <c r="KE20" s="252"/>
      <c r="KF20" s="252"/>
      <c r="KG20" s="252"/>
      <c r="KH20" s="252"/>
      <c r="KI20" s="252"/>
      <c r="KJ20" s="252"/>
      <c r="KK20" s="252"/>
      <c r="KL20" s="252"/>
      <c r="KM20" s="252"/>
      <c r="KN20" s="252"/>
      <c r="KO20" s="252"/>
      <c r="KP20" s="252"/>
      <c r="KQ20" s="252"/>
      <c r="KR20" s="252"/>
      <c r="KS20" s="252"/>
      <c r="KT20" s="252"/>
      <c r="KU20" s="252"/>
      <c r="KV20" s="252"/>
      <c r="KW20" s="252"/>
      <c r="KX20" s="252"/>
      <c r="KY20" s="252"/>
      <c r="KZ20" s="252"/>
      <c r="LA20" s="252"/>
      <c r="LB20" s="252"/>
      <c r="LC20" s="252"/>
      <c r="LD20" s="252"/>
      <c r="LE20" s="252"/>
      <c r="LF20" s="252"/>
      <c r="LG20" s="252"/>
      <c r="LH20" s="252"/>
      <c r="LI20" s="252"/>
      <c r="LJ20" s="252"/>
      <c r="LK20" s="252"/>
      <c r="LL20" s="252"/>
      <c r="LM20" s="252"/>
      <c r="LN20" s="252"/>
      <c r="LO20" s="252"/>
      <c r="LP20" s="252"/>
      <c r="LQ20" s="252"/>
      <c r="LR20" s="252"/>
      <c r="LS20" s="252"/>
      <c r="LT20" s="252"/>
      <c r="LU20" s="252"/>
      <c r="LV20" s="252"/>
      <c r="LW20" s="252"/>
      <c r="LX20" s="252"/>
      <c r="LY20" s="252"/>
      <c r="LZ20" s="252"/>
      <c r="MA20" s="252"/>
      <c r="MB20" s="252"/>
      <c r="MC20" s="252"/>
      <c r="MD20" s="252"/>
      <c r="ME20" s="252"/>
      <c r="MF20" s="252"/>
      <c r="MG20" s="252"/>
      <c r="MH20" s="252"/>
      <c r="MI20" s="252"/>
      <c r="MJ20" s="252"/>
      <c r="MK20" s="252"/>
      <c r="ML20" s="252"/>
      <c r="MM20" s="252"/>
      <c r="MN20" s="252"/>
      <c r="MO20" s="252"/>
      <c r="MP20" s="252"/>
      <c r="MQ20" s="252"/>
      <c r="MR20" s="252"/>
      <c r="MS20" s="252"/>
      <c r="MT20" s="252"/>
      <c r="MU20" s="252"/>
      <c r="MV20" s="252"/>
      <c r="MW20" s="252"/>
      <c r="MX20" s="252"/>
      <c r="MY20" s="252"/>
      <c r="MZ20" s="252"/>
      <c r="NA20" s="252"/>
      <c r="NB20" s="252"/>
      <c r="NC20" s="252"/>
      <c r="ND20" s="252"/>
      <c r="NE20" s="252"/>
      <c r="NF20" s="252"/>
      <c r="NG20" s="252"/>
      <c r="NH20" s="252"/>
      <c r="NI20" s="252"/>
      <c r="NJ20" s="252"/>
      <c r="NK20" s="252"/>
      <c r="NL20" s="252"/>
      <c r="NM20" s="252"/>
      <c r="NN20" s="252"/>
      <c r="NO20" s="252"/>
      <c r="NP20" s="252"/>
      <c r="NQ20" s="252"/>
      <c r="NR20" s="252"/>
      <c r="NS20" s="252"/>
      <c r="NT20" s="252"/>
      <c r="NU20" s="252"/>
      <c r="NV20" s="252"/>
      <c r="NW20" s="252"/>
      <c r="NX20" s="252"/>
      <c r="NY20" s="252"/>
      <c r="NZ20" s="252"/>
      <c r="OA20" s="252"/>
      <c r="OB20" s="252"/>
      <c r="OC20" s="252"/>
      <c r="OD20" s="252"/>
      <c r="OE20" s="252"/>
      <c r="OF20" s="252"/>
      <c r="OG20" s="252"/>
      <c r="OH20" s="252"/>
      <c r="OI20" s="252"/>
      <c r="OJ20" s="252"/>
      <c r="OK20" s="252"/>
      <c r="OL20" s="252"/>
      <c r="OM20" s="252"/>
      <c r="ON20" s="252"/>
      <c r="OO20" s="252"/>
      <c r="OP20" s="252"/>
      <c r="OQ20" s="252"/>
      <c r="OR20" s="252"/>
      <c r="OS20" s="252"/>
      <c r="OT20" s="252"/>
      <c r="OU20" s="252"/>
      <c r="OV20" s="252"/>
      <c r="OW20" s="252"/>
      <c r="OX20" s="252"/>
      <c r="OY20" s="252"/>
      <c r="OZ20" s="252"/>
      <c r="PA20" s="252"/>
      <c r="PB20" s="252"/>
      <c r="PC20" s="252"/>
      <c r="PD20" s="252"/>
      <c r="PE20" s="252"/>
      <c r="PF20" s="252"/>
      <c r="PG20" s="252"/>
      <c r="PH20" s="252"/>
      <c r="PI20" s="252"/>
      <c r="PJ20" s="252"/>
      <c r="PK20" s="252"/>
      <c r="PL20" s="252"/>
      <c r="PM20" s="252"/>
      <c r="PN20" s="252"/>
      <c r="PO20" s="252"/>
      <c r="PP20" s="252"/>
      <c r="PQ20" s="252"/>
      <c r="PR20" s="252"/>
      <c r="PS20" s="252"/>
      <c r="PT20" s="252"/>
      <c r="PU20" s="252"/>
      <c r="PV20" s="252"/>
      <c r="PW20" s="252"/>
      <c r="PX20" s="252"/>
      <c r="PY20" s="252"/>
      <c r="PZ20" s="252"/>
      <c r="QA20" s="252"/>
      <c r="QB20" s="252"/>
      <c r="QC20" s="252"/>
      <c r="QD20" s="252"/>
      <c r="QE20" s="252"/>
      <c r="QF20" s="252"/>
      <c r="QG20" s="252"/>
      <c r="QH20" s="252"/>
      <c r="QI20" s="252"/>
      <c r="QJ20" s="252"/>
      <c r="QK20" s="252"/>
      <c r="QL20" s="252"/>
      <c r="QM20" s="252"/>
      <c r="QN20" s="252"/>
      <c r="QO20" s="252"/>
      <c r="QP20" s="252"/>
      <c r="QQ20" s="252"/>
      <c r="QR20" s="252"/>
      <c r="QS20" s="252"/>
      <c r="QT20" s="252"/>
      <c r="QU20" s="252"/>
      <c r="QV20" s="252"/>
      <c r="QW20" s="252"/>
      <c r="QX20" s="252"/>
      <c r="QY20" s="252"/>
      <c r="QZ20" s="252"/>
      <c r="RA20" s="252"/>
      <c r="RB20" s="252"/>
      <c r="RC20" s="252"/>
      <c r="RD20" s="252"/>
      <c r="RE20" s="252"/>
      <c r="RF20" s="252"/>
      <c r="RG20" s="252"/>
      <c r="RH20" s="252"/>
      <c r="RI20" s="252"/>
      <c r="RJ20" s="252"/>
      <c r="RK20" s="252"/>
      <c r="RL20" s="252"/>
      <c r="RM20" s="252"/>
      <c r="RN20" s="252"/>
      <c r="RO20" s="252"/>
      <c r="RP20" s="252"/>
      <c r="RQ20" s="252"/>
      <c r="RR20" s="252"/>
      <c r="RS20" s="252"/>
      <c r="RT20" s="252"/>
      <c r="RU20" s="252"/>
      <c r="RV20" s="252"/>
      <c r="RW20" s="252"/>
      <c r="RX20" s="252"/>
      <c r="RY20" s="252"/>
      <c r="RZ20" s="252"/>
      <c r="SA20" s="252"/>
      <c r="SB20" s="252"/>
      <c r="SC20" s="252"/>
      <c r="SD20" s="252"/>
      <c r="SE20" s="252"/>
      <c r="SF20" s="252"/>
      <c r="SG20" s="252"/>
      <c r="SH20" s="252"/>
      <c r="SI20" s="252"/>
      <c r="SJ20" s="252"/>
      <c r="SK20" s="252"/>
      <c r="SL20" s="252"/>
      <c r="SM20" s="252"/>
      <c r="SN20" s="252"/>
      <c r="SO20" s="252"/>
      <c r="SP20" s="252"/>
      <c r="SQ20" s="252"/>
      <c r="SR20" s="252"/>
      <c r="SS20" s="252"/>
      <c r="ST20" s="252"/>
      <c r="SU20" s="252"/>
      <c r="SV20" s="252"/>
      <c r="SW20" s="252"/>
      <c r="SX20" s="252"/>
      <c r="SY20" s="252"/>
      <c r="SZ20" s="252"/>
      <c r="TA20" s="252"/>
      <c r="TB20" s="252"/>
      <c r="TC20" s="252"/>
      <c r="TD20" s="252"/>
      <c r="TE20" s="252"/>
      <c r="TF20" s="252"/>
      <c r="TG20" s="252"/>
      <c r="TH20" s="252"/>
      <c r="TI20" s="252"/>
      <c r="TJ20" s="252"/>
      <c r="TK20" s="252"/>
      <c r="TL20" s="252"/>
      <c r="TM20" s="252"/>
      <c r="TN20" s="252"/>
      <c r="TO20" s="252"/>
      <c r="TP20" s="252"/>
      <c r="TQ20" s="252"/>
      <c r="TR20" s="252"/>
      <c r="TS20" s="252"/>
      <c r="TT20" s="252"/>
      <c r="TU20" s="252"/>
      <c r="TV20" s="252"/>
      <c r="TW20" s="252"/>
      <c r="TX20" s="252"/>
      <c r="TY20" s="252"/>
      <c r="TZ20" s="252"/>
      <c r="UA20" s="252"/>
      <c r="UB20" s="252"/>
      <c r="UC20" s="252"/>
      <c r="UD20" s="252"/>
      <c r="UE20" s="252"/>
      <c r="UF20" s="252"/>
      <c r="UG20" s="252"/>
      <c r="UH20" s="252"/>
      <c r="UI20" s="252"/>
      <c r="UJ20" s="252"/>
      <c r="UK20" s="252"/>
      <c r="UL20" s="252"/>
      <c r="UM20" s="252"/>
      <c r="UN20" s="252"/>
      <c r="UO20" s="252"/>
      <c r="UP20" s="252"/>
      <c r="UQ20" s="252"/>
      <c r="UR20" s="252"/>
      <c r="US20" s="252"/>
      <c r="UT20" s="252"/>
      <c r="UU20" s="252"/>
      <c r="UV20" s="252"/>
      <c r="UW20" s="252"/>
      <c r="UX20" s="252"/>
      <c r="UY20" s="252"/>
      <c r="UZ20" s="252"/>
      <c r="VA20" s="252"/>
      <c r="VB20" s="252"/>
      <c r="VC20" s="252"/>
      <c r="VD20" s="252"/>
      <c r="VE20" s="252"/>
      <c r="VF20" s="252"/>
      <c r="VG20" s="252"/>
      <c r="VH20" s="252"/>
      <c r="VI20" s="252"/>
      <c r="VJ20" s="252"/>
      <c r="VK20" s="252"/>
      <c r="VL20" s="252"/>
      <c r="VM20" s="252"/>
      <c r="VN20" s="252"/>
      <c r="VO20" s="252"/>
      <c r="VP20" s="252"/>
      <c r="VQ20" s="252"/>
      <c r="VR20" s="252"/>
      <c r="VS20" s="252"/>
      <c r="VT20" s="252"/>
      <c r="VU20" s="252"/>
      <c r="VV20" s="252"/>
      <c r="VW20" s="252"/>
      <c r="VX20" s="252"/>
      <c r="VY20" s="252"/>
      <c r="VZ20" s="252"/>
      <c r="WA20" s="252"/>
      <c r="WB20" s="252"/>
      <c r="WC20" s="252"/>
      <c r="WD20" s="252"/>
      <c r="WE20" s="252"/>
      <c r="WF20" s="252"/>
      <c r="WG20" s="252"/>
      <c r="WH20" s="252"/>
      <c r="WI20" s="252"/>
      <c r="WJ20" s="252"/>
      <c r="WK20" s="252"/>
      <c r="WL20" s="252"/>
      <c r="WM20" s="252"/>
      <c r="WN20" s="252"/>
      <c r="WO20" s="252"/>
      <c r="WP20" s="252"/>
      <c r="WQ20" s="252"/>
      <c r="WR20" s="252"/>
      <c r="WS20" s="252"/>
      <c r="WT20" s="252"/>
      <c r="WU20" s="252"/>
      <c r="WV20" s="252"/>
      <c r="WW20" s="252"/>
      <c r="WX20" s="252"/>
      <c r="WY20" s="252"/>
      <c r="WZ20" s="252"/>
      <c r="XA20" s="252"/>
      <c r="XB20" s="252"/>
      <c r="XC20" s="252"/>
      <c r="XD20" s="252"/>
      <c r="XE20" s="252"/>
      <c r="XF20" s="252"/>
      <c r="XG20" s="252"/>
      <c r="XH20" s="252"/>
      <c r="XI20" s="252"/>
      <c r="XJ20" s="252"/>
      <c r="XK20" s="252"/>
      <c r="XL20" s="252"/>
      <c r="XM20" s="252"/>
      <c r="XN20" s="252"/>
      <c r="XO20" s="252"/>
      <c r="XP20" s="252"/>
      <c r="XQ20" s="252"/>
      <c r="XR20" s="252"/>
      <c r="XS20" s="252"/>
      <c r="XT20" s="252"/>
      <c r="XU20" s="252"/>
      <c r="XV20" s="252"/>
      <c r="XW20" s="252"/>
      <c r="XX20" s="252"/>
      <c r="XY20" s="252"/>
      <c r="XZ20" s="252"/>
      <c r="YA20" s="252"/>
      <c r="YB20" s="252"/>
      <c r="YC20" s="252"/>
      <c r="YD20" s="252"/>
      <c r="YE20" s="252"/>
      <c r="YF20" s="252"/>
      <c r="YG20" s="252"/>
      <c r="YH20" s="252"/>
      <c r="YI20" s="252"/>
      <c r="YJ20" s="252"/>
      <c r="YK20" s="252"/>
      <c r="YL20" s="252"/>
      <c r="YM20" s="252"/>
      <c r="YN20" s="252"/>
      <c r="YO20" s="252"/>
      <c r="YP20" s="252"/>
      <c r="YQ20" s="252"/>
      <c r="YR20" s="252"/>
      <c r="YS20" s="252"/>
      <c r="YT20" s="252"/>
      <c r="YU20" s="252"/>
      <c r="YV20" s="252"/>
      <c r="YW20" s="252"/>
      <c r="YX20" s="252"/>
      <c r="YY20" s="252"/>
      <c r="YZ20" s="252"/>
      <c r="ZA20" s="252"/>
      <c r="ZB20" s="252"/>
      <c r="ZC20" s="252"/>
      <c r="ZD20" s="252"/>
      <c r="ZE20" s="252"/>
      <c r="ZF20" s="252"/>
      <c r="ZG20" s="252"/>
      <c r="ZH20" s="252"/>
      <c r="ZI20" s="252"/>
      <c r="ZJ20" s="252"/>
      <c r="ZK20" s="252"/>
      <c r="ZL20" s="252"/>
      <c r="ZM20" s="252"/>
      <c r="ZN20" s="252"/>
      <c r="ZO20" s="252"/>
      <c r="ZP20" s="252"/>
      <c r="ZQ20" s="252"/>
      <c r="ZR20" s="252"/>
      <c r="ZS20" s="252"/>
      <c r="ZT20" s="252"/>
      <c r="ZU20" s="252"/>
      <c r="ZV20" s="252"/>
      <c r="ZW20" s="252"/>
      <c r="ZX20" s="252"/>
      <c r="ZY20" s="252"/>
      <c r="ZZ20" s="252"/>
      <c r="AAA20" s="252"/>
      <c r="AAB20" s="252"/>
      <c r="AAC20" s="252"/>
      <c r="AAD20" s="252"/>
      <c r="AAE20" s="252"/>
      <c r="AAF20" s="252"/>
      <c r="AAG20" s="252"/>
      <c r="AAH20" s="252"/>
      <c r="AAI20" s="252"/>
      <c r="AAJ20" s="252"/>
      <c r="AAK20" s="252"/>
      <c r="AAL20" s="252"/>
      <c r="AAM20" s="252"/>
      <c r="AAN20" s="252"/>
      <c r="AAO20" s="252"/>
      <c r="AAP20" s="252"/>
      <c r="AAQ20" s="252"/>
      <c r="AAR20" s="252"/>
      <c r="AAS20" s="252"/>
      <c r="AAT20" s="252"/>
      <c r="AAU20" s="252"/>
      <c r="AAV20" s="252"/>
      <c r="AAW20" s="252"/>
      <c r="AAX20" s="252"/>
      <c r="AAY20" s="252"/>
      <c r="AAZ20" s="252"/>
      <c r="ABA20" s="252"/>
      <c r="ABB20" s="252"/>
      <c r="ABC20" s="252"/>
      <c r="ABD20" s="252"/>
      <c r="ABE20" s="252"/>
      <c r="ABF20" s="252"/>
      <c r="ABG20" s="252"/>
      <c r="ABH20" s="252"/>
      <c r="ABI20" s="252"/>
      <c r="ABJ20" s="252"/>
      <c r="ABK20" s="252"/>
      <c r="ABL20" s="252"/>
      <c r="ABM20" s="252"/>
      <c r="ABN20" s="252"/>
      <c r="ABO20" s="252"/>
      <c r="ABP20" s="252"/>
      <c r="ABQ20" s="252"/>
      <c r="ABR20" s="252"/>
      <c r="ABS20" s="252"/>
      <c r="ABT20" s="252"/>
      <c r="ABU20" s="252"/>
      <c r="ABV20" s="252"/>
      <c r="ABW20" s="252"/>
      <c r="ABX20" s="252"/>
      <c r="ABY20" s="252"/>
      <c r="ABZ20" s="252"/>
      <c r="ACA20" s="252"/>
      <c r="ACB20" s="252"/>
      <c r="ACC20" s="252"/>
      <c r="ACD20" s="252"/>
      <c r="ACE20" s="252"/>
      <c r="ACF20" s="252"/>
      <c r="ACG20" s="252"/>
      <c r="ACH20" s="252"/>
      <c r="ACI20" s="252"/>
      <c r="ACJ20" s="252"/>
      <c r="ACK20" s="252"/>
      <c r="ACL20" s="252"/>
      <c r="ACM20" s="252"/>
      <c r="ACN20" s="252"/>
      <c r="ACO20" s="252"/>
      <c r="ACP20" s="252"/>
      <c r="ACQ20" s="252"/>
      <c r="ACR20" s="252"/>
      <c r="ACS20" s="252"/>
      <c r="ACT20" s="252"/>
      <c r="ACU20" s="252"/>
      <c r="ACV20" s="252"/>
      <c r="ACW20" s="252"/>
      <c r="ACX20" s="252"/>
      <c r="ACY20" s="252"/>
      <c r="ACZ20" s="252"/>
      <c r="ADA20" s="252"/>
      <c r="ADB20" s="252"/>
      <c r="ADC20" s="252"/>
      <c r="ADD20" s="252"/>
      <c r="ADE20" s="252"/>
      <c r="ADF20" s="252"/>
      <c r="ADG20" s="252"/>
      <c r="ADH20" s="252"/>
      <c r="ADI20" s="252"/>
      <c r="ADJ20" s="252"/>
      <c r="ADK20" s="252"/>
      <c r="ADL20" s="252"/>
      <c r="ADM20" s="252"/>
      <c r="ADN20" s="252"/>
      <c r="ADO20" s="252"/>
      <c r="ADP20" s="252"/>
      <c r="ADQ20" s="252"/>
      <c r="ADR20" s="252"/>
      <c r="ADS20" s="252"/>
      <c r="ADT20" s="252"/>
      <c r="ADU20" s="252"/>
      <c r="ADV20" s="252"/>
      <c r="ADW20" s="252"/>
      <c r="ADX20" s="252"/>
      <c r="ADY20" s="252"/>
      <c r="ADZ20" s="252"/>
      <c r="AEA20" s="252"/>
      <c r="AEB20" s="252"/>
      <c r="AEC20" s="252"/>
      <c r="AED20" s="252"/>
      <c r="AEE20" s="252"/>
      <c r="AEF20" s="252"/>
      <c r="AEG20" s="252"/>
      <c r="AEH20" s="252"/>
      <c r="AEI20" s="252"/>
      <c r="AEJ20" s="252"/>
      <c r="AEK20" s="252"/>
      <c r="AEL20" s="252"/>
      <c r="AEM20" s="252"/>
      <c r="AEN20" s="252"/>
      <c r="AEO20" s="252"/>
      <c r="AEP20" s="252"/>
      <c r="AEQ20" s="252"/>
      <c r="AER20" s="252"/>
      <c r="AES20" s="252"/>
      <c r="AET20" s="252"/>
      <c r="AEU20" s="252"/>
      <c r="AEV20" s="252"/>
      <c r="AEW20" s="252"/>
      <c r="AEX20" s="252"/>
      <c r="AEY20" s="252"/>
      <c r="AEZ20" s="252"/>
      <c r="AFA20" s="252"/>
      <c r="AFB20" s="252"/>
      <c r="AFC20" s="252"/>
      <c r="AFD20" s="252"/>
      <c r="AFE20" s="252"/>
      <c r="AFF20" s="252"/>
      <c r="AFG20" s="252"/>
      <c r="AFH20" s="252"/>
      <c r="AFI20" s="252"/>
      <c r="AFJ20" s="252"/>
      <c r="AFK20" s="252"/>
      <c r="AFL20" s="252"/>
      <c r="AFM20" s="252"/>
      <c r="AFN20" s="252"/>
      <c r="AFO20" s="252"/>
      <c r="AFP20" s="252"/>
      <c r="AFQ20" s="252"/>
      <c r="AFR20" s="252"/>
      <c r="AFS20" s="252"/>
      <c r="AFT20" s="252"/>
      <c r="AFU20" s="252"/>
      <c r="AFV20" s="252"/>
      <c r="AFW20" s="252"/>
      <c r="AFX20" s="252"/>
      <c r="AFY20" s="252"/>
      <c r="AFZ20" s="252"/>
      <c r="AGA20" s="252"/>
      <c r="AGB20" s="252"/>
      <c r="AGC20" s="252"/>
      <c r="AGD20" s="252"/>
      <c r="AGE20" s="252"/>
      <c r="AGF20" s="252"/>
      <c r="AGG20" s="252"/>
      <c r="AGH20" s="252"/>
      <c r="AGI20" s="252"/>
      <c r="AGJ20" s="252"/>
      <c r="AGK20" s="252"/>
      <c r="AGL20" s="252"/>
      <c r="AGM20" s="252"/>
      <c r="AGN20" s="252"/>
      <c r="AGO20" s="252"/>
      <c r="AGP20" s="252"/>
      <c r="AGQ20" s="252"/>
      <c r="AGR20" s="252"/>
      <c r="AGS20" s="252"/>
      <c r="AGT20" s="252"/>
      <c r="AGU20" s="252"/>
      <c r="AGV20" s="252"/>
      <c r="AGW20" s="252"/>
      <c r="AGX20" s="252"/>
      <c r="AGY20" s="252"/>
      <c r="AGZ20" s="252"/>
      <c r="AHA20" s="252"/>
      <c r="AHB20" s="252"/>
      <c r="AHC20" s="252"/>
      <c r="AHD20" s="252"/>
      <c r="AHE20" s="252"/>
      <c r="AHF20" s="252"/>
      <c r="AHG20" s="252"/>
      <c r="AHH20" s="252"/>
      <c r="AHI20" s="252"/>
      <c r="AHJ20" s="252"/>
      <c r="AHK20" s="252"/>
      <c r="AHL20" s="252"/>
      <c r="AHM20" s="252"/>
      <c r="AHN20" s="252"/>
      <c r="AHO20" s="252"/>
      <c r="AHP20" s="252"/>
      <c r="AHQ20" s="252"/>
      <c r="AHR20" s="252"/>
      <c r="AHS20" s="252"/>
      <c r="AHT20" s="252"/>
      <c r="AHU20" s="252"/>
      <c r="AHV20" s="252"/>
      <c r="AHW20" s="252"/>
      <c r="AHX20" s="252"/>
      <c r="AHY20" s="252"/>
      <c r="AHZ20" s="252"/>
      <c r="AIA20" s="252"/>
      <c r="AIB20" s="252"/>
      <c r="AIC20" s="252"/>
      <c r="AID20" s="252"/>
      <c r="AIE20" s="252"/>
      <c r="AIF20" s="252"/>
      <c r="AIG20" s="252"/>
      <c r="AIH20" s="252"/>
      <c r="AII20" s="252"/>
      <c r="AIJ20" s="252"/>
      <c r="AIK20" s="252"/>
      <c r="AIL20" s="252"/>
      <c r="AIM20" s="252"/>
      <c r="AIN20" s="252"/>
      <c r="AIO20" s="252"/>
      <c r="AIP20" s="252"/>
      <c r="AIQ20" s="252"/>
      <c r="AIR20" s="252"/>
      <c r="AIS20" s="252"/>
      <c r="AIT20" s="252"/>
      <c r="AIU20" s="252"/>
      <c r="AIV20" s="252"/>
      <c r="AIW20" s="252"/>
      <c r="AIX20" s="252"/>
      <c r="AIY20" s="252"/>
      <c r="AIZ20" s="252"/>
      <c r="AJA20" s="252"/>
      <c r="AJB20" s="252"/>
      <c r="AJC20" s="252"/>
      <c r="AJD20" s="252"/>
      <c r="AJE20" s="252"/>
      <c r="AJF20" s="252"/>
      <c r="AJG20" s="252"/>
      <c r="AJH20" s="252"/>
      <c r="AJI20" s="252"/>
      <c r="AJJ20" s="252"/>
      <c r="AJK20" s="252"/>
      <c r="AJL20" s="252"/>
      <c r="AJM20" s="252"/>
      <c r="AJN20" s="252"/>
      <c r="AJO20" s="252"/>
      <c r="AJP20" s="252"/>
      <c r="AJQ20" s="252"/>
      <c r="AJR20" s="252"/>
      <c r="AJS20" s="252"/>
      <c r="AJT20" s="252"/>
      <c r="AJU20" s="252"/>
      <c r="AJV20" s="252"/>
      <c r="AJW20" s="252"/>
      <c r="AJX20" s="252"/>
      <c r="AJY20" s="252"/>
      <c r="AJZ20" s="252"/>
      <c r="AKA20" s="252"/>
      <c r="AKB20" s="252"/>
      <c r="AKC20" s="252"/>
      <c r="AKD20" s="252"/>
      <c r="AKE20" s="252"/>
      <c r="AKF20" s="252"/>
      <c r="AKG20" s="252"/>
      <c r="AKH20" s="252"/>
      <c r="AKI20" s="252"/>
      <c r="AKJ20" s="252"/>
      <c r="AKK20" s="252"/>
      <c r="AKL20" s="252"/>
      <c r="AKM20" s="252"/>
      <c r="AKN20" s="252"/>
      <c r="AKO20" s="252"/>
      <c r="AKP20" s="252"/>
      <c r="AKQ20" s="252"/>
      <c r="AKR20" s="252"/>
      <c r="AKS20" s="252"/>
      <c r="AKT20" s="252"/>
      <c r="AKU20" s="252"/>
      <c r="AKV20" s="252"/>
      <c r="AKW20" s="252"/>
      <c r="AKX20" s="252"/>
      <c r="AKY20" s="252"/>
      <c r="AKZ20" s="252"/>
      <c r="ALA20" s="252"/>
      <c r="ALB20" s="252"/>
      <c r="ALC20" s="252"/>
      <c r="ALD20" s="252"/>
      <c r="ALE20" s="252"/>
      <c r="ALF20" s="252"/>
      <c r="ALG20" s="252"/>
      <c r="ALH20" s="252"/>
      <c r="ALI20" s="252"/>
      <c r="ALJ20" s="252"/>
      <c r="ALK20" s="252"/>
      <c r="ALL20" s="252"/>
      <c r="ALM20" s="252"/>
      <c r="ALN20" s="252"/>
      <c r="ALO20" s="252"/>
      <c r="ALP20" s="252"/>
      <c r="ALQ20" s="252"/>
      <c r="ALR20" s="252"/>
      <c r="ALS20" s="252"/>
    </row>
    <row r="21" spans="1:1007" ht="13.5" thickBot="1" x14ac:dyDescent="0.25">
      <c r="A21" s="356"/>
      <c r="B21" s="384"/>
      <c r="C21" s="384"/>
      <c r="D21" s="384"/>
      <c r="E21" s="356"/>
    </row>
    <row r="22" spans="1:1007" ht="15" thickBot="1" x14ac:dyDescent="0.25">
      <c r="A22" s="359" t="s">
        <v>282</v>
      </c>
      <c r="B22" s="379" t="s">
        <v>304</v>
      </c>
      <c r="C22" s="379" t="s">
        <v>278</v>
      </c>
      <c r="D22" s="379" t="s">
        <v>279</v>
      </c>
      <c r="E22" s="742" t="s">
        <v>526</v>
      </c>
      <c r="F22" s="742" t="s">
        <v>532</v>
      </c>
      <c r="G22" s="742" t="s">
        <v>533</v>
      </c>
      <c r="H22" s="742" t="s">
        <v>534</v>
      </c>
      <c r="I22" s="742" t="s">
        <v>535</v>
      </c>
    </row>
    <row r="23" spans="1:1007" x14ac:dyDescent="0.2">
      <c r="A23" s="369" t="s">
        <v>288</v>
      </c>
      <c r="B23" s="380">
        <v>1.9</v>
      </c>
      <c r="C23" s="385"/>
      <c r="D23" s="380"/>
      <c r="E23" s="734"/>
      <c r="F23" s="735"/>
      <c r="G23" s="735"/>
      <c r="H23" s="735"/>
      <c r="I23" s="735"/>
    </row>
    <row r="24" spans="1:1007" s="3" customFormat="1" x14ac:dyDescent="0.2">
      <c r="A24" s="749" t="s">
        <v>293</v>
      </c>
      <c r="B24" s="380"/>
      <c r="C24" s="382">
        <v>1.9</v>
      </c>
      <c r="D24" s="380">
        <v>1.9</v>
      </c>
      <c r="E24" s="740">
        <v>1.9</v>
      </c>
      <c r="F24" s="730"/>
      <c r="G24" s="730"/>
      <c r="H24" s="730"/>
      <c r="I24" s="730"/>
      <c r="J24" s="252"/>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252"/>
      <c r="AP24" s="252"/>
      <c r="AQ24" s="252"/>
      <c r="AR24" s="252"/>
      <c r="AS24" s="252"/>
      <c r="AT24" s="252"/>
      <c r="AU24" s="252"/>
      <c r="AV24" s="252"/>
      <c r="AW24" s="252"/>
      <c r="AX24" s="252"/>
      <c r="AY24" s="252"/>
      <c r="AZ24" s="252"/>
      <c r="BA24" s="252"/>
      <c r="BB24" s="252"/>
      <c r="BC24" s="252"/>
      <c r="BD24" s="252"/>
      <c r="BE24" s="252"/>
      <c r="BF24" s="252"/>
      <c r="BG24" s="252"/>
      <c r="BH24" s="252"/>
      <c r="BI24" s="252"/>
      <c r="BJ24" s="252"/>
      <c r="BK24" s="252"/>
      <c r="BL24" s="252"/>
      <c r="BM24" s="252"/>
      <c r="BN24" s="252"/>
      <c r="BO24" s="252"/>
      <c r="BP24" s="252"/>
      <c r="BQ24" s="252"/>
      <c r="BR24" s="252"/>
      <c r="BS24" s="252"/>
      <c r="BT24" s="252"/>
      <c r="BU24" s="252"/>
      <c r="BV24" s="252"/>
      <c r="BW24" s="252"/>
      <c r="BX24" s="252"/>
      <c r="BY24" s="252"/>
      <c r="BZ24" s="252"/>
      <c r="CA24" s="252"/>
      <c r="CB24" s="252"/>
      <c r="CC24" s="252"/>
      <c r="CD24" s="252"/>
      <c r="CE24" s="252"/>
      <c r="CF24" s="252"/>
      <c r="CG24" s="252"/>
      <c r="CH24" s="252"/>
      <c r="CI24" s="252"/>
      <c r="CJ24" s="252"/>
      <c r="CK24" s="252"/>
      <c r="CL24" s="252"/>
      <c r="CM24" s="252"/>
      <c r="CN24" s="252"/>
      <c r="CO24" s="252"/>
      <c r="CP24" s="252"/>
      <c r="CQ24" s="252"/>
      <c r="CR24" s="252"/>
      <c r="CS24" s="252"/>
      <c r="CT24" s="252"/>
      <c r="CU24" s="252"/>
      <c r="CV24" s="252"/>
      <c r="CW24" s="252"/>
      <c r="CX24" s="252"/>
      <c r="CY24" s="252"/>
      <c r="CZ24" s="252"/>
      <c r="DA24" s="252"/>
      <c r="DB24" s="252"/>
      <c r="DC24" s="252"/>
      <c r="DD24" s="252"/>
      <c r="DE24" s="252"/>
      <c r="DF24" s="252"/>
      <c r="DG24" s="252"/>
      <c r="DH24" s="252"/>
      <c r="DI24" s="252"/>
      <c r="DJ24" s="252"/>
      <c r="DK24" s="252"/>
      <c r="DL24" s="252"/>
      <c r="DM24" s="252"/>
      <c r="DN24" s="252"/>
      <c r="DO24" s="252"/>
      <c r="DP24" s="252"/>
      <c r="DQ24" s="252"/>
      <c r="DR24" s="252"/>
      <c r="DS24" s="252"/>
      <c r="DT24" s="252"/>
      <c r="DU24" s="252"/>
      <c r="DV24" s="252"/>
      <c r="DW24" s="252"/>
      <c r="DX24" s="252"/>
      <c r="DY24" s="252"/>
      <c r="DZ24" s="252"/>
      <c r="EA24" s="252"/>
      <c r="EB24" s="252"/>
      <c r="EC24" s="252"/>
      <c r="ED24" s="252"/>
      <c r="EE24" s="252"/>
      <c r="EF24" s="252"/>
      <c r="EG24" s="252"/>
      <c r="EH24" s="252"/>
      <c r="EI24" s="252"/>
      <c r="EJ24" s="252"/>
      <c r="EK24" s="252"/>
      <c r="EL24" s="252"/>
      <c r="EM24" s="252"/>
      <c r="EN24" s="252"/>
      <c r="EO24" s="252"/>
      <c r="EP24" s="252"/>
      <c r="EQ24" s="252"/>
      <c r="ER24" s="252"/>
      <c r="ES24" s="252"/>
      <c r="ET24" s="252"/>
      <c r="EU24" s="252"/>
      <c r="EV24" s="252"/>
      <c r="EW24" s="252"/>
      <c r="EX24" s="252"/>
      <c r="EY24" s="252"/>
      <c r="EZ24" s="252"/>
      <c r="FA24" s="252"/>
      <c r="FB24" s="252"/>
      <c r="FC24" s="252"/>
      <c r="FD24" s="252"/>
      <c r="FE24" s="252"/>
      <c r="FF24" s="252"/>
      <c r="FG24" s="252"/>
      <c r="FH24" s="252"/>
      <c r="FI24" s="252"/>
      <c r="FJ24" s="252"/>
      <c r="FK24" s="252"/>
      <c r="FL24" s="252"/>
      <c r="FM24" s="252"/>
      <c r="FN24" s="252"/>
      <c r="FO24" s="252"/>
      <c r="FP24" s="252"/>
      <c r="FQ24" s="252"/>
      <c r="FR24" s="252"/>
      <c r="FS24" s="252"/>
      <c r="FT24" s="252"/>
      <c r="FU24" s="252"/>
      <c r="FV24" s="252"/>
      <c r="FW24" s="252"/>
      <c r="FX24" s="252"/>
      <c r="FY24" s="252"/>
      <c r="FZ24" s="252"/>
      <c r="GA24" s="252"/>
      <c r="GB24" s="252"/>
      <c r="GC24" s="252"/>
      <c r="GD24" s="252"/>
      <c r="GE24" s="252"/>
      <c r="GF24" s="252"/>
      <c r="GG24" s="252"/>
      <c r="GH24" s="252"/>
      <c r="GI24" s="252"/>
      <c r="GJ24" s="252"/>
      <c r="GK24" s="252"/>
      <c r="GL24" s="252"/>
      <c r="GM24" s="252"/>
      <c r="GN24" s="252"/>
      <c r="GO24" s="252"/>
      <c r="GP24" s="252"/>
      <c r="GQ24" s="252"/>
      <c r="GR24" s="252"/>
      <c r="GS24" s="252"/>
      <c r="GT24" s="252"/>
      <c r="GU24" s="252"/>
      <c r="GV24" s="252"/>
      <c r="GW24" s="252"/>
      <c r="GX24" s="252"/>
      <c r="GY24" s="252"/>
      <c r="GZ24" s="252"/>
      <c r="HA24" s="252"/>
      <c r="HB24" s="252"/>
      <c r="HC24" s="252"/>
      <c r="HD24" s="252"/>
      <c r="HE24" s="252"/>
      <c r="HF24" s="252"/>
      <c r="HG24" s="252"/>
      <c r="HH24" s="252"/>
      <c r="HI24" s="252"/>
      <c r="HJ24" s="252"/>
      <c r="HK24" s="252"/>
      <c r="HL24" s="252"/>
      <c r="HM24" s="252"/>
      <c r="HN24" s="252"/>
      <c r="HO24" s="252"/>
      <c r="HP24" s="252"/>
      <c r="HQ24" s="252"/>
      <c r="HR24" s="252"/>
      <c r="HS24" s="252"/>
      <c r="HT24" s="252"/>
      <c r="HU24" s="252"/>
      <c r="HV24" s="252"/>
      <c r="HW24" s="252"/>
      <c r="HX24" s="252"/>
      <c r="HY24" s="252"/>
      <c r="HZ24" s="252"/>
      <c r="IA24" s="252"/>
      <c r="IB24" s="252"/>
      <c r="IC24" s="252"/>
      <c r="ID24" s="252"/>
      <c r="IE24" s="252"/>
      <c r="IF24" s="252"/>
      <c r="IG24" s="252"/>
      <c r="IH24" s="252"/>
      <c r="II24" s="252"/>
      <c r="IJ24" s="252"/>
      <c r="IK24" s="252"/>
      <c r="IL24" s="252"/>
      <c r="IM24" s="252"/>
      <c r="IN24" s="252"/>
      <c r="IO24" s="252"/>
      <c r="IP24" s="252"/>
      <c r="IQ24" s="252"/>
      <c r="IR24" s="252"/>
      <c r="IS24" s="252"/>
      <c r="IT24" s="252"/>
      <c r="IU24" s="252"/>
      <c r="IV24" s="252"/>
      <c r="IW24" s="252"/>
      <c r="IX24" s="252"/>
      <c r="IY24" s="252"/>
      <c r="IZ24" s="252"/>
      <c r="JA24" s="252"/>
      <c r="JB24" s="252"/>
      <c r="JC24" s="252"/>
      <c r="JD24" s="252"/>
      <c r="JE24" s="252"/>
      <c r="JF24" s="252"/>
      <c r="JG24" s="252"/>
      <c r="JH24" s="252"/>
      <c r="JI24" s="252"/>
      <c r="JJ24" s="252"/>
      <c r="JK24" s="252"/>
      <c r="JL24" s="252"/>
      <c r="JM24" s="252"/>
      <c r="JN24" s="252"/>
      <c r="JO24" s="252"/>
      <c r="JP24" s="252"/>
      <c r="JQ24" s="252"/>
      <c r="JR24" s="252"/>
      <c r="JS24" s="252"/>
      <c r="JT24" s="252"/>
      <c r="JU24" s="252"/>
      <c r="JV24" s="252"/>
      <c r="JW24" s="252"/>
      <c r="JX24" s="252"/>
      <c r="JY24" s="252"/>
      <c r="JZ24" s="252"/>
      <c r="KA24" s="252"/>
      <c r="KB24" s="252"/>
      <c r="KC24" s="252"/>
      <c r="KD24" s="252"/>
      <c r="KE24" s="252"/>
      <c r="KF24" s="252"/>
      <c r="KG24" s="252"/>
      <c r="KH24" s="252"/>
      <c r="KI24" s="252"/>
      <c r="KJ24" s="252"/>
      <c r="KK24" s="252"/>
      <c r="KL24" s="252"/>
      <c r="KM24" s="252"/>
      <c r="KN24" s="252"/>
      <c r="KO24" s="252"/>
      <c r="KP24" s="252"/>
      <c r="KQ24" s="252"/>
      <c r="KR24" s="252"/>
      <c r="KS24" s="252"/>
      <c r="KT24" s="252"/>
      <c r="KU24" s="252"/>
      <c r="KV24" s="252"/>
      <c r="KW24" s="252"/>
      <c r="KX24" s="252"/>
      <c r="KY24" s="252"/>
      <c r="KZ24" s="252"/>
      <c r="LA24" s="252"/>
      <c r="LB24" s="252"/>
      <c r="LC24" s="252"/>
      <c r="LD24" s="252"/>
      <c r="LE24" s="252"/>
      <c r="LF24" s="252"/>
      <c r="LG24" s="252"/>
      <c r="LH24" s="252"/>
      <c r="LI24" s="252"/>
      <c r="LJ24" s="252"/>
      <c r="LK24" s="252"/>
      <c r="LL24" s="252"/>
      <c r="LM24" s="252"/>
      <c r="LN24" s="252"/>
      <c r="LO24" s="252"/>
      <c r="LP24" s="252"/>
      <c r="LQ24" s="252"/>
      <c r="LR24" s="252"/>
      <c r="LS24" s="252"/>
      <c r="LT24" s="252"/>
      <c r="LU24" s="252"/>
      <c r="LV24" s="252"/>
      <c r="LW24" s="252"/>
      <c r="LX24" s="252"/>
      <c r="LY24" s="252"/>
      <c r="LZ24" s="252"/>
      <c r="MA24" s="252"/>
      <c r="MB24" s="252"/>
      <c r="MC24" s="252"/>
      <c r="MD24" s="252"/>
      <c r="ME24" s="252"/>
      <c r="MF24" s="252"/>
      <c r="MG24" s="252"/>
      <c r="MH24" s="252"/>
      <c r="MI24" s="252"/>
      <c r="MJ24" s="252"/>
      <c r="MK24" s="252"/>
      <c r="ML24" s="252"/>
      <c r="MM24" s="252"/>
      <c r="MN24" s="252"/>
      <c r="MO24" s="252"/>
      <c r="MP24" s="252"/>
      <c r="MQ24" s="252"/>
      <c r="MR24" s="252"/>
      <c r="MS24" s="252"/>
      <c r="MT24" s="252"/>
      <c r="MU24" s="252"/>
      <c r="MV24" s="252"/>
      <c r="MW24" s="252"/>
      <c r="MX24" s="252"/>
      <c r="MY24" s="252"/>
      <c r="MZ24" s="252"/>
      <c r="NA24" s="252"/>
      <c r="NB24" s="252"/>
      <c r="NC24" s="252"/>
      <c r="ND24" s="252"/>
      <c r="NE24" s="252"/>
      <c r="NF24" s="252"/>
      <c r="NG24" s="252"/>
      <c r="NH24" s="252"/>
      <c r="NI24" s="252"/>
      <c r="NJ24" s="252"/>
      <c r="NK24" s="252"/>
      <c r="NL24" s="252"/>
      <c r="NM24" s="252"/>
      <c r="NN24" s="252"/>
      <c r="NO24" s="252"/>
      <c r="NP24" s="252"/>
      <c r="NQ24" s="252"/>
      <c r="NR24" s="252"/>
      <c r="NS24" s="252"/>
      <c r="NT24" s="252"/>
      <c r="NU24" s="252"/>
      <c r="NV24" s="252"/>
      <c r="NW24" s="252"/>
      <c r="NX24" s="252"/>
      <c r="NY24" s="252"/>
      <c r="NZ24" s="252"/>
      <c r="OA24" s="252"/>
      <c r="OB24" s="252"/>
      <c r="OC24" s="252"/>
      <c r="OD24" s="252"/>
      <c r="OE24" s="252"/>
      <c r="OF24" s="252"/>
      <c r="OG24" s="252"/>
      <c r="OH24" s="252"/>
      <c r="OI24" s="252"/>
      <c r="OJ24" s="252"/>
      <c r="OK24" s="252"/>
      <c r="OL24" s="252"/>
      <c r="OM24" s="252"/>
      <c r="ON24" s="252"/>
      <c r="OO24" s="252"/>
      <c r="OP24" s="252"/>
      <c r="OQ24" s="252"/>
      <c r="OR24" s="252"/>
      <c r="OS24" s="252"/>
      <c r="OT24" s="252"/>
      <c r="OU24" s="252"/>
      <c r="OV24" s="252"/>
      <c r="OW24" s="252"/>
      <c r="OX24" s="252"/>
      <c r="OY24" s="252"/>
      <c r="OZ24" s="252"/>
      <c r="PA24" s="252"/>
      <c r="PB24" s="252"/>
      <c r="PC24" s="252"/>
      <c r="PD24" s="252"/>
      <c r="PE24" s="252"/>
      <c r="PF24" s="252"/>
      <c r="PG24" s="252"/>
      <c r="PH24" s="252"/>
      <c r="PI24" s="252"/>
      <c r="PJ24" s="252"/>
      <c r="PK24" s="252"/>
      <c r="PL24" s="252"/>
      <c r="PM24" s="252"/>
      <c r="PN24" s="252"/>
      <c r="PO24" s="252"/>
      <c r="PP24" s="252"/>
      <c r="PQ24" s="252"/>
      <c r="PR24" s="252"/>
      <c r="PS24" s="252"/>
      <c r="PT24" s="252"/>
      <c r="PU24" s="252"/>
      <c r="PV24" s="252"/>
      <c r="PW24" s="252"/>
      <c r="PX24" s="252"/>
      <c r="PY24" s="252"/>
      <c r="PZ24" s="252"/>
      <c r="QA24" s="252"/>
      <c r="QB24" s="252"/>
      <c r="QC24" s="252"/>
      <c r="QD24" s="252"/>
      <c r="QE24" s="252"/>
      <c r="QF24" s="252"/>
      <c r="QG24" s="252"/>
      <c r="QH24" s="252"/>
      <c r="QI24" s="252"/>
      <c r="QJ24" s="252"/>
      <c r="QK24" s="252"/>
      <c r="QL24" s="252"/>
      <c r="QM24" s="252"/>
      <c r="QN24" s="252"/>
      <c r="QO24" s="252"/>
      <c r="QP24" s="252"/>
      <c r="QQ24" s="252"/>
      <c r="QR24" s="252"/>
      <c r="QS24" s="252"/>
      <c r="QT24" s="252"/>
      <c r="QU24" s="252"/>
      <c r="QV24" s="252"/>
      <c r="QW24" s="252"/>
      <c r="QX24" s="252"/>
      <c r="QY24" s="252"/>
      <c r="QZ24" s="252"/>
      <c r="RA24" s="252"/>
      <c r="RB24" s="252"/>
      <c r="RC24" s="252"/>
      <c r="RD24" s="252"/>
      <c r="RE24" s="252"/>
      <c r="RF24" s="252"/>
      <c r="RG24" s="252"/>
      <c r="RH24" s="252"/>
      <c r="RI24" s="252"/>
      <c r="RJ24" s="252"/>
      <c r="RK24" s="252"/>
      <c r="RL24" s="252"/>
      <c r="RM24" s="252"/>
      <c r="RN24" s="252"/>
      <c r="RO24" s="252"/>
      <c r="RP24" s="252"/>
      <c r="RQ24" s="252"/>
      <c r="RR24" s="252"/>
      <c r="RS24" s="252"/>
      <c r="RT24" s="252"/>
      <c r="RU24" s="252"/>
      <c r="RV24" s="252"/>
      <c r="RW24" s="252"/>
      <c r="RX24" s="252"/>
      <c r="RY24" s="252"/>
      <c r="RZ24" s="252"/>
      <c r="SA24" s="252"/>
      <c r="SB24" s="252"/>
      <c r="SC24" s="252"/>
      <c r="SD24" s="252"/>
      <c r="SE24" s="252"/>
      <c r="SF24" s="252"/>
      <c r="SG24" s="252"/>
      <c r="SH24" s="252"/>
      <c r="SI24" s="252"/>
      <c r="SJ24" s="252"/>
      <c r="SK24" s="252"/>
      <c r="SL24" s="252"/>
      <c r="SM24" s="252"/>
      <c r="SN24" s="252"/>
      <c r="SO24" s="252"/>
      <c r="SP24" s="252"/>
      <c r="SQ24" s="252"/>
      <c r="SR24" s="252"/>
      <c r="SS24" s="252"/>
      <c r="ST24" s="252"/>
      <c r="SU24" s="252"/>
      <c r="SV24" s="252"/>
      <c r="SW24" s="252"/>
      <c r="SX24" s="252"/>
      <c r="SY24" s="252"/>
      <c r="SZ24" s="252"/>
      <c r="TA24" s="252"/>
      <c r="TB24" s="252"/>
      <c r="TC24" s="252"/>
      <c r="TD24" s="252"/>
      <c r="TE24" s="252"/>
      <c r="TF24" s="252"/>
      <c r="TG24" s="252"/>
      <c r="TH24" s="252"/>
      <c r="TI24" s="252"/>
      <c r="TJ24" s="252"/>
      <c r="TK24" s="252"/>
      <c r="TL24" s="252"/>
      <c r="TM24" s="252"/>
      <c r="TN24" s="252"/>
      <c r="TO24" s="252"/>
      <c r="TP24" s="252"/>
      <c r="TQ24" s="252"/>
      <c r="TR24" s="252"/>
      <c r="TS24" s="252"/>
      <c r="TT24" s="252"/>
      <c r="TU24" s="252"/>
      <c r="TV24" s="252"/>
      <c r="TW24" s="252"/>
      <c r="TX24" s="252"/>
      <c r="TY24" s="252"/>
      <c r="TZ24" s="252"/>
      <c r="UA24" s="252"/>
      <c r="UB24" s="252"/>
      <c r="UC24" s="252"/>
      <c r="UD24" s="252"/>
      <c r="UE24" s="252"/>
      <c r="UF24" s="252"/>
      <c r="UG24" s="252"/>
      <c r="UH24" s="252"/>
      <c r="UI24" s="252"/>
      <c r="UJ24" s="252"/>
      <c r="UK24" s="252"/>
      <c r="UL24" s="252"/>
      <c r="UM24" s="252"/>
      <c r="UN24" s="252"/>
      <c r="UO24" s="252"/>
      <c r="UP24" s="252"/>
      <c r="UQ24" s="252"/>
      <c r="UR24" s="252"/>
      <c r="US24" s="252"/>
      <c r="UT24" s="252"/>
      <c r="UU24" s="252"/>
      <c r="UV24" s="252"/>
      <c r="UW24" s="252"/>
      <c r="UX24" s="252"/>
      <c r="UY24" s="252"/>
      <c r="UZ24" s="252"/>
      <c r="VA24" s="252"/>
      <c r="VB24" s="252"/>
      <c r="VC24" s="252"/>
      <c r="VD24" s="252"/>
      <c r="VE24" s="252"/>
      <c r="VF24" s="252"/>
      <c r="VG24" s="252"/>
      <c r="VH24" s="252"/>
      <c r="VI24" s="252"/>
      <c r="VJ24" s="252"/>
      <c r="VK24" s="252"/>
      <c r="VL24" s="252"/>
      <c r="VM24" s="252"/>
      <c r="VN24" s="252"/>
      <c r="VO24" s="252"/>
      <c r="VP24" s="252"/>
      <c r="VQ24" s="252"/>
      <c r="VR24" s="252"/>
      <c r="VS24" s="252"/>
      <c r="VT24" s="252"/>
      <c r="VU24" s="252"/>
      <c r="VV24" s="252"/>
      <c r="VW24" s="252"/>
      <c r="VX24" s="252"/>
      <c r="VY24" s="252"/>
      <c r="VZ24" s="252"/>
      <c r="WA24" s="252"/>
      <c r="WB24" s="252"/>
      <c r="WC24" s="252"/>
      <c r="WD24" s="252"/>
      <c r="WE24" s="252"/>
      <c r="WF24" s="252"/>
      <c r="WG24" s="252"/>
      <c r="WH24" s="252"/>
      <c r="WI24" s="252"/>
      <c r="WJ24" s="252"/>
      <c r="WK24" s="252"/>
      <c r="WL24" s="252"/>
      <c r="WM24" s="252"/>
      <c r="WN24" s="252"/>
      <c r="WO24" s="252"/>
      <c r="WP24" s="252"/>
      <c r="WQ24" s="252"/>
      <c r="WR24" s="252"/>
      <c r="WS24" s="252"/>
      <c r="WT24" s="252"/>
      <c r="WU24" s="252"/>
      <c r="WV24" s="252"/>
      <c r="WW24" s="252"/>
      <c r="WX24" s="252"/>
      <c r="WY24" s="252"/>
      <c r="WZ24" s="252"/>
      <c r="XA24" s="252"/>
      <c r="XB24" s="252"/>
      <c r="XC24" s="252"/>
      <c r="XD24" s="252"/>
      <c r="XE24" s="252"/>
      <c r="XF24" s="252"/>
      <c r="XG24" s="252"/>
      <c r="XH24" s="252"/>
      <c r="XI24" s="252"/>
      <c r="XJ24" s="252"/>
      <c r="XK24" s="252"/>
      <c r="XL24" s="252"/>
      <c r="XM24" s="252"/>
      <c r="XN24" s="252"/>
      <c r="XO24" s="252"/>
      <c r="XP24" s="252"/>
      <c r="XQ24" s="252"/>
      <c r="XR24" s="252"/>
      <c r="XS24" s="252"/>
      <c r="XT24" s="252"/>
      <c r="XU24" s="252"/>
      <c r="XV24" s="252"/>
      <c r="XW24" s="252"/>
      <c r="XX24" s="252"/>
      <c r="XY24" s="252"/>
      <c r="XZ24" s="252"/>
      <c r="YA24" s="252"/>
      <c r="YB24" s="252"/>
      <c r="YC24" s="252"/>
      <c r="YD24" s="252"/>
      <c r="YE24" s="252"/>
      <c r="YF24" s="252"/>
      <c r="YG24" s="252"/>
      <c r="YH24" s="252"/>
      <c r="YI24" s="252"/>
      <c r="YJ24" s="252"/>
      <c r="YK24" s="252"/>
      <c r="YL24" s="252"/>
      <c r="YM24" s="252"/>
      <c r="YN24" s="252"/>
      <c r="YO24" s="252"/>
      <c r="YP24" s="252"/>
      <c r="YQ24" s="252"/>
      <c r="YR24" s="252"/>
      <c r="YS24" s="252"/>
      <c r="YT24" s="252"/>
      <c r="YU24" s="252"/>
      <c r="YV24" s="252"/>
      <c r="YW24" s="252"/>
      <c r="YX24" s="252"/>
      <c r="YY24" s="252"/>
      <c r="YZ24" s="252"/>
      <c r="ZA24" s="252"/>
      <c r="ZB24" s="252"/>
      <c r="ZC24" s="252"/>
      <c r="ZD24" s="252"/>
      <c r="ZE24" s="252"/>
      <c r="ZF24" s="252"/>
      <c r="ZG24" s="252"/>
      <c r="ZH24" s="252"/>
      <c r="ZI24" s="252"/>
      <c r="ZJ24" s="252"/>
      <c r="ZK24" s="252"/>
      <c r="ZL24" s="252"/>
      <c r="ZM24" s="252"/>
      <c r="ZN24" s="252"/>
      <c r="ZO24" s="252"/>
      <c r="ZP24" s="252"/>
      <c r="ZQ24" s="252"/>
      <c r="ZR24" s="252"/>
      <c r="ZS24" s="252"/>
      <c r="ZT24" s="252"/>
      <c r="ZU24" s="252"/>
      <c r="ZV24" s="252"/>
      <c r="ZW24" s="252"/>
      <c r="ZX24" s="252"/>
      <c r="ZY24" s="252"/>
      <c r="ZZ24" s="252"/>
      <c r="AAA24" s="252"/>
      <c r="AAB24" s="252"/>
      <c r="AAC24" s="252"/>
      <c r="AAD24" s="252"/>
      <c r="AAE24" s="252"/>
      <c r="AAF24" s="252"/>
      <c r="AAG24" s="252"/>
      <c r="AAH24" s="252"/>
      <c r="AAI24" s="252"/>
      <c r="AAJ24" s="252"/>
      <c r="AAK24" s="252"/>
      <c r="AAL24" s="252"/>
      <c r="AAM24" s="252"/>
      <c r="AAN24" s="252"/>
      <c r="AAO24" s="252"/>
      <c r="AAP24" s="252"/>
      <c r="AAQ24" s="252"/>
      <c r="AAR24" s="252"/>
      <c r="AAS24" s="252"/>
      <c r="AAT24" s="252"/>
      <c r="AAU24" s="252"/>
      <c r="AAV24" s="252"/>
      <c r="AAW24" s="252"/>
      <c r="AAX24" s="252"/>
      <c r="AAY24" s="252"/>
      <c r="AAZ24" s="252"/>
      <c r="ABA24" s="252"/>
      <c r="ABB24" s="252"/>
      <c r="ABC24" s="252"/>
      <c r="ABD24" s="252"/>
      <c r="ABE24" s="252"/>
      <c r="ABF24" s="252"/>
      <c r="ABG24" s="252"/>
      <c r="ABH24" s="252"/>
      <c r="ABI24" s="252"/>
      <c r="ABJ24" s="252"/>
      <c r="ABK24" s="252"/>
      <c r="ABL24" s="252"/>
      <c r="ABM24" s="252"/>
      <c r="ABN24" s="252"/>
      <c r="ABO24" s="252"/>
      <c r="ABP24" s="252"/>
      <c r="ABQ24" s="252"/>
      <c r="ABR24" s="252"/>
      <c r="ABS24" s="252"/>
      <c r="ABT24" s="252"/>
      <c r="ABU24" s="252"/>
      <c r="ABV24" s="252"/>
      <c r="ABW24" s="252"/>
      <c r="ABX24" s="252"/>
      <c r="ABY24" s="252"/>
      <c r="ABZ24" s="252"/>
      <c r="ACA24" s="252"/>
      <c r="ACB24" s="252"/>
      <c r="ACC24" s="252"/>
      <c r="ACD24" s="252"/>
      <c r="ACE24" s="252"/>
      <c r="ACF24" s="252"/>
      <c r="ACG24" s="252"/>
      <c r="ACH24" s="252"/>
      <c r="ACI24" s="252"/>
      <c r="ACJ24" s="252"/>
      <c r="ACK24" s="252"/>
      <c r="ACL24" s="252"/>
      <c r="ACM24" s="252"/>
      <c r="ACN24" s="252"/>
      <c r="ACO24" s="252"/>
      <c r="ACP24" s="252"/>
      <c r="ACQ24" s="252"/>
      <c r="ACR24" s="252"/>
      <c r="ACS24" s="252"/>
      <c r="ACT24" s="252"/>
      <c r="ACU24" s="252"/>
      <c r="ACV24" s="252"/>
      <c r="ACW24" s="252"/>
      <c r="ACX24" s="252"/>
      <c r="ACY24" s="252"/>
      <c r="ACZ24" s="252"/>
      <c r="ADA24" s="252"/>
      <c r="ADB24" s="252"/>
      <c r="ADC24" s="252"/>
      <c r="ADD24" s="252"/>
      <c r="ADE24" s="252"/>
      <c r="ADF24" s="252"/>
      <c r="ADG24" s="252"/>
      <c r="ADH24" s="252"/>
      <c r="ADI24" s="252"/>
      <c r="ADJ24" s="252"/>
      <c r="ADK24" s="252"/>
      <c r="ADL24" s="252"/>
      <c r="ADM24" s="252"/>
      <c r="ADN24" s="252"/>
      <c r="ADO24" s="252"/>
      <c r="ADP24" s="252"/>
      <c r="ADQ24" s="252"/>
      <c r="ADR24" s="252"/>
      <c r="ADS24" s="252"/>
      <c r="ADT24" s="252"/>
      <c r="ADU24" s="252"/>
      <c r="ADV24" s="252"/>
      <c r="ADW24" s="252"/>
      <c r="ADX24" s="252"/>
      <c r="ADY24" s="252"/>
      <c r="ADZ24" s="252"/>
      <c r="AEA24" s="252"/>
      <c r="AEB24" s="252"/>
      <c r="AEC24" s="252"/>
      <c r="AED24" s="252"/>
      <c r="AEE24" s="252"/>
      <c r="AEF24" s="252"/>
      <c r="AEG24" s="252"/>
      <c r="AEH24" s="252"/>
      <c r="AEI24" s="252"/>
      <c r="AEJ24" s="252"/>
      <c r="AEK24" s="252"/>
      <c r="AEL24" s="252"/>
      <c r="AEM24" s="252"/>
      <c r="AEN24" s="252"/>
      <c r="AEO24" s="252"/>
      <c r="AEP24" s="252"/>
      <c r="AEQ24" s="252"/>
      <c r="AER24" s="252"/>
      <c r="AES24" s="252"/>
      <c r="AET24" s="252"/>
      <c r="AEU24" s="252"/>
      <c r="AEV24" s="252"/>
      <c r="AEW24" s="252"/>
      <c r="AEX24" s="252"/>
      <c r="AEY24" s="252"/>
      <c r="AEZ24" s="252"/>
      <c r="AFA24" s="252"/>
      <c r="AFB24" s="252"/>
      <c r="AFC24" s="252"/>
      <c r="AFD24" s="252"/>
      <c r="AFE24" s="252"/>
      <c r="AFF24" s="252"/>
      <c r="AFG24" s="252"/>
      <c r="AFH24" s="252"/>
      <c r="AFI24" s="252"/>
      <c r="AFJ24" s="252"/>
      <c r="AFK24" s="252"/>
      <c r="AFL24" s="252"/>
      <c r="AFM24" s="252"/>
      <c r="AFN24" s="252"/>
      <c r="AFO24" s="252"/>
      <c r="AFP24" s="252"/>
      <c r="AFQ24" s="252"/>
      <c r="AFR24" s="252"/>
      <c r="AFS24" s="252"/>
      <c r="AFT24" s="252"/>
      <c r="AFU24" s="252"/>
      <c r="AFV24" s="252"/>
      <c r="AFW24" s="252"/>
      <c r="AFX24" s="252"/>
      <c r="AFY24" s="252"/>
      <c r="AFZ24" s="252"/>
      <c r="AGA24" s="252"/>
      <c r="AGB24" s="252"/>
      <c r="AGC24" s="252"/>
      <c r="AGD24" s="252"/>
      <c r="AGE24" s="252"/>
      <c r="AGF24" s="252"/>
      <c r="AGG24" s="252"/>
      <c r="AGH24" s="252"/>
      <c r="AGI24" s="252"/>
      <c r="AGJ24" s="252"/>
      <c r="AGK24" s="252"/>
      <c r="AGL24" s="252"/>
      <c r="AGM24" s="252"/>
      <c r="AGN24" s="252"/>
      <c r="AGO24" s="252"/>
      <c r="AGP24" s="252"/>
      <c r="AGQ24" s="252"/>
      <c r="AGR24" s="252"/>
      <c r="AGS24" s="252"/>
      <c r="AGT24" s="252"/>
      <c r="AGU24" s="252"/>
      <c r="AGV24" s="252"/>
      <c r="AGW24" s="252"/>
      <c r="AGX24" s="252"/>
      <c r="AGY24" s="252"/>
      <c r="AGZ24" s="252"/>
      <c r="AHA24" s="252"/>
      <c r="AHB24" s="252"/>
      <c r="AHC24" s="252"/>
      <c r="AHD24" s="252"/>
      <c r="AHE24" s="252"/>
      <c r="AHF24" s="252"/>
      <c r="AHG24" s="252"/>
      <c r="AHH24" s="252"/>
      <c r="AHI24" s="252"/>
      <c r="AHJ24" s="252"/>
      <c r="AHK24" s="252"/>
      <c r="AHL24" s="252"/>
      <c r="AHM24" s="252"/>
      <c r="AHN24" s="252"/>
      <c r="AHO24" s="252"/>
      <c r="AHP24" s="252"/>
      <c r="AHQ24" s="252"/>
      <c r="AHR24" s="252"/>
      <c r="AHS24" s="252"/>
      <c r="AHT24" s="252"/>
      <c r="AHU24" s="252"/>
      <c r="AHV24" s="252"/>
      <c r="AHW24" s="252"/>
      <c r="AHX24" s="252"/>
      <c r="AHY24" s="252"/>
      <c r="AHZ24" s="252"/>
      <c r="AIA24" s="252"/>
      <c r="AIB24" s="252"/>
      <c r="AIC24" s="252"/>
      <c r="AID24" s="252"/>
      <c r="AIE24" s="252"/>
      <c r="AIF24" s="252"/>
      <c r="AIG24" s="252"/>
      <c r="AIH24" s="252"/>
      <c r="AII24" s="252"/>
      <c r="AIJ24" s="252"/>
      <c r="AIK24" s="252"/>
      <c r="AIL24" s="252"/>
      <c r="AIM24" s="252"/>
      <c r="AIN24" s="252"/>
      <c r="AIO24" s="252"/>
      <c r="AIP24" s="252"/>
      <c r="AIQ24" s="252"/>
      <c r="AIR24" s="252"/>
      <c r="AIS24" s="252"/>
      <c r="AIT24" s="252"/>
      <c r="AIU24" s="252"/>
      <c r="AIV24" s="252"/>
      <c r="AIW24" s="252"/>
      <c r="AIX24" s="252"/>
      <c r="AIY24" s="252"/>
      <c r="AIZ24" s="252"/>
      <c r="AJA24" s="252"/>
      <c r="AJB24" s="252"/>
      <c r="AJC24" s="252"/>
      <c r="AJD24" s="252"/>
      <c r="AJE24" s="252"/>
      <c r="AJF24" s="252"/>
      <c r="AJG24" s="252"/>
      <c r="AJH24" s="252"/>
      <c r="AJI24" s="252"/>
      <c r="AJJ24" s="252"/>
      <c r="AJK24" s="252"/>
      <c r="AJL24" s="252"/>
      <c r="AJM24" s="252"/>
      <c r="AJN24" s="252"/>
      <c r="AJO24" s="252"/>
      <c r="AJP24" s="252"/>
      <c r="AJQ24" s="252"/>
      <c r="AJR24" s="252"/>
      <c r="AJS24" s="252"/>
      <c r="AJT24" s="252"/>
      <c r="AJU24" s="252"/>
      <c r="AJV24" s="252"/>
      <c r="AJW24" s="252"/>
      <c r="AJX24" s="252"/>
      <c r="AJY24" s="252"/>
      <c r="AJZ24" s="252"/>
      <c r="AKA24" s="252"/>
      <c r="AKB24" s="252"/>
      <c r="AKC24" s="252"/>
      <c r="AKD24" s="252"/>
      <c r="AKE24" s="252"/>
      <c r="AKF24" s="252"/>
      <c r="AKG24" s="252"/>
      <c r="AKH24" s="252"/>
      <c r="AKI24" s="252"/>
      <c r="AKJ24" s="252"/>
      <c r="AKK24" s="252"/>
      <c r="AKL24" s="252"/>
      <c r="AKM24" s="252"/>
      <c r="AKN24" s="252"/>
      <c r="AKO24" s="252"/>
      <c r="AKP24" s="252"/>
      <c r="AKQ24" s="252"/>
      <c r="AKR24" s="252"/>
      <c r="AKS24" s="252"/>
      <c r="AKT24" s="252"/>
      <c r="AKU24" s="252"/>
      <c r="AKV24" s="252"/>
      <c r="AKW24" s="252"/>
      <c r="AKX24" s="252"/>
      <c r="AKY24" s="252"/>
      <c r="AKZ24" s="252"/>
      <c r="ALA24" s="252"/>
      <c r="ALB24" s="252"/>
      <c r="ALC24" s="252"/>
      <c r="ALD24" s="252"/>
      <c r="ALE24" s="252"/>
      <c r="ALF24" s="252"/>
      <c r="ALG24" s="252"/>
      <c r="ALH24" s="252"/>
      <c r="ALI24" s="252"/>
      <c r="ALJ24" s="252"/>
      <c r="ALK24" s="252"/>
      <c r="ALL24" s="252"/>
      <c r="ALM24" s="252"/>
      <c r="ALN24" s="252"/>
      <c r="ALO24" s="252"/>
      <c r="ALP24" s="252"/>
      <c r="ALQ24" s="252"/>
      <c r="ALR24" s="252"/>
      <c r="ALS24" s="252"/>
    </row>
    <row r="25" spans="1:1007" s="3" customFormat="1" x14ac:dyDescent="0.2">
      <c r="A25" s="369" t="s">
        <v>294</v>
      </c>
      <c r="B25" s="380"/>
      <c r="C25" s="380">
        <v>1.9</v>
      </c>
      <c r="D25" s="380"/>
      <c r="E25" s="729"/>
      <c r="F25" s="730"/>
      <c r="G25" s="730"/>
      <c r="H25" s="730"/>
      <c r="I25" s="730"/>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2"/>
      <c r="AY25" s="252"/>
      <c r="AZ25" s="252"/>
      <c r="BA25" s="252"/>
      <c r="BB25" s="252"/>
      <c r="BC25" s="252"/>
      <c r="BD25" s="252"/>
      <c r="BE25" s="252"/>
      <c r="BF25" s="252"/>
      <c r="BG25" s="252"/>
      <c r="BH25" s="252"/>
      <c r="BI25" s="252"/>
      <c r="BJ25" s="252"/>
      <c r="BK25" s="252"/>
      <c r="BL25" s="252"/>
      <c r="BM25" s="252"/>
      <c r="BN25" s="252"/>
      <c r="BO25" s="252"/>
      <c r="BP25" s="252"/>
      <c r="BQ25" s="252"/>
      <c r="BR25" s="252"/>
      <c r="BS25" s="252"/>
      <c r="BT25" s="252"/>
      <c r="BU25" s="252"/>
      <c r="BV25" s="252"/>
      <c r="BW25" s="252"/>
      <c r="BX25" s="252"/>
      <c r="BY25" s="252"/>
      <c r="BZ25" s="252"/>
      <c r="CA25" s="252"/>
      <c r="CB25" s="252"/>
      <c r="CC25" s="252"/>
      <c r="CD25" s="252"/>
      <c r="CE25" s="252"/>
      <c r="CF25" s="252"/>
      <c r="CG25" s="252"/>
      <c r="CH25" s="252"/>
      <c r="CI25" s="252"/>
      <c r="CJ25" s="252"/>
      <c r="CK25" s="252"/>
      <c r="CL25" s="252"/>
      <c r="CM25" s="252"/>
      <c r="CN25" s="252"/>
      <c r="CO25" s="252"/>
      <c r="CP25" s="252"/>
      <c r="CQ25" s="252"/>
      <c r="CR25" s="252"/>
      <c r="CS25" s="252"/>
      <c r="CT25" s="252"/>
      <c r="CU25" s="252"/>
      <c r="CV25" s="252"/>
      <c r="CW25" s="252"/>
      <c r="CX25" s="252"/>
      <c r="CY25" s="252"/>
      <c r="CZ25" s="252"/>
      <c r="DA25" s="252"/>
      <c r="DB25" s="252"/>
      <c r="DC25" s="252"/>
      <c r="DD25" s="252"/>
      <c r="DE25" s="252"/>
      <c r="DF25" s="252"/>
      <c r="DG25" s="252"/>
      <c r="DH25" s="252"/>
      <c r="DI25" s="252"/>
      <c r="DJ25" s="252"/>
      <c r="DK25" s="252"/>
      <c r="DL25" s="252"/>
      <c r="DM25" s="252"/>
      <c r="DN25" s="252"/>
      <c r="DO25" s="252"/>
      <c r="DP25" s="252"/>
      <c r="DQ25" s="252"/>
      <c r="DR25" s="252"/>
      <c r="DS25" s="252"/>
      <c r="DT25" s="252"/>
      <c r="DU25" s="252"/>
      <c r="DV25" s="252"/>
      <c r="DW25" s="252"/>
      <c r="DX25" s="252"/>
      <c r="DY25" s="252"/>
      <c r="DZ25" s="252"/>
      <c r="EA25" s="252"/>
      <c r="EB25" s="252"/>
      <c r="EC25" s="252"/>
      <c r="ED25" s="252"/>
      <c r="EE25" s="252"/>
      <c r="EF25" s="252"/>
      <c r="EG25" s="252"/>
      <c r="EH25" s="252"/>
      <c r="EI25" s="252"/>
      <c r="EJ25" s="252"/>
      <c r="EK25" s="252"/>
      <c r="EL25" s="252"/>
      <c r="EM25" s="252"/>
      <c r="EN25" s="252"/>
      <c r="EO25" s="252"/>
      <c r="EP25" s="252"/>
      <c r="EQ25" s="252"/>
      <c r="ER25" s="252"/>
      <c r="ES25" s="252"/>
      <c r="ET25" s="252"/>
      <c r="EU25" s="252"/>
      <c r="EV25" s="252"/>
      <c r="EW25" s="252"/>
      <c r="EX25" s="252"/>
      <c r="EY25" s="252"/>
      <c r="EZ25" s="252"/>
      <c r="FA25" s="252"/>
      <c r="FB25" s="252"/>
      <c r="FC25" s="252"/>
      <c r="FD25" s="252"/>
      <c r="FE25" s="252"/>
      <c r="FF25" s="252"/>
      <c r="FG25" s="252"/>
      <c r="FH25" s="252"/>
      <c r="FI25" s="252"/>
      <c r="FJ25" s="252"/>
      <c r="FK25" s="252"/>
      <c r="FL25" s="252"/>
      <c r="FM25" s="252"/>
      <c r="FN25" s="252"/>
      <c r="FO25" s="252"/>
      <c r="FP25" s="252"/>
      <c r="FQ25" s="252"/>
      <c r="FR25" s="252"/>
      <c r="FS25" s="252"/>
      <c r="FT25" s="252"/>
      <c r="FU25" s="252"/>
      <c r="FV25" s="252"/>
      <c r="FW25" s="252"/>
      <c r="FX25" s="252"/>
      <c r="FY25" s="252"/>
      <c r="FZ25" s="252"/>
      <c r="GA25" s="252"/>
      <c r="GB25" s="252"/>
      <c r="GC25" s="252"/>
      <c r="GD25" s="252"/>
      <c r="GE25" s="252"/>
      <c r="GF25" s="252"/>
      <c r="GG25" s="252"/>
      <c r="GH25" s="252"/>
      <c r="GI25" s="252"/>
      <c r="GJ25" s="252"/>
      <c r="GK25" s="252"/>
      <c r="GL25" s="252"/>
      <c r="GM25" s="252"/>
      <c r="GN25" s="252"/>
      <c r="GO25" s="252"/>
      <c r="GP25" s="252"/>
      <c r="GQ25" s="252"/>
      <c r="GR25" s="252"/>
      <c r="GS25" s="252"/>
      <c r="GT25" s="252"/>
      <c r="GU25" s="252"/>
      <c r="GV25" s="252"/>
      <c r="GW25" s="252"/>
      <c r="GX25" s="252"/>
      <c r="GY25" s="252"/>
      <c r="GZ25" s="252"/>
      <c r="HA25" s="252"/>
      <c r="HB25" s="252"/>
      <c r="HC25" s="252"/>
      <c r="HD25" s="252"/>
      <c r="HE25" s="252"/>
      <c r="HF25" s="252"/>
      <c r="HG25" s="252"/>
      <c r="HH25" s="252"/>
      <c r="HI25" s="252"/>
      <c r="HJ25" s="252"/>
      <c r="HK25" s="252"/>
      <c r="HL25" s="252"/>
      <c r="HM25" s="252"/>
      <c r="HN25" s="252"/>
      <c r="HO25" s="252"/>
      <c r="HP25" s="252"/>
      <c r="HQ25" s="252"/>
      <c r="HR25" s="252"/>
      <c r="HS25" s="252"/>
      <c r="HT25" s="252"/>
      <c r="HU25" s="252"/>
      <c r="HV25" s="252"/>
      <c r="HW25" s="252"/>
      <c r="HX25" s="252"/>
      <c r="HY25" s="252"/>
      <c r="HZ25" s="252"/>
      <c r="IA25" s="252"/>
      <c r="IB25" s="252"/>
      <c r="IC25" s="252"/>
      <c r="ID25" s="252"/>
      <c r="IE25" s="252"/>
      <c r="IF25" s="252"/>
      <c r="IG25" s="252"/>
      <c r="IH25" s="252"/>
      <c r="II25" s="252"/>
      <c r="IJ25" s="252"/>
      <c r="IK25" s="252"/>
      <c r="IL25" s="252"/>
      <c r="IM25" s="252"/>
      <c r="IN25" s="252"/>
      <c r="IO25" s="252"/>
      <c r="IP25" s="252"/>
      <c r="IQ25" s="252"/>
      <c r="IR25" s="252"/>
      <c r="IS25" s="252"/>
      <c r="IT25" s="252"/>
      <c r="IU25" s="252"/>
      <c r="IV25" s="252"/>
      <c r="IW25" s="252"/>
      <c r="IX25" s="252"/>
      <c r="IY25" s="252"/>
      <c r="IZ25" s="252"/>
      <c r="JA25" s="252"/>
      <c r="JB25" s="252"/>
      <c r="JC25" s="252"/>
      <c r="JD25" s="252"/>
      <c r="JE25" s="252"/>
      <c r="JF25" s="252"/>
      <c r="JG25" s="252"/>
      <c r="JH25" s="252"/>
      <c r="JI25" s="252"/>
      <c r="JJ25" s="252"/>
      <c r="JK25" s="252"/>
      <c r="JL25" s="252"/>
      <c r="JM25" s="252"/>
      <c r="JN25" s="252"/>
      <c r="JO25" s="252"/>
      <c r="JP25" s="252"/>
      <c r="JQ25" s="252"/>
      <c r="JR25" s="252"/>
      <c r="JS25" s="252"/>
      <c r="JT25" s="252"/>
      <c r="JU25" s="252"/>
      <c r="JV25" s="252"/>
      <c r="JW25" s="252"/>
      <c r="JX25" s="252"/>
      <c r="JY25" s="252"/>
      <c r="JZ25" s="252"/>
      <c r="KA25" s="252"/>
      <c r="KB25" s="252"/>
      <c r="KC25" s="252"/>
      <c r="KD25" s="252"/>
      <c r="KE25" s="252"/>
      <c r="KF25" s="252"/>
      <c r="KG25" s="252"/>
      <c r="KH25" s="252"/>
      <c r="KI25" s="252"/>
      <c r="KJ25" s="252"/>
      <c r="KK25" s="252"/>
      <c r="KL25" s="252"/>
      <c r="KM25" s="252"/>
      <c r="KN25" s="252"/>
      <c r="KO25" s="252"/>
      <c r="KP25" s="252"/>
      <c r="KQ25" s="252"/>
      <c r="KR25" s="252"/>
      <c r="KS25" s="252"/>
      <c r="KT25" s="252"/>
      <c r="KU25" s="252"/>
      <c r="KV25" s="252"/>
      <c r="KW25" s="252"/>
      <c r="KX25" s="252"/>
      <c r="KY25" s="252"/>
      <c r="KZ25" s="252"/>
      <c r="LA25" s="252"/>
      <c r="LB25" s="252"/>
      <c r="LC25" s="252"/>
      <c r="LD25" s="252"/>
      <c r="LE25" s="252"/>
      <c r="LF25" s="252"/>
      <c r="LG25" s="252"/>
      <c r="LH25" s="252"/>
      <c r="LI25" s="252"/>
      <c r="LJ25" s="252"/>
      <c r="LK25" s="252"/>
      <c r="LL25" s="252"/>
      <c r="LM25" s="252"/>
      <c r="LN25" s="252"/>
      <c r="LO25" s="252"/>
      <c r="LP25" s="252"/>
      <c r="LQ25" s="252"/>
      <c r="LR25" s="252"/>
      <c r="LS25" s="252"/>
      <c r="LT25" s="252"/>
      <c r="LU25" s="252"/>
      <c r="LV25" s="252"/>
      <c r="LW25" s="252"/>
      <c r="LX25" s="252"/>
      <c r="LY25" s="252"/>
      <c r="LZ25" s="252"/>
      <c r="MA25" s="252"/>
      <c r="MB25" s="252"/>
      <c r="MC25" s="252"/>
      <c r="MD25" s="252"/>
      <c r="ME25" s="252"/>
      <c r="MF25" s="252"/>
      <c r="MG25" s="252"/>
      <c r="MH25" s="252"/>
      <c r="MI25" s="252"/>
      <c r="MJ25" s="252"/>
      <c r="MK25" s="252"/>
      <c r="ML25" s="252"/>
      <c r="MM25" s="252"/>
      <c r="MN25" s="252"/>
      <c r="MO25" s="252"/>
      <c r="MP25" s="252"/>
      <c r="MQ25" s="252"/>
      <c r="MR25" s="252"/>
      <c r="MS25" s="252"/>
      <c r="MT25" s="252"/>
      <c r="MU25" s="252"/>
      <c r="MV25" s="252"/>
      <c r="MW25" s="252"/>
      <c r="MX25" s="252"/>
      <c r="MY25" s="252"/>
      <c r="MZ25" s="252"/>
      <c r="NA25" s="252"/>
      <c r="NB25" s="252"/>
      <c r="NC25" s="252"/>
      <c r="ND25" s="252"/>
      <c r="NE25" s="252"/>
      <c r="NF25" s="252"/>
      <c r="NG25" s="252"/>
      <c r="NH25" s="252"/>
      <c r="NI25" s="252"/>
      <c r="NJ25" s="252"/>
      <c r="NK25" s="252"/>
      <c r="NL25" s="252"/>
      <c r="NM25" s="252"/>
      <c r="NN25" s="252"/>
      <c r="NO25" s="252"/>
      <c r="NP25" s="252"/>
      <c r="NQ25" s="252"/>
      <c r="NR25" s="252"/>
      <c r="NS25" s="252"/>
      <c r="NT25" s="252"/>
      <c r="NU25" s="252"/>
      <c r="NV25" s="252"/>
      <c r="NW25" s="252"/>
      <c r="NX25" s="252"/>
      <c r="NY25" s="252"/>
      <c r="NZ25" s="252"/>
      <c r="OA25" s="252"/>
      <c r="OB25" s="252"/>
      <c r="OC25" s="252"/>
      <c r="OD25" s="252"/>
      <c r="OE25" s="252"/>
      <c r="OF25" s="252"/>
      <c r="OG25" s="252"/>
      <c r="OH25" s="252"/>
      <c r="OI25" s="252"/>
      <c r="OJ25" s="252"/>
      <c r="OK25" s="252"/>
      <c r="OL25" s="252"/>
      <c r="OM25" s="252"/>
      <c r="ON25" s="252"/>
      <c r="OO25" s="252"/>
      <c r="OP25" s="252"/>
      <c r="OQ25" s="252"/>
      <c r="OR25" s="252"/>
      <c r="OS25" s="252"/>
      <c r="OT25" s="252"/>
      <c r="OU25" s="252"/>
      <c r="OV25" s="252"/>
      <c r="OW25" s="252"/>
      <c r="OX25" s="252"/>
      <c r="OY25" s="252"/>
      <c r="OZ25" s="252"/>
      <c r="PA25" s="252"/>
      <c r="PB25" s="252"/>
      <c r="PC25" s="252"/>
      <c r="PD25" s="252"/>
      <c r="PE25" s="252"/>
      <c r="PF25" s="252"/>
      <c r="PG25" s="252"/>
      <c r="PH25" s="252"/>
      <c r="PI25" s="252"/>
      <c r="PJ25" s="252"/>
      <c r="PK25" s="252"/>
      <c r="PL25" s="252"/>
      <c r="PM25" s="252"/>
      <c r="PN25" s="252"/>
      <c r="PO25" s="252"/>
      <c r="PP25" s="252"/>
      <c r="PQ25" s="252"/>
      <c r="PR25" s="252"/>
      <c r="PS25" s="252"/>
      <c r="PT25" s="252"/>
      <c r="PU25" s="252"/>
      <c r="PV25" s="252"/>
      <c r="PW25" s="252"/>
      <c r="PX25" s="252"/>
      <c r="PY25" s="252"/>
      <c r="PZ25" s="252"/>
      <c r="QA25" s="252"/>
      <c r="QB25" s="252"/>
      <c r="QC25" s="252"/>
      <c r="QD25" s="252"/>
      <c r="QE25" s="252"/>
      <c r="QF25" s="252"/>
      <c r="QG25" s="252"/>
      <c r="QH25" s="252"/>
      <c r="QI25" s="252"/>
      <c r="QJ25" s="252"/>
      <c r="QK25" s="252"/>
      <c r="QL25" s="252"/>
      <c r="QM25" s="252"/>
      <c r="QN25" s="252"/>
      <c r="QO25" s="252"/>
      <c r="QP25" s="252"/>
      <c r="QQ25" s="252"/>
      <c r="QR25" s="252"/>
      <c r="QS25" s="252"/>
      <c r="QT25" s="252"/>
      <c r="QU25" s="252"/>
      <c r="QV25" s="252"/>
      <c r="QW25" s="252"/>
      <c r="QX25" s="252"/>
      <c r="QY25" s="252"/>
      <c r="QZ25" s="252"/>
      <c r="RA25" s="252"/>
      <c r="RB25" s="252"/>
      <c r="RC25" s="252"/>
      <c r="RD25" s="252"/>
      <c r="RE25" s="252"/>
      <c r="RF25" s="252"/>
      <c r="RG25" s="252"/>
      <c r="RH25" s="252"/>
      <c r="RI25" s="252"/>
      <c r="RJ25" s="252"/>
      <c r="RK25" s="252"/>
      <c r="RL25" s="252"/>
      <c r="RM25" s="252"/>
      <c r="RN25" s="252"/>
      <c r="RO25" s="252"/>
      <c r="RP25" s="252"/>
      <c r="RQ25" s="252"/>
      <c r="RR25" s="252"/>
      <c r="RS25" s="252"/>
      <c r="RT25" s="252"/>
      <c r="RU25" s="252"/>
      <c r="RV25" s="252"/>
      <c r="RW25" s="252"/>
      <c r="RX25" s="252"/>
      <c r="RY25" s="252"/>
      <c r="RZ25" s="252"/>
      <c r="SA25" s="252"/>
      <c r="SB25" s="252"/>
      <c r="SC25" s="252"/>
      <c r="SD25" s="252"/>
      <c r="SE25" s="252"/>
      <c r="SF25" s="252"/>
      <c r="SG25" s="252"/>
      <c r="SH25" s="252"/>
      <c r="SI25" s="252"/>
      <c r="SJ25" s="252"/>
      <c r="SK25" s="252"/>
      <c r="SL25" s="252"/>
      <c r="SM25" s="252"/>
      <c r="SN25" s="252"/>
      <c r="SO25" s="252"/>
      <c r="SP25" s="252"/>
      <c r="SQ25" s="252"/>
      <c r="SR25" s="252"/>
      <c r="SS25" s="252"/>
      <c r="ST25" s="252"/>
      <c r="SU25" s="252"/>
      <c r="SV25" s="252"/>
      <c r="SW25" s="252"/>
      <c r="SX25" s="252"/>
      <c r="SY25" s="252"/>
      <c r="SZ25" s="252"/>
      <c r="TA25" s="252"/>
      <c r="TB25" s="252"/>
      <c r="TC25" s="252"/>
      <c r="TD25" s="252"/>
      <c r="TE25" s="252"/>
      <c r="TF25" s="252"/>
      <c r="TG25" s="252"/>
      <c r="TH25" s="252"/>
      <c r="TI25" s="252"/>
      <c r="TJ25" s="252"/>
      <c r="TK25" s="252"/>
      <c r="TL25" s="252"/>
      <c r="TM25" s="252"/>
      <c r="TN25" s="252"/>
      <c r="TO25" s="252"/>
      <c r="TP25" s="252"/>
      <c r="TQ25" s="252"/>
      <c r="TR25" s="252"/>
      <c r="TS25" s="252"/>
      <c r="TT25" s="252"/>
      <c r="TU25" s="252"/>
      <c r="TV25" s="252"/>
      <c r="TW25" s="252"/>
      <c r="TX25" s="252"/>
      <c r="TY25" s="252"/>
      <c r="TZ25" s="252"/>
      <c r="UA25" s="252"/>
      <c r="UB25" s="252"/>
      <c r="UC25" s="252"/>
      <c r="UD25" s="252"/>
      <c r="UE25" s="252"/>
      <c r="UF25" s="252"/>
      <c r="UG25" s="252"/>
      <c r="UH25" s="252"/>
      <c r="UI25" s="252"/>
      <c r="UJ25" s="252"/>
      <c r="UK25" s="252"/>
      <c r="UL25" s="252"/>
      <c r="UM25" s="252"/>
      <c r="UN25" s="252"/>
      <c r="UO25" s="252"/>
      <c r="UP25" s="252"/>
      <c r="UQ25" s="252"/>
      <c r="UR25" s="252"/>
      <c r="US25" s="252"/>
      <c r="UT25" s="252"/>
      <c r="UU25" s="252"/>
      <c r="UV25" s="252"/>
      <c r="UW25" s="252"/>
      <c r="UX25" s="252"/>
      <c r="UY25" s="252"/>
      <c r="UZ25" s="252"/>
      <c r="VA25" s="252"/>
      <c r="VB25" s="252"/>
      <c r="VC25" s="252"/>
      <c r="VD25" s="252"/>
      <c r="VE25" s="252"/>
      <c r="VF25" s="252"/>
      <c r="VG25" s="252"/>
      <c r="VH25" s="252"/>
      <c r="VI25" s="252"/>
      <c r="VJ25" s="252"/>
      <c r="VK25" s="252"/>
      <c r="VL25" s="252"/>
      <c r="VM25" s="252"/>
      <c r="VN25" s="252"/>
      <c r="VO25" s="252"/>
      <c r="VP25" s="252"/>
      <c r="VQ25" s="252"/>
      <c r="VR25" s="252"/>
      <c r="VS25" s="252"/>
      <c r="VT25" s="252"/>
      <c r="VU25" s="252"/>
      <c r="VV25" s="252"/>
      <c r="VW25" s="252"/>
      <c r="VX25" s="252"/>
      <c r="VY25" s="252"/>
      <c r="VZ25" s="252"/>
      <c r="WA25" s="252"/>
      <c r="WB25" s="252"/>
      <c r="WC25" s="252"/>
      <c r="WD25" s="252"/>
      <c r="WE25" s="252"/>
      <c r="WF25" s="252"/>
      <c r="WG25" s="252"/>
      <c r="WH25" s="252"/>
      <c r="WI25" s="252"/>
      <c r="WJ25" s="252"/>
      <c r="WK25" s="252"/>
      <c r="WL25" s="252"/>
      <c r="WM25" s="252"/>
      <c r="WN25" s="252"/>
      <c r="WO25" s="252"/>
      <c r="WP25" s="252"/>
      <c r="WQ25" s="252"/>
      <c r="WR25" s="252"/>
      <c r="WS25" s="252"/>
      <c r="WT25" s="252"/>
      <c r="WU25" s="252"/>
      <c r="WV25" s="252"/>
      <c r="WW25" s="252"/>
      <c r="WX25" s="252"/>
      <c r="WY25" s="252"/>
      <c r="WZ25" s="252"/>
      <c r="XA25" s="252"/>
      <c r="XB25" s="252"/>
      <c r="XC25" s="252"/>
      <c r="XD25" s="252"/>
      <c r="XE25" s="252"/>
      <c r="XF25" s="252"/>
      <c r="XG25" s="252"/>
      <c r="XH25" s="252"/>
      <c r="XI25" s="252"/>
      <c r="XJ25" s="252"/>
      <c r="XK25" s="252"/>
      <c r="XL25" s="252"/>
      <c r="XM25" s="252"/>
      <c r="XN25" s="252"/>
      <c r="XO25" s="252"/>
      <c r="XP25" s="252"/>
      <c r="XQ25" s="252"/>
      <c r="XR25" s="252"/>
      <c r="XS25" s="252"/>
      <c r="XT25" s="252"/>
      <c r="XU25" s="252"/>
      <c r="XV25" s="252"/>
      <c r="XW25" s="252"/>
      <c r="XX25" s="252"/>
      <c r="XY25" s="252"/>
      <c r="XZ25" s="252"/>
      <c r="YA25" s="252"/>
      <c r="YB25" s="252"/>
      <c r="YC25" s="252"/>
      <c r="YD25" s="252"/>
      <c r="YE25" s="252"/>
      <c r="YF25" s="252"/>
      <c r="YG25" s="252"/>
      <c r="YH25" s="252"/>
      <c r="YI25" s="252"/>
      <c r="YJ25" s="252"/>
      <c r="YK25" s="252"/>
      <c r="YL25" s="252"/>
      <c r="YM25" s="252"/>
      <c r="YN25" s="252"/>
      <c r="YO25" s="252"/>
      <c r="YP25" s="252"/>
      <c r="YQ25" s="252"/>
      <c r="YR25" s="252"/>
      <c r="YS25" s="252"/>
      <c r="YT25" s="252"/>
      <c r="YU25" s="252"/>
      <c r="YV25" s="252"/>
      <c r="YW25" s="252"/>
      <c r="YX25" s="252"/>
      <c r="YY25" s="252"/>
      <c r="YZ25" s="252"/>
      <c r="ZA25" s="252"/>
      <c r="ZB25" s="252"/>
      <c r="ZC25" s="252"/>
      <c r="ZD25" s="252"/>
      <c r="ZE25" s="252"/>
      <c r="ZF25" s="252"/>
      <c r="ZG25" s="252"/>
      <c r="ZH25" s="252"/>
      <c r="ZI25" s="252"/>
      <c r="ZJ25" s="252"/>
      <c r="ZK25" s="252"/>
      <c r="ZL25" s="252"/>
      <c r="ZM25" s="252"/>
      <c r="ZN25" s="252"/>
      <c r="ZO25" s="252"/>
      <c r="ZP25" s="252"/>
      <c r="ZQ25" s="252"/>
      <c r="ZR25" s="252"/>
      <c r="ZS25" s="252"/>
      <c r="ZT25" s="252"/>
      <c r="ZU25" s="252"/>
      <c r="ZV25" s="252"/>
      <c r="ZW25" s="252"/>
      <c r="ZX25" s="252"/>
      <c r="ZY25" s="252"/>
      <c r="ZZ25" s="252"/>
      <c r="AAA25" s="252"/>
      <c r="AAB25" s="252"/>
      <c r="AAC25" s="252"/>
      <c r="AAD25" s="252"/>
      <c r="AAE25" s="252"/>
      <c r="AAF25" s="252"/>
      <c r="AAG25" s="252"/>
      <c r="AAH25" s="252"/>
      <c r="AAI25" s="252"/>
      <c r="AAJ25" s="252"/>
      <c r="AAK25" s="252"/>
      <c r="AAL25" s="252"/>
      <c r="AAM25" s="252"/>
      <c r="AAN25" s="252"/>
      <c r="AAO25" s="252"/>
      <c r="AAP25" s="252"/>
      <c r="AAQ25" s="252"/>
      <c r="AAR25" s="252"/>
      <c r="AAS25" s="252"/>
      <c r="AAT25" s="252"/>
      <c r="AAU25" s="252"/>
      <c r="AAV25" s="252"/>
      <c r="AAW25" s="252"/>
      <c r="AAX25" s="252"/>
      <c r="AAY25" s="252"/>
      <c r="AAZ25" s="252"/>
      <c r="ABA25" s="252"/>
      <c r="ABB25" s="252"/>
      <c r="ABC25" s="252"/>
      <c r="ABD25" s="252"/>
      <c r="ABE25" s="252"/>
      <c r="ABF25" s="252"/>
      <c r="ABG25" s="252"/>
      <c r="ABH25" s="252"/>
      <c r="ABI25" s="252"/>
      <c r="ABJ25" s="252"/>
      <c r="ABK25" s="252"/>
      <c r="ABL25" s="252"/>
      <c r="ABM25" s="252"/>
      <c r="ABN25" s="252"/>
      <c r="ABO25" s="252"/>
      <c r="ABP25" s="252"/>
      <c r="ABQ25" s="252"/>
      <c r="ABR25" s="252"/>
      <c r="ABS25" s="252"/>
      <c r="ABT25" s="252"/>
      <c r="ABU25" s="252"/>
      <c r="ABV25" s="252"/>
      <c r="ABW25" s="252"/>
      <c r="ABX25" s="252"/>
      <c r="ABY25" s="252"/>
      <c r="ABZ25" s="252"/>
      <c r="ACA25" s="252"/>
      <c r="ACB25" s="252"/>
      <c r="ACC25" s="252"/>
      <c r="ACD25" s="252"/>
      <c r="ACE25" s="252"/>
      <c r="ACF25" s="252"/>
      <c r="ACG25" s="252"/>
      <c r="ACH25" s="252"/>
      <c r="ACI25" s="252"/>
      <c r="ACJ25" s="252"/>
      <c r="ACK25" s="252"/>
      <c r="ACL25" s="252"/>
      <c r="ACM25" s="252"/>
      <c r="ACN25" s="252"/>
      <c r="ACO25" s="252"/>
      <c r="ACP25" s="252"/>
      <c r="ACQ25" s="252"/>
      <c r="ACR25" s="252"/>
      <c r="ACS25" s="252"/>
      <c r="ACT25" s="252"/>
      <c r="ACU25" s="252"/>
      <c r="ACV25" s="252"/>
      <c r="ACW25" s="252"/>
      <c r="ACX25" s="252"/>
      <c r="ACY25" s="252"/>
      <c r="ACZ25" s="252"/>
      <c r="ADA25" s="252"/>
      <c r="ADB25" s="252"/>
      <c r="ADC25" s="252"/>
      <c r="ADD25" s="252"/>
      <c r="ADE25" s="252"/>
      <c r="ADF25" s="252"/>
      <c r="ADG25" s="252"/>
      <c r="ADH25" s="252"/>
      <c r="ADI25" s="252"/>
      <c r="ADJ25" s="252"/>
      <c r="ADK25" s="252"/>
      <c r="ADL25" s="252"/>
      <c r="ADM25" s="252"/>
      <c r="ADN25" s="252"/>
      <c r="ADO25" s="252"/>
      <c r="ADP25" s="252"/>
      <c r="ADQ25" s="252"/>
      <c r="ADR25" s="252"/>
      <c r="ADS25" s="252"/>
      <c r="ADT25" s="252"/>
      <c r="ADU25" s="252"/>
      <c r="ADV25" s="252"/>
      <c r="ADW25" s="252"/>
      <c r="ADX25" s="252"/>
      <c r="ADY25" s="252"/>
      <c r="ADZ25" s="252"/>
      <c r="AEA25" s="252"/>
      <c r="AEB25" s="252"/>
      <c r="AEC25" s="252"/>
      <c r="AED25" s="252"/>
      <c r="AEE25" s="252"/>
      <c r="AEF25" s="252"/>
      <c r="AEG25" s="252"/>
      <c r="AEH25" s="252"/>
      <c r="AEI25" s="252"/>
      <c r="AEJ25" s="252"/>
      <c r="AEK25" s="252"/>
      <c r="AEL25" s="252"/>
      <c r="AEM25" s="252"/>
      <c r="AEN25" s="252"/>
      <c r="AEO25" s="252"/>
      <c r="AEP25" s="252"/>
      <c r="AEQ25" s="252"/>
      <c r="AER25" s="252"/>
      <c r="AES25" s="252"/>
      <c r="AET25" s="252"/>
      <c r="AEU25" s="252"/>
      <c r="AEV25" s="252"/>
      <c r="AEW25" s="252"/>
      <c r="AEX25" s="252"/>
      <c r="AEY25" s="252"/>
      <c r="AEZ25" s="252"/>
      <c r="AFA25" s="252"/>
      <c r="AFB25" s="252"/>
      <c r="AFC25" s="252"/>
      <c r="AFD25" s="252"/>
      <c r="AFE25" s="252"/>
      <c r="AFF25" s="252"/>
      <c r="AFG25" s="252"/>
      <c r="AFH25" s="252"/>
      <c r="AFI25" s="252"/>
      <c r="AFJ25" s="252"/>
      <c r="AFK25" s="252"/>
      <c r="AFL25" s="252"/>
      <c r="AFM25" s="252"/>
      <c r="AFN25" s="252"/>
      <c r="AFO25" s="252"/>
      <c r="AFP25" s="252"/>
      <c r="AFQ25" s="252"/>
      <c r="AFR25" s="252"/>
      <c r="AFS25" s="252"/>
      <c r="AFT25" s="252"/>
      <c r="AFU25" s="252"/>
      <c r="AFV25" s="252"/>
      <c r="AFW25" s="252"/>
      <c r="AFX25" s="252"/>
      <c r="AFY25" s="252"/>
      <c r="AFZ25" s="252"/>
      <c r="AGA25" s="252"/>
      <c r="AGB25" s="252"/>
      <c r="AGC25" s="252"/>
      <c r="AGD25" s="252"/>
      <c r="AGE25" s="252"/>
      <c r="AGF25" s="252"/>
      <c r="AGG25" s="252"/>
      <c r="AGH25" s="252"/>
      <c r="AGI25" s="252"/>
      <c r="AGJ25" s="252"/>
      <c r="AGK25" s="252"/>
      <c r="AGL25" s="252"/>
      <c r="AGM25" s="252"/>
      <c r="AGN25" s="252"/>
      <c r="AGO25" s="252"/>
      <c r="AGP25" s="252"/>
      <c r="AGQ25" s="252"/>
      <c r="AGR25" s="252"/>
      <c r="AGS25" s="252"/>
      <c r="AGT25" s="252"/>
      <c r="AGU25" s="252"/>
      <c r="AGV25" s="252"/>
      <c r="AGW25" s="252"/>
      <c r="AGX25" s="252"/>
      <c r="AGY25" s="252"/>
      <c r="AGZ25" s="252"/>
      <c r="AHA25" s="252"/>
      <c r="AHB25" s="252"/>
      <c r="AHC25" s="252"/>
      <c r="AHD25" s="252"/>
      <c r="AHE25" s="252"/>
      <c r="AHF25" s="252"/>
      <c r="AHG25" s="252"/>
      <c r="AHH25" s="252"/>
      <c r="AHI25" s="252"/>
      <c r="AHJ25" s="252"/>
      <c r="AHK25" s="252"/>
      <c r="AHL25" s="252"/>
      <c r="AHM25" s="252"/>
      <c r="AHN25" s="252"/>
      <c r="AHO25" s="252"/>
      <c r="AHP25" s="252"/>
      <c r="AHQ25" s="252"/>
      <c r="AHR25" s="252"/>
      <c r="AHS25" s="252"/>
      <c r="AHT25" s="252"/>
      <c r="AHU25" s="252"/>
      <c r="AHV25" s="252"/>
      <c r="AHW25" s="252"/>
      <c r="AHX25" s="252"/>
      <c r="AHY25" s="252"/>
      <c r="AHZ25" s="252"/>
      <c r="AIA25" s="252"/>
      <c r="AIB25" s="252"/>
      <c r="AIC25" s="252"/>
      <c r="AID25" s="252"/>
      <c r="AIE25" s="252"/>
      <c r="AIF25" s="252"/>
      <c r="AIG25" s="252"/>
      <c r="AIH25" s="252"/>
      <c r="AII25" s="252"/>
      <c r="AIJ25" s="252"/>
      <c r="AIK25" s="252"/>
      <c r="AIL25" s="252"/>
      <c r="AIM25" s="252"/>
      <c r="AIN25" s="252"/>
      <c r="AIO25" s="252"/>
      <c r="AIP25" s="252"/>
      <c r="AIQ25" s="252"/>
      <c r="AIR25" s="252"/>
      <c r="AIS25" s="252"/>
      <c r="AIT25" s="252"/>
      <c r="AIU25" s="252"/>
      <c r="AIV25" s="252"/>
      <c r="AIW25" s="252"/>
      <c r="AIX25" s="252"/>
      <c r="AIY25" s="252"/>
      <c r="AIZ25" s="252"/>
      <c r="AJA25" s="252"/>
      <c r="AJB25" s="252"/>
      <c r="AJC25" s="252"/>
      <c r="AJD25" s="252"/>
      <c r="AJE25" s="252"/>
      <c r="AJF25" s="252"/>
      <c r="AJG25" s="252"/>
      <c r="AJH25" s="252"/>
      <c r="AJI25" s="252"/>
      <c r="AJJ25" s="252"/>
      <c r="AJK25" s="252"/>
      <c r="AJL25" s="252"/>
      <c r="AJM25" s="252"/>
      <c r="AJN25" s="252"/>
      <c r="AJO25" s="252"/>
      <c r="AJP25" s="252"/>
      <c r="AJQ25" s="252"/>
      <c r="AJR25" s="252"/>
      <c r="AJS25" s="252"/>
      <c r="AJT25" s="252"/>
      <c r="AJU25" s="252"/>
      <c r="AJV25" s="252"/>
      <c r="AJW25" s="252"/>
      <c r="AJX25" s="252"/>
      <c r="AJY25" s="252"/>
      <c r="AJZ25" s="252"/>
      <c r="AKA25" s="252"/>
      <c r="AKB25" s="252"/>
      <c r="AKC25" s="252"/>
      <c r="AKD25" s="252"/>
      <c r="AKE25" s="252"/>
      <c r="AKF25" s="252"/>
      <c r="AKG25" s="252"/>
      <c r="AKH25" s="252"/>
      <c r="AKI25" s="252"/>
      <c r="AKJ25" s="252"/>
      <c r="AKK25" s="252"/>
      <c r="AKL25" s="252"/>
      <c r="AKM25" s="252"/>
      <c r="AKN25" s="252"/>
      <c r="AKO25" s="252"/>
      <c r="AKP25" s="252"/>
      <c r="AKQ25" s="252"/>
      <c r="AKR25" s="252"/>
      <c r="AKS25" s="252"/>
      <c r="AKT25" s="252"/>
      <c r="AKU25" s="252"/>
      <c r="AKV25" s="252"/>
      <c r="AKW25" s="252"/>
      <c r="AKX25" s="252"/>
      <c r="AKY25" s="252"/>
      <c r="AKZ25" s="252"/>
      <c r="ALA25" s="252"/>
      <c r="ALB25" s="252"/>
      <c r="ALC25" s="252"/>
      <c r="ALD25" s="252"/>
      <c r="ALE25" s="252"/>
      <c r="ALF25" s="252"/>
      <c r="ALG25" s="252"/>
      <c r="ALH25" s="252"/>
      <c r="ALI25" s="252"/>
      <c r="ALJ25" s="252"/>
      <c r="ALK25" s="252"/>
      <c r="ALL25" s="252"/>
      <c r="ALM25" s="252"/>
      <c r="ALN25" s="252"/>
      <c r="ALO25" s="252"/>
      <c r="ALP25" s="252"/>
      <c r="ALQ25" s="252"/>
      <c r="ALR25" s="252"/>
      <c r="ALS25" s="252"/>
    </row>
    <row r="26" spans="1:1007" x14ac:dyDescent="0.2">
      <c r="A26" s="749" t="s">
        <v>295</v>
      </c>
      <c r="B26" s="380"/>
      <c r="C26" s="386"/>
      <c r="D26" s="380">
        <v>1.9</v>
      </c>
      <c r="E26" s="740">
        <v>1.9</v>
      </c>
      <c r="F26" s="730"/>
      <c r="G26" s="730"/>
      <c r="H26" s="730"/>
      <c r="I26" s="730"/>
    </row>
    <row r="27" spans="1:1007" s="3" customFormat="1" x14ac:dyDescent="0.2">
      <c r="A27" s="749" t="s">
        <v>296</v>
      </c>
      <c r="B27" s="380"/>
      <c r="C27" s="382"/>
      <c r="D27" s="380">
        <v>1.9</v>
      </c>
      <c r="E27" s="740">
        <v>1.9</v>
      </c>
      <c r="F27" s="730"/>
      <c r="G27" s="730"/>
      <c r="H27" s="730"/>
      <c r="I27" s="730"/>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2"/>
      <c r="BL27" s="252"/>
      <c r="BM27" s="252"/>
      <c r="BN27" s="252"/>
      <c r="BO27" s="252"/>
      <c r="BP27" s="252"/>
      <c r="BQ27" s="252"/>
      <c r="BR27" s="252"/>
      <c r="BS27" s="252"/>
      <c r="BT27" s="252"/>
      <c r="BU27" s="252"/>
      <c r="BV27" s="252"/>
      <c r="BW27" s="252"/>
      <c r="BX27" s="252"/>
      <c r="BY27" s="252"/>
      <c r="BZ27" s="252"/>
      <c r="CA27" s="252"/>
      <c r="CB27" s="252"/>
      <c r="CC27" s="252"/>
      <c r="CD27" s="252"/>
      <c r="CE27" s="252"/>
      <c r="CF27" s="252"/>
      <c r="CG27" s="252"/>
      <c r="CH27" s="252"/>
      <c r="CI27" s="252"/>
      <c r="CJ27" s="252"/>
      <c r="CK27" s="252"/>
      <c r="CL27" s="252"/>
      <c r="CM27" s="252"/>
      <c r="CN27" s="252"/>
      <c r="CO27" s="252"/>
      <c r="CP27" s="252"/>
      <c r="CQ27" s="252"/>
      <c r="CR27" s="252"/>
      <c r="CS27" s="252"/>
      <c r="CT27" s="252"/>
      <c r="CU27" s="252"/>
      <c r="CV27" s="252"/>
      <c r="CW27" s="252"/>
      <c r="CX27" s="252"/>
      <c r="CY27" s="252"/>
      <c r="CZ27" s="252"/>
      <c r="DA27" s="252"/>
      <c r="DB27" s="252"/>
      <c r="DC27" s="252"/>
      <c r="DD27" s="252"/>
      <c r="DE27" s="252"/>
      <c r="DF27" s="252"/>
      <c r="DG27" s="252"/>
      <c r="DH27" s="252"/>
      <c r="DI27" s="252"/>
      <c r="DJ27" s="252"/>
      <c r="DK27" s="252"/>
      <c r="DL27" s="252"/>
      <c r="DM27" s="252"/>
      <c r="DN27" s="252"/>
      <c r="DO27" s="252"/>
      <c r="DP27" s="252"/>
      <c r="DQ27" s="252"/>
      <c r="DR27" s="252"/>
      <c r="DS27" s="252"/>
      <c r="DT27" s="252"/>
      <c r="DU27" s="252"/>
      <c r="DV27" s="252"/>
      <c r="DW27" s="252"/>
      <c r="DX27" s="252"/>
      <c r="DY27" s="252"/>
      <c r="DZ27" s="252"/>
      <c r="EA27" s="252"/>
      <c r="EB27" s="252"/>
      <c r="EC27" s="252"/>
      <c r="ED27" s="252"/>
      <c r="EE27" s="252"/>
      <c r="EF27" s="252"/>
      <c r="EG27" s="252"/>
      <c r="EH27" s="252"/>
      <c r="EI27" s="252"/>
      <c r="EJ27" s="252"/>
      <c r="EK27" s="252"/>
      <c r="EL27" s="252"/>
      <c r="EM27" s="252"/>
      <c r="EN27" s="252"/>
      <c r="EO27" s="252"/>
      <c r="EP27" s="252"/>
      <c r="EQ27" s="252"/>
      <c r="ER27" s="252"/>
      <c r="ES27" s="252"/>
      <c r="ET27" s="252"/>
      <c r="EU27" s="252"/>
      <c r="EV27" s="252"/>
      <c r="EW27" s="252"/>
      <c r="EX27" s="252"/>
      <c r="EY27" s="252"/>
      <c r="EZ27" s="252"/>
      <c r="FA27" s="252"/>
      <c r="FB27" s="252"/>
      <c r="FC27" s="252"/>
      <c r="FD27" s="252"/>
      <c r="FE27" s="252"/>
      <c r="FF27" s="252"/>
      <c r="FG27" s="252"/>
      <c r="FH27" s="252"/>
      <c r="FI27" s="252"/>
      <c r="FJ27" s="252"/>
      <c r="FK27" s="252"/>
      <c r="FL27" s="252"/>
      <c r="FM27" s="252"/>
      <c r="FN27" s="252"/>
      <c r="FO27" s="252"/>
      <c r="FP27" s="252"/>
      <c r="FQ27" s="252"/>
      <c r="FR27" s="252"/>
      <c r="FS27" s="252"/>
      <c r="FT27" s="252"/>
      <c r="FU27" s="252"/>
      <c r="FV27" s="252"/>
      <c r="FW27" s="252"/>
      <c r="FX27" s="252"/>
      <c r="FY27" s="252"/>
      <c r="FZ27" s="252"/>
      <c r="GA27" s="252"/>
      <c r="GB27" s="252"/>
      <c r="GC27" s="252"/>
      <c r="GD27" s="252"/>
      <c r="GE27" s="252"/>
      <c r="GF27" s="252"/>
      <c r="GG27" s="252"/>
      <c r="GH27" s="252"/>
      <c r="GI27" s="252"/>
      <c r="GJ27" s="252"/>
      <c r="GK27" s="252"/>
      <c r="GL27" s="252"/>
      <c r="GM27" s="252"/>
      <c r="GN27" s="252"/>
      <c r="GO27" s="252"/>
      <c r="GP27" s="252"/>
      <c r="GQ27" s="252"/>
      <c r="GR27" s="252"/>
      <c r="GS27" s="252"/>
      <c r="GT27" s="252"/>
      <c r="GU27" s="252"/>
      <c r="GV27" s="252"/>
      <c r="GW27" s="252"/>
      <c r="GX27" s="252"/>
      <c r="GY27" s="252"/>
      <c r="GZ27" s="252"/>
      <c r="HA27" s="252"/>
      <c r="HB27" s="252"/>
      <c r="HC27" s="252"/>
      <c r="HD27" s="252"/>
      <c r="HE27" s="252"/>
      <c r="HF27" s="252"/>
      <c r="HG27" s="252"/>
      <c r="HH27" s="252"/>
      <c r="HI27" s="252"/>
      <c r="HJ27" s="252"/>
      <c r="HK27" s="252"/>
      <c r="HL27" s="252"/>
      <c r="HM27" s="252"/>
      <c r="HN27" s="252"/>
      <c r="HO27" s="252"/>
      <c r="HP27" s="252"/>
      <c r="HQ27" s="252"/>
      <c r="HR27" s="252"/>
      <c r="HS27" s="252"/>
      <c r="HT27" s="252"/>
      <c r="HU27" s="252"/>
      <c r="HV27" s="252"/>
      <c r="HW27" s="252"/>
      <c r="HX27" s="252"/>
      <c r="HY27" s="252"/>
      <c r="HZ27" s="252"/>
      <c r="IA27" s="252"/>
      <c r="IB27" s="252"/>
      <c r="IC27" s="252"/>
      <c r="ID27" s="252"/>
      <c r="IE27" s="252"/>
      <c r="IF27" s="252"/>
      <c r="IG27" s="252"/>
      <c r="IH27" s="252"/>
      <c r="II27" s="252"/>
      <c r="IJ27" s="252"/>
      <c r="IK27" s="252"/>
      <c r="IL27" s="252"/>
      <c r="IM27" s="252"/>
      <c r="IN27" s="252"/>
      <c r="IO27" s="252"/>
      <c r="IP27" s="252"/>
      <c r="IQ27" s="252"/>
      <c r="IR27" s="252"/>
      <c r="IS27" s="252"/>
      <c r="IT27" s="252"/>
      <c r="IU27" s="252"/>
      <c r="IV27" s="252"/>
      <c r="IW27" s="252"/>
      <c r="IX27" s="252"/>
      <c r="IY27" s="252"/>
      <c r="IZ27" s="252"/>
      <c r="JA27" s="252"/>
      <c r="JB27" s="252"/>
      <c r="JC27" s="252"/>
      <c r="JD27" s="252"/>
      <c r="JE27" s="252"/>
      <c r="JF27" s="252"/>
      <c r="JG27" s="252"/>
      <c r="JH27" s="252"/>
      <c r="JI27" s="252"/>
      <c r="JJ27" s="252"/>
      <c r="JK27" s="252"/>
      <c r="JL27" s="252"/>
      <c r="JM27" s="252"/>
      <c r="JN27" s="252"/>
      <c r="JO27" s="252"/>
      <c r="JP27" s="252"/>
      <c r="JQ27" s="252"/>
      <c r="JR27" s="252"/>
      <c r="JS27" s="252"/>
      <c r="JT27" s="252"/>
      <c r="JU27" s="252"/>
      <c r="JV27" s="252"/>
      <c r="JW27" s="252"/>
      <c r="JX27" s="252"/>
      <c r="JY27" s="252"/>
      <c r="JZ27" s="252"/>
      <c r="KA27" s="252"/>
      <c r="KB27" s="252"/>
      <c r="KC27" s="252"/>
      <c r="KD27" s="252"/>
      <c r="KE27" s="252"/>
      <c r="KF27" s="252"/>
      <c r="KG27" s="252"/>
      <c r="KH27" s="252"/>
      <c r="KI27" s="252"/>
      <c r="KJ27" s="252"/>
      <c r="KK27" s="252"/>
      <c r="KL27" s="252"/>
      <c r="KM27" s="252"/>
      <c r="KN27" s="252"/>
      <c r="KO27" s="252"/>
      <c r="KP27" s="252"/>
      <c r="KQ27" s="252"/>
      <c r="KR27" s="252"/>
      <c r="KS27" s="252"/>
      <c r="KT27" s="252"/>
      <c r="KU27" s="252"/>
      <c r="KV27" s="252"/>
      <c r="KW27" s="252"/>
      <c r="KX27" s="252"/>
      <c r="KY27" s="252"/>
      <c r="KZ27" s="252"/>
      <c r="LA27" s="252"/>
      <c r="LB27" s="252"/>
      <c r="LC27" s="252"/>
      <c r="LD27" s="252"/>
      <c r="LE27" s="252"/>
      <c r="LF27" s="252"/>
      <c r="LG27" s="252"/>
      <c r="LH27" s="252"/>
      <c r="LI27" s="252"/>
      <c r="LJ27" s="252"/>
      <c r="LK27" s="252"/>
      <c r="LL27" s="252"/>
      <c r="LM27" s="252"/>
      <c r="LN27" s="252"/>
      <c r="LO27" s="252"/>
      <c r="LP27" s="252"/>
      <c r="LQ27" s="252"/>
      <c r="LR27" s="252"/>
      <c r="LS27" s="252"/>
      <c r="LT27" s="252"/>
      <c r="LU27" s="252"/>
      <c r="LV27" s="252"/>
      <c r="LW27" s="252"/>
      <c r="LX27" s="252"/>
      <c r="LY27" s="252"/>
      <c r="LZ27" s="252"/>
      <c r="MA27" s="252"/>
      <c r="MB27" s="252"/>
      <c r="MC27" s="252"/>
      <c r="MD27" s="252"/>
      <c r="ME27" s="252"/>
      <c r="MF27" s="252"/>
      <c r="MG27" s="252"/>
      <c r="MH27" s="252"/>
      <c r="MI27" s="252"/>
      <c r="MJ27" s="252"/>
      <c r="MK27" s="252"/>
      <c r="ML27" s="252"/>
      <c r="MM27" s="252"/>
      <c r="MN27" s="252"/>
      <c r="MO27" s="252"/>
      <c r="MP27" s="252"/>
      <c r="MQ27" s="252"/>
      <c r="MR27" s="252"/>
      <c r="MS27" s="252"/>
      <c r="MT27" s="252"/>
      <c r="MU27" s="252"/>
      <c r="MV27" s="252"/>
      <c r="MW27" s="252"/>
      <c r="MX27" s="252"/>
      <c r="MY27" s="252"/>
      <c r="MZ27" s="252"/>
      <c r="NA27" s="252"/>
      <c r="NB27" s="252"/>
      <c r="NC27" s="252"/>
      <c r="ND27" s="252"/>
      <c r="NE27" s="252"/>
      <c r="NF27" s="252"/>
      <c r="NG27" s="252"/>
      <c r="NH27" s="252"/>
      <c r="NI27" s="252"/>
      <c r="NJ27" s="252"/>
      <c r="NK27" s="252"/>
      <c r="NL27" s="252"/>
      <c r="NM27" s="252"/>
      <c r="NN27" s="252"/>
      <c r="NO27" s="252"/>
      <c r="NP27" s="252"/>
      <c r="NQ27" s="252"/>
      <c r="NR27" s="252"/>
      <c r="NS27" s="252"/>
      <c r="NT27" s="252"/>
      <c r="NU27" s="252"/>
      <c r="NV27" s="252"/>
      <c r="NW27" s="252"/>
      <c r="NX27" s="252"/>
      <c r="NY27" s="252"/>
      <c r="NZ27" s="252"/>
      <c r="OA27" s="252"/>
      <c r="OB27" s="252"/>
      <c r="OC27" s="252"/>
      <c r="OD27" s="252"/>
      <c r="OE27" s="252"/>
      <c r="OF27" s="252"/>
      <c r="OG27" s="252"/>
      <c r="OH27" s="252"/>
      <c r="OI27" s="252"/>
      <c r="OJ27" s="252"/>
      <c r="OK27" s="252"/>
      <c r="OL27" s="252"/>
      <c r="OM27" s="252"/>
      <c r="ON27" s="252"/>
      <c r="OO27" s="252"/>
      <c r="OP27" s="252"/>
      <c r="OQ27" s="252"/>
      <c r="OR27" s="252"/>
      <c r="OS27" s="252"/>
      <c r="OT27" s="252"/>
      <c r="OU27" s="252"/>
      <c r="OV27" s="252"/>
      <c r="OW27" s="252"/>
      <c r="OX27" s="252"/>
      <c r="OY27" s="252"/>
      <c r="OZ27" s="252"/>
      <c r="PA27" s="252"/>
      <c r="PB27" s="252"/>
      <c r="PC27" s="252"/>
      <c r="PD27" s="252"/>
      <c r="PE27" s="252"/>
      <c r="PF27" s="252"/>
      <c r="PG27" s="252"/>
      <c r="PH27" s="252"/>
      <c r="PI27" s="252"/>
      <c r="PJ27" s="252"/>
      <c r="PK27" s="252"/>
      <c r="PL27" s="252"/>
      <c r="PM27" s="252"/>
      <c r="PN27" s="252"/>
      <c r="PO27" s="252"/>
      <c r="PP27" s="252"/>
      <c r="PQ27" s="252"/>
      <c r="PR27" s="252"/>
      <c r="PS27" s="252"/>
      <c r="PT27" s="252"/>
      <c r="PU27" s="252"/>
      <c r="PV27" s="252"/>
      <c r="PW27" s="252"/>
      <c r="PX27" s="252"/>
      <c r="PY27" s="252"/>
      <c r="PZ27" s="252"/>
      <c r="QA27" s="252"/>
      <c r="QB27" s="252"/>
      <c r="QC27" s="252"/>
      <c r="QD27" s="252"/>
      <c r="QE27" s="252"/>
      <c r="QF27" s="252"/>
      <c r="QG27" s="252"/>
      <c r="QH27" s="252"/>
      <c r="QI27" s="252"/>
      <c r="QJ27" s="252"/>
      <c r="QK27" s="252"/>
      <c r="QL27" s="252"/>
      <c r="QM27" s="252"/>
      <c r="QN27" s="252"/>
      <c r="QO27" s="252"/>
      <c r="QP27" s="252"/>
      <c r="QQ27" s="252"/>
      <c r="QR27" s="252"/>
      <c r="QS27" s="252"/>
      <c r="QT27" s="252"/>
      <c r="QU27" s="252"/>
      <c r="QV27" s="252"/>
      <c r="QW27" s="252"/>
      <c r="QX27" s="252"/>
      <c r="QY27" s="252"/>
      <c r="QZ27" s="252"/>
      <c r="RA27" s="252"/>
      <c r="RB27" s="252"/>
      <c r="RC27" s="252"/>
      <c r="RD27" s="252"/>
      <c r="RE27" s="252"/>
      <c r="RF27" s="252"/>
      <c r="RG27" s="252"/>
      <c r="RH27" s="252"/>
      <c r="RI27" s="252"/>
      <c r="RJ27" s="252"/>
      <c r="RK27" s="252"/>
      <c r="RL27" s="252"/>
      <c r="RM27" s="252"/>
      <c r="RN27" s="252"/>
      <c r="RO27" s="252"/>
      <c r="RP27" s="252"/>
      <c r="RQ27" s="252"/>
      <c r="RR27" s="252"/>
      <c r="RS27" s="252"/>
      <c r="RT27" s="252"/>
      <c r="RU27" s="252"/>
      <c r="RV27" s="252"/>
      <c r="RW27" s="252"/>
      <c r="RX27" s="252"/>
      <c r="RY27" s="252"/>
      <c r="RZ27" s="252"/>
      <c r="SA27" s="252"/>
      <c r="SB27" s="252"/>
      <c r="SC27" s="252"/>
      <c r="SD27" s="252"/>
      <c r="SE27" s="252"/>
      <c r="SF27" s="252"/>
      <c r="SG27" s="252"/>
      <c r="SH27" s="252"/>
      <c r="SI27" s="252"/>
      <c r="SJ27" s="252"/>
      <c r="SK27" s="252"/>
      <c r="SL27" s="252"/>
      <c r="SM27" s="252"/>
      <c r="SN27" s="252"/>
      <c r="SO27" s="252"/>
      <c r="SP27" s="252"/>
      <c r="SQ27" s="252"/>
      <c r="SR27" s="252"/>
      <c r="SS27" s="252"/>
      <c r="ST27" s="252"/>
      <c r="SU27" s="252"/>
      <c r="SV27" s="252"/>
      <c r="SW27" s="252"/>
      <c r="SX27" s="252"/>
      <c r="SY27" s="252"/>
      <c r="SZ27" s="252"/>
      <c r="TA27" s="252"/>
      <c r="TB27" s="252"/>
      <c r="TC27" s="252"/>
      <c r="TD27" s="252"/>
      <c r="TE27" s="252"/>
      <c r="TF27" s="252"/>
      <c r="TG27" s="252"/>
      <c r="TH27" s="252"/>
      <c r="TI27" s="252"/>
      <c r="TJ27" s="252"/>
      <c r="TK27" s="252"/>
      <c r="TL27" s="252"/>
      <c r="TM27" s="252"/>
      <c r="TN27" s="252"/>
      <c r="TO27" s="252"/>
      <c r="TP27" s="252"/>
      <c r="TQ27" s="252"/>
      <c r="TR27" s="252"/>
      <c r="TS27" s="252"/>
      <c r="TT27" s="252"/>
      <c r="TU27" s="252"/>
      <c r="TV27" s="252"/>
      <c r="TW27" s="252"/>
      <c r="TX27" s="252"/>
      <c r="TY27" s="252"/>
      <c r="TZ27" s="252"/>
      <c r="UA27" s="252"/>
      <c r="UB27" s="252"/>
      <c r="UC27" s="252"/>
      <c r="UD27" s="252"/>
      <c r="UE27" s="252"/>
      <c r="UF27" s="252"/>
      <c r="UG27" s="252"/>
      <c r="UH27" s="252"/>
      <c r="UI27" s="252"/>
      <c r="UJ27" s="252"/>
      <c r="UK27" s="252"/>
      <c r="UL27" s="252"/>
      <c r="UM27" s="252"/>
      <c r="UN27" s="252"/>
      <c r="UO27" s="252"/>
      <c r="UP27" s="252"/>
      <c r="UQ27" s="252"/>
      <c r="UR27" s="252"/>
      <c r="US27" s="252"/>
      <c r="UT27" s="252"/>
      <c r="UU27" s="252"/>
      <c r="UV27" s="252"/>
      <c r="UW27" s="252"/>
      <c r="UX27" s="252"/>
      <c r="UY27" s="252"/>
      <c r="UZ27" s="252"/>
      <c r="VA27" s="252"/>
      <c r="VB27" s="252"/>
      <c r="VC27" s="252"/>
      <c r="VD27" s="252"/>
      <c r="VE27" s="252"/>
      <c r="VF27" s="252"/>
      <c r="VG27" s="252"/>
      <c r="VH27" s="252"/>
      <c r="VI27" s="252"/>
      <c r="VJ27" s="252"/>
      <c r="VK27" s="252"/>
      <c r="VL27" s="252"/>
      <c r="VM27" s="252"/>
      <c r="VN27" s="252"/>
      <c r="VO27" s="252"/>
      <c r="VP27" s="252"/>
      <c r="VQ27" s="252"/>
      <c r="VR27" s="252"/>
      <c r="VS27" s="252"/>
      <c r="VT27" s="252"/>
      <c r="VU27" s="252"/>
      <c r="VV27" s="252"/>
      <c r="VW27" s="252"/>
      <c r="VX27" s="252"/>
      <c r="VY27" s="252"/>
      <c r="VZ27" s="252"/>
      <c r="WA27" s="252"/>
      <c r="WB27" s="252"/>
      <c r="WC27" s="252"/>
      <c r="WD27" s="252"/>
      <c r="WE27" s="252"/>
      <c r="WF27" s="252"/>
      <c r="WG27" s="252"/>
      <c r="WH27" s="252"/>
      <c r="WI27" s="252"/>
      <c r="WJ27" s="252"/>
      <c r="WK27" s="252"/>
      <c r="WL27" s="252"/>
      <c r="WM27" s="252"/>
      <c r="WN27" s="252"/>
      <c r="WO27" s="252"/>
      <c r="WP27" s="252"/>
      <c r="WQ27" s="252"/>
      <c r="WR27" s="252"/>
      <c r="WS27" s="252"/>
      <c r="WT27" s="252"/>
      <c r="WU27" s="252"/>
      <c r="WV27" s="252"/>
      <c r="WW27" s="252"/>
      <c r="WX27" s="252"/>
      <c r="WY27" s="252"/>
      <c r="WZ27" s="252"/>
      <c r="XA27" s="252"/>
      <c r="XB27" s="252"/>
      <c r="XC27" s="252"/>
      <c r="XD27" s="252"/>
      <c r="XE27" s="252"/>
      <c r="XF27" s="252"/>
      <c r="XG27" s="252"/>
      <c r="XH27" s="252"/>
      <c r="XI27" s="252"/>
      <c r="XJ27" s="252"/>
      <c r="XK27" s="252"/>
      <c r="XL27" s="252"/>
      <c r="XM27" s="252"/>
      <c r="XN27" s="252"/>
      <c r="XO27" s="252"/>
      <c r="XP27" s="252"/>
      <c r="XQ27" s="252"/>
      <c r="XR27" s="252"/>
      <c r="XS27" s="252"/>
      <c r="XT27" s="252"/>
      <c r="XU27" s="252"/>
      <c r="XV27" s="252"/>
      <c r="XW27" s="252"/>
      <c r="XX27" s="252"/>
      <c r="XY27" s="252"/>
      <c r="XZ27" s="252"/>
      <c r="YA27" s="252"/>
      <c r="YB27" s="252"/>
      <c r="YC27" s="252"/>
      <c r="YD27" s="252"/>
      <c r="YE27" s="252"/>
      <c r="YF27" s="252"/>
      <c r="YG27" s="252"/>
      <c r="YH27" s="252"/>
      <c r="YI27" s="252"/>
      <c r="YJ27" s="252"/>
      <c r="YK27" s="252"/>
      <c r="YL27" s="252"/>
      <c r="YM27" s="252"/>
      <c r="YN27" s="252"/>
      <c r="YO27" s="252"/>
      <c r="YP27" s="252"/>
      <c r="YQ27" s="252"/>
      <c r="YR27" s="252"/>
      <c r="YS27" s="252"/>
      <c r="YT27" s="252"/>
      <c r="YU27" s="252"/>
      <c r="YV27" s="252"/>
      <c r="YW27" s="252"/>
      <c r="YX27" s="252"/>
      <c r="YY27" s="252"/>
      <c r="YZ27" s="252"/>
      <c r="ZA27" s="252"/>
      <c r="ZB27" s="252"/>
      <c r="ZC27" s="252"/>
      <c r="ZD27" s="252"/>
      <c r="ZE27" s="252"/>
      <c r="ZF27" s="252"/>
      <c r="ZG27" s="252"/>
      <c r="ZH27" s="252"/>
      <c r="ZI27" s="252"/>
      <c r="ZJ27" s="252"/>
      <c r="ZK27" s="252"/>
      <c r="ZL27" s="252"/>
      <c r="ZM27" s="252"/>
      <c r="ZN27" s="252"/>
      <c r="ZO27" s="252"/>
      <c r="ZP27" s="252"/>
      <c r="ZQ27" s="252"/>
      <c r="ZR27" s="252"/>
      <c r="ZS27" s="252"/>
      <c r="ZT27" s="252"/>
      <c r="ZU27" s="252"/>
      <c r="ZV27" s="252"/>
      <c r="ZW27" s="252"/>
      <c r="ZX27" s="252"/>
      <c r="ZY27" s="252"/>
      <c r="ZZ27" s="252"/>
      <c r="AAA27" s="252"/>
      <c r="AAB27" s="252"/>
      <c r="AAC27" s="252"/>
      <c r="AAD27" s="252"/>
      <c r="AAE27" s="252"/>
      <c r="AAF27" s="252"/>
      <c r="AAG27" s="252"/>
      <c r="AAH27" s="252"/>
      <c r="AAI27" s="252"/>
      <c r="AAJ27" s="252"/>
      <c r="AAK27" s="252"/>
      <c r="AAL27" s="252"/>
      <c r="AAM27" s="252"/>
      <c r="AAN27" s="252"/>
      <c r="AAO27" s="252"/>
      <c r="AAP27" s="252"/>
      <c r="AAQ27" s="252"/>
      <c r="AAR27" s="252"/>
      <c r="AAS27" s="252"/>
      <c r="AAT27" s="252"/>
      <c r="AAU27" s="252"/>
      <c r="AAV27" s="252"/>
      <c r="AAW27" s="252"/>
      <c r="AAX27" s="252"/>
      <c r="AAY27" s="252"/>
      <c r="AAZ27" s="252"/>
      <c r="ABA27" s="252"/>
      <c r="ABB27" s="252"/>
      <c r="ABC27" s="252"/>
      <c r="ABD27" s="252"/>
      <c r="ABE27" s="252"/>
      <c r="ABF27" s="252"/>
      <c r="ABG27" s="252"/>
      <c r="ABH27" s="252"/>
      <c r="ABI27" s="252"/>
      <c r="ABJ27" s="252"/>
      <c r="ABK27" s="252"/>
      <c r="ABL27" s="252"/>
      <c r="ABM27" s="252"/>
      <c r="ABN27" s="252"/>
      <c r="ABO27" s="252"/>
      <c r="ABP27" s="252"/>
      <c r="ABQ27" s="252"/>
      <c r="ABR27" s="252"/>
      <c r="ABS27" s="252"/>
      <c r="ABT27" s="252"/>
      <c r="ABU27" s="252"/>
      <c r="ABV27" s="252"/>
      <c r="ABW27" s="252"/>
      <c r="ABX27" s="252"/>
      <c r="ABY27" s="252"/>
      <c r="ABZ27" s="252"/>
      <c r="ACA27" s="252"/>
      <c r="ACB27" s="252"/>
      <c r="ACC27" s="252"/>
      <c r="ACD27" s="252"/>
      <c r="ACE27" s="252"/>
      <c r="ACF27" s="252"/>
      <c r="ACG27" s="252"/>
      <c r="ACH27" s="252"/>
      <c r="ACI27" s="252"/>
      <c r="ACJ27" s="252"/>
      <c r="ACK27" s="252"/>
      <c r="ACL27" s="252"/>
      <c r="ACM27" s="252"/>
      <c r="ACN27" s="252"/>
      <c r="ACO27" s="252"/>
      <c r="ACP27" s="252"/>
      <c r="ACQ27" s="252"/>
      <c r="ACR27" s="252"/>
      <c r="ACS27" s="252"/>
      <c r="ACT27" s="252"/>
      <c r="ACU27" s="252"/>
      <c r="ACV27" s="252"/>
      <c r="ACW27" s="252"/>
      <c r="ACX27" s="252"/>
      <c r="ACY27" s="252"/>
      <c r="ACZ27" s="252"/>
      <c r="ADA27" s="252"/>
      <c r="ADB27" s="252"/>
      <c r="ADC27" s="252"/>
      <c r="ADD27" s="252"/>
      <c r="ADE27" s="252"/>
      <c r="ADF27" s="252"/>
      <c r="ADG27" s="252"/>
      <c r="ADH27" s="252"/>
      <c r="ADI27" s="252"/>
      <c r="ADJ27" s="252"/>
      <c r="ADK27" s="252"/>
      <c r="ADL27" s="252"/>
      <c r="ADM27" s="252"/>
      <c r="ADN27" s="252"/>
      <c r="ADO27" s="252"/>
      <c r="ADP27" s="252"/>
      <c r="ADQ27" s="252"/>
      <c r="ADR27" s="252"/>
      <c r="ADS27" s="252"/>
      <c r="ADT27" s="252"/>
      <c r="ADU27" s="252"/>
      <c r="ADV27" s="252"/>
      <c r="ADW27" s="252"/>
      <c r="ADX27" s="252"/>
      <c r="ADY27" s="252"/>
      <c r="ADZ27" s="252"/>
      <c r="AEA27" s="252"/>
      <c r="AEB27" s="252"/>
      <c r="AEC27" s="252"/>
      <c r="AED27" s="252"/>
      <c r="AEE27" s="252"/>
      <c r="AEF27" s="252"/>
      <c r="AEG27" s="252"/>
      <c r="AEH27" s="252"/>
      <c r="AEI27" s="252"/>
      <c r="AEJ27" s="252"/>
      <c r="AEK27" s="252"/>
      <c r="AEL27" s="252"/>
      <c r="AEM27" s="252"/>
      <c r="AEN27" s="252"/>
      <c r="AEO27" s="252"/>
      <c r="AEP27" s="252"/>
      <c r="AEQ27" s="252"/>
      <c r="AER27" s="252"/>
      <c r="AES27" s="252"/>
      <c r="AET27" s="252"/>
      <c r="AEU27" s="252"/>
      <c r="AEV27" s="252"/>
      <c r="AEW27" s="252"/>
      <c r="AEX27" s="252"/>
      <c r="AEY27" s="252"/>
      <c r="AEZ27" s="252"/>
      <c r="AFA27" s="252"/>
      <c r="AFB27" s="252"/>
      <c r="AFC27" s="252"/>
      <c r="AFD27" s="252"/>
      <c r="AFE27" s="252"/>
      <c r="AFF27" s="252"/>
      <c r="AFG27" s="252"/>
      <c r="AFH27" s="252"/>
      <c r="AFI27" s="252"/>
      <c r="AFJ27" s="252"/>
      <c r="AFK27" s="252"/>
      <c r="AFL27" s="252"/>
      <c r="AFM27" s="252"/>
      <c r="AFN27" s="252"/>
      <c r="AFO27" s="252"/>
      <c r="AFP27" s="252"/>
      <c r="AFQ27" s="252"/>
      <c r="AFR27" s="252"/>
      <c r="AFS27" s="252"/>
      <c r="AFT27" s="252"/>
      <c r="AFU27" s="252"/>
      <c r="AFV27" s="252"/>
      <c r="AFW27" s="252"/>
      <c r="AFX27" s="252"/>
      <c r="AFY27" s="252"/>
      <c r="AFZ27" s="252"/>
      <c r="AGA27" s="252"/>
      <c r="AGB27" s="252"/>
      <c r="AGC27" s="252"/>
      <c r="AGD27" s="252"/>
      <c r="AGE27" s="252"/>
      <c r="AGF27" s="252"/>
      <c r="AGG27" s="252"/>
      <c r="AGH27" s="252"/>
      <c r="AGI27" s="252"/>
      <c r="AGJ27" s="252"/>
      <c r="AGK27" s="252"/>
      <c r="AGL27" s="252"/>
      <c r="AGM27" s="252"/>
      <c r="AGN27" s="252"/>
      <c r="AGO27" s="252"/>
      <c r="AGP27" s="252"/>
      <c r="AGQ27" s="252"/>
      <c r="AGR27" s="252"/>
      <c r="AGS27" s="252"/>
      <c r="AGT27" s="252"/>
      <c r="AGU27" s="252"/>
      <c r="AGV27" s="252"/>
      <c r="AGW27" s="252"/>
      <c r="AGX27" s="252"/>
      <c r="AGY27" s="252"/>
      <c r="AGZ27" s="252"/>
      <c r="AHA27" s="252"/>
      <c r="AHB27" s="252"/>
      <c r="AHC27" s="252"/>
      <c r="AHD27" s="252"/>
      <c r="AHE27" s="252"/>
      <c r="AHF27" s="252"/>
      <c r="AHG27" s="252"/>
      <c r="AHH27" s="252"/>
      <c r="AHI27" s="252"/>
      <c r="AHJ27" s="252"/>
      <c r="AHK27" s="252"/>
      <c r="AHL27" s="252"/>
      <c r="AHM27" s="252"/>
      <c r="AHN27" s="252"/>
      <c r="AHO27" s="252"/>
      <c r="AHP27" s="252"/>
      <c r="AHQ27" s="252"/>
      <c r="AHR27" s="252"/>
      <c r="AHS27" s="252"/>
      <c r="AHT27" s="252"/>
      <c r="AHU27" s="252"/>
      <c r="AHV27" s="252"/>
      <c r="AHW27" s="252"/>
      <c r="AHX27" s="252"/>
      <c r="AHY27" s="252"/>
      <c r="AHZ27" s="252"/>
      <c r="AIA27" s="252"/>
      <c r="AIB27" s="252"/>
      <c r="AIC27" s="252"/>
      <c r="AID27" s="252"/>
      <c r="AIE27" s="252"/>
      <c r="AIF27" s="252"/>
      <c r="AIG27" s="252"/>
      <c r="AIH27" s="252"/>
      <c r="AII27" s="252"/>
      <c r="AIJ27" s="252"/>
      <c r="AIK27" s="252"/>
      <c r="AIL27" s="252"/>
      <c r="AIM27" s="252"/>
      <c r="AIN27" s="252"/>
      <c r="AIO27" s="252"/>
      <c r="AIP27" s="252"/>
      <c r="AIQ27" s="252"/>
      <c r="AIR27" s="252"/>
      <c r="AIS27" s="252"/>
      <c r="AIT27" s="252"/>
      <c r="AIU27" s="252"/>
      <c r="AIV27" s="252"/>
      <c r="AIW27" s="252"/>
      <c r="AIX27" s="252"/>
      <c r="AIY27" s="252"/>
      <c r="AIZ27" s="252"/>
      <c r="AJA27" s="252"/>
      <c r="AJB27" s="252"/>
      <c r="AJC27" s="252"/>
      <c r="AJD27" s="252"/>
      <c r="AJE27" s="252"/>
      <c r="AJF27" s="252"/>
      <c r="AJG27" s="252"/>
      <c r="AJH27" s="252"/>
      <c r="AJI27" s="252"/>
      <c r="AJJ27" s="252"/>
      <c r="AJK27" s="252"/>
      <c r="AJL27" s="252"/>
      <c r="AJM27" s="252"/>
      <c r="AJN27" s="252"/>
      <c r="AJO27" s="252"/>
      <c r="AJP27" s="252"/>
      <c r="AJQ27" s="252"/>
      <c r="AJR27" s="252"/>
      <c r="AJS27" s="252"/>
      <c r="AJT27" s="252"/>
      <c r="AJU27" s="252"/>
      <c r="AJV27" s="252"/>
      <c r="AJW27" s="252"/>
      <c r="AJX27" s="252"/>
      <c r="AJY27" s="252"/>
      <c r="AJZ27" s="252"/>
      <c r="AKA27" s="252"/>
      <c r="AKB27" s="252"/>
      <c r="AKC27" s="252"/>
      <c r="AKD27" s="252"/>
      <c r="AKE27" s="252"/>
      <c r="AKF27" s="252"/>
      <c r="AKG27" s="252"/>
      <c r="AKH27" s="252"/>
      <c r="AKI27" s="252"/>
      <c r="AKJ27" s="252"/>
      <c r="AKK27" s="252"/>
      <c r="AKL27" s="252"/>
      <c r="AKM27" s="252"/>
      <c r="AKN27" s="252"/>
      <c r="AKO27" s="252"/>
      <c r="AKP27" s="252"/>
      <c r="AKQ27" s="252"/>
      <c r="AKR27" s="252"/>
      <c r="AKS27" s="252"/>
      <c r="AKT27" s="252"/>
      <c r="AKU27" s="252"/>
      <c r="AKV27" s="252"/>
      <c r="AKW27" s="252"/>
      <c r="AKX27" s="252"/>
      <c r="AKY27" s="252"/>
      <c r="AKZ27" s="252"/>
      <c r="ALA27" s="252"/>
      <c r="ALB27" s="252"/>
      <c r="ALC27" s="252"/>
      <c r="ALD27" s="252"/>
      <c r="ALE27" s="252"/>
      <c r="ALF27" s="252"/>
      <c r="ALG27" s="252"/>
      <c r="ALH27" s="252"/>
      <c r="ALI27" s="252"/>
      <c r="ALJ27" s="252"/>
      <c r="ALK27" s="252"/>
      <c r="ALL27" s="252"/>
      <c r="ALM27" s="252"/>
      <c r="ALN27" s="252"/>
      <c r="ALO27" s="252"/>
      <c r="ALP27" s="252"/>
      <c r="ALQ27" s="252"/>
      <c r="ALR27" s="252"/>
      <c r="ALS27" s="252"/>
    </row>
    <row r="28" spans="1:1007" s="3" customFormat="1" x14ac:dyDescent="0.2">
      <c r="A28" s="749" t="s">
        <v>289</v>
      </c>
      <c r="B28" s="380">
        <v>1.9</v>
      </c>
      <c r="C28" s="380">
        <v>1.9</v>
      </c>
      <c r="D28" s="380">
        <v>1.9</v>
      </c>
      <c r="E28" s="740">
        <v>1.9</v>
      </c>
      <c r="F28" s="730"/>
      <c r="G28" s="730"/>
      <c r="H28" s="730"/>
      <c r="I28" s="730"/>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2"/>
      <c r="AY28" s="252"/>
      <c r="AZ28" s="252"/>
      <c r="BA28" s="252"/>
      <c r="BB28" s="252"/>
      <c r="BC28" s="252"/>
      <c r="BD28" s="252"/>
      <c r="BE28" s="252"/>
      <c r="BF28" s="252"/>
      <c r="BG28" s="252"/>
      <c r="BH28" s="252"/>
      <c r="BI28" s="252"/>
      <c r="BJ28" s="252"/>
      <c r="BK28" s="252"/>
      <c r="BL28" s="252"/>
      <c r="BM28" s="252"/>
      <c r="BN28" s="252"/>
      <c r="BO28" s="252"/>
      <c r="BP28" s="252"/>
      <c r="BQ28" s="252"/>
      <c r="BR28" s="252"/>
      <c r="BS28" s="252"/>
      <c r="BT28" s="252"/>
      <c r="BU28" s="252"/>
      <c r="BV28" s="252"/>
      <c r="BW28" s="252"/>
      <c r="BX28" s="252"/>
      <c r="BY28" s="252"/>
      <c r="BZ28" s="252"/>
      <c r="CA28" s="252"/>
      <c r="CB28" s="252"/>
      <c r="CC28" s="252"/>
      <c r="CD28" s="252"/>
      <c r="CE28" s="252"/>
      <c r="CF28" s="252"/>
      <c r="CG28" s="252"/>
      <c r="CH28" s="252"/>
      <c r="CI28" s="252"/>
      <c r="CJ28" s="252"/>
      <c r="CK28" s="252"/>
      <c r="CL28" s="252"/>
      <c r="CM28" s="252"/>
      <c r="CN28" s="252"/>
      <c r="CO28" s="252"/>
      <c r="CP28" s="252"/>
      <c r="CQ28" s="252"/>
      <c r="CR28" s="252"/>
      <c r="CS28" s="252"/>
      <c r="CT28" s="252"/>
      <c r="CU28" s="252"/>
      <c r="CV28" s="252"/>
      <c r="CW28" s="252"/>
      <c r="CX28" s="252"/>
      <c r="CY28" s="252"/>
      <c r="CZ28" s="252"/>
      <c r="DA28" s="252"/>
      <c r="DB28" s="252"/>
      <c r="DC28" s="252"/>
      <c r="DD28" s="252"/>
      <c r="DE28" s="252"/>
      <c r="DF28" s="252"/>
      <c r="DG28" s="252"/>
      <c r="DH28" s="252"/>
      <c r="DI28" s="252"/>
      <c r="DJ28" s="252"/>
      <c r="DK28" s="252"/>
      <c r="DL28" s="252"/>
      <c r="DM28" s="252"/>
      <c r="DN28" s="252"/>
      <c r="DO28" s="252"/>
      <c r="DP28" s="252"/>
      <c r="DQ28" s="252"/>
      <c r="DR28" s="252"/>
      <c r="DS28" s="252"/>
      <c r="DT28" s="252"/>
      <c r="DU28" s="252"/>
      <c r="DV28" s="252"/>
      <c r="DW28" s="252"/>
      <c r="DX28" s="252"/>
      <c r="DY28" s="252"/>
      <c r="DZ28" s="252"/>
      <c r="EA28" s="252"/>
      <c r="EB28" s="252"/>
      <c r="EC28" s="252"/>
      <c r="ED28" s="252"/>
      <c r="EE28" s="252"/>
      <c r="EF28" s="252"/>
      <c r="EG28" s="252"/>
      <c r="EH28" s="252"/>
      <c r="EI28" s="252"/>
      <c r="EJ28" s="252"/>
      <c r="EK28" s="252"/>
      <c r="EL28" s="252"/>
      <c r="EM28" s="252"/>
      <c r="EN28" s="252"/>
      <c r="EO28" s="252"/>
      <c r="EP28" s="252"/>
      <c r="EQ28" s="252"/>
      <c r="ER28" s="252"/>
      <c r="ES28" s="252"/>
      <c r="ET28" s="252"/>
      <c r="EU28" s="252"/>
      <c r="EV28" s="252"/>
      <c r="EW28" s="252"/>
      <c r="EX28" s="252"/>
      <c r="EY28" s="252"/>
      <c r="EZ28" s="252"/>
      <c r="FA28" s="252"/>
      <c r="FB28" s="252"/>
      <c r="FC28" s="252"/>
      <c r="FD28" s="252"/>
      <c r="FE28" s="252"/>
      <c r="FF28" s="252"/>
      <c r="FG28" s="252"/>
      <c r="FH28" s="252"/>
      <c r="FI28" s="252"/>
      <c r="FJ28" s="252"/>
      <c r="FK28" s="252"/>
      <c r="FL28" s="252"/>
      <c r="FM28" s="252"/>
      <c r="FN28" s="252"/>
      <c r="FO28" s="252"/>
      <c r="FP28" s="252"/>
      <c r="FQ28" s="252"/>
      <c r="FR28" s="252"/>
      <c r="FS28" s="252"/>
      <c r="FT28" s="252"/>
      <c r="FU28" s="252"/>
      <c r="FV28" s="252"/>
      <c r="FW28" s="252"/>
      <c r="FX28" s="252"/>
      <c r="FY28" s="252"/>
      <c r="FZ28" s="252"/>
      <c r="GA28" s="252"/>
      <c r="GB28" s="252"/>
      <c r="GC28" s="252"/>
      <c r="GD28" s="252"/>
      <c r="GE28" s="252"/>
      <c r="GF28" s="252"/>
      <c r="GG28" s="252"/>
      <c r="GH28" s="252"/>
      <c r="GI28" s="252"/>
      <c r="GJ28" s="252"/>
      <c r="GK28" s="252"/>
      <c r="GL28" s="252"/>
      <c r="GM28" s="252"/>
      <c r="GN28" s="252"/>
      <c r="GO28" s="252"/>
      <c r="GP28" s="252"/>
      <c r="GQ28" s="252"/>
      <c r="GR28" s="252"/>
      <c r="GS28" s="252"/>
      <c r="GT28" s="252"/>
      <c r="GU28" s="252"/>
      <c r="GV28" s="252"/>
      <c r="GW28" s="252"/>
      <c r="GX28" s="252"/>
      <c r="GY28" s="252"/>
      <c r="GZ28" s="252"/>
      <c r="HA28" s="252"/>
      <c r="HB28" s="252"/>
      <c r="HC28" s="252"/>
      <c r="HD28" s="252"/>
      <c r="HE28" s="252"/>
      <c r="HF28" s="252"/>
      <c r="HG28" s="252"/>
      <c r="HH28" s="252"/>
      <c r="HI28" s="252"/>
      <c r="HJ28" s="252"/>
      <c r="HK28" s="252"/>
      <c r="HL28" s="252"/>
      <c r="HM28" s="252"/>
      <c r="HN28" s="252"/>
      <c r="HO28" s="252"/>
      <c r="HP28" s="252"/>
      <c r="HQ28" s="252"/>
      <c r="HR28" s="252"/>
      <c r="HS28" s="252"/>
      <c r="HT28" s="252"/>
      <c r="HU28" s="252"/>
      <c r="HV28" s="252"/>
      <c r="HW28" s="252"/>
      <c r="HX28" s="252"/>
      <c r="HY28" s="252"/>
      <c r="HZ28" s="252"/>
      <c r="IA28" s="252"/>
      <c r="IB28" s="252"/>
      <c r="IC28" s="252"/>
      <c r="ID28" s="252"/>
      <c r="IE28" s="252"/>
      <c r="IF28" s="252"/>
      <c r="IG28" s="252"/>
      <c r="IH28" s="252"/>
      <c r="II28" s="252"/>
      <c r="IJ28" s="252"/>
      <c r="IK28" s="252"/>
      <c r="IL28" s="252"/>
      <c r="IM28" s="252"/>
      <c r="IN28" s="252"/>
      <c r="IO28" s="252"/>
      <c r="IP28" s="252"/>
      <c r="IQ28" s="252"/>
      <c r="IR28" s="252"/>
      <c r="IS28" s="252"/>
      <c r="IT28" s="252"/>
      <c r="IU28" s="252"/>
      <c r="IV28" s="252"/>
      <c r="IW28" s="252"/>
      <c r="IX28" s="252"/>
      <c r="IY28" s="252"/>
      <c r="IZ28" s="252"/>
      <c r="JA28" s="252"/>
      <c r="JB28" s="252"/>
      <c r="JC28" s="252"/>
      <c r="JD28" s="252"/>
      <c r="JE28" s="252"/>
      <c r="JF28" s="252"/>
      <c r="JG28" s="252"/>
      <c r="JH28" s="252"/>
      <c r="JI28" s="252"/>
      <c r="JJ28" s="252"/>
      <c r="JK28" s="252"/>
      <c r="JL28" s="252"/>
      <c r="JM28" s="252"/>
      <c r="JN28" s="252"/>
      <c r="JO28" s="252"/>
      <c r="JP28" s="252"/>
      <c r="JQ28" s="252"/>
      <c r="JR28" s="252"/>
      <c r="JS28" s="252"/>
      <c r="JT28" s="252"/>
      <c r="JU28" s="252"/>
      <c r="JV28" s="252"/>
      <c r="JW28" s="252"/>
      <c r="JX28" s="252"/>
      <c r="JY28" s="252"/>
      <c r="JZ28" s="252"/>
      <c r="KA28" s="252"/>
      <c r="KB28" s="252"/>
      <c r="KC28" s="252"/>
      <c r="KD28" s="252"/>
      <c r="KE28" s="252"/>
      <c r="KF28" s="252"/>
      <c r="KG28" s="252"/>
      <c r="KH28" s="252"/>
      <c r="KI28" s="252"/>
      <c r="KJ28" s="252"/>
      <c r="KK28" s="252"/>
      <c r="KL28" s="252"/>
      <c r="KM28" s="252"/>
      <c r="KN28" s="252"/>
      <c r="KO28" s="252"/>
      <c r="KP28" s="252"/>
      <c r="KQ28" s="252"/>
      <c r="KR28" s="252"/>
      <c r="KS28" s="252"/>
      <c r="KT28" s="252"/>
      <c r="KU28" s="252"/>
      <c r="KV28" s="252"/>
      <c r="KW28" s="252"/>
      <c r="KX28" s="252"/>
      <c r="KY28" s="252"/>
      <c r="KZ28" s="252"/>
      <c r="LA28" s="252"/>
      <c r="LB28" s="252"/>
      <c r="LC28" s="252"/>
      <c r="LD28" s="252"/>
      <c r="LE28" s="252"/>
      <c r="LF28" s="252"/>
      <c r="LG28" s="252"/>
      <c r="LH28" s="252"/>
      <c r="LI28" s="252"/>
      <c r="LJ28" s="252"/>
      <c r="LK28" s="252"/>
      <c r="LL28" s="252"/>
      <c r="LM28" s="252"/>
      <c r="LN28" s="252"/>
      <c r="LO28" s="252"/>
      <c r="LP28" s="252"/>
      <c r="LQ28" s="252"/>
      <c r="LR28" s="252"/>
      <c r="LS28" s="252"/>
      <c r="LT28" s="252"/>
      <c r="LU28" s="252"/>
      <c r="LV28" s="252"/>
      <c r="LW28" s="252"/>
      <c r="LX28" s="252"/>
      <c r="LY28" s="252"/>
      <c r="LZ28" s="252"/>
      <c r="MA28" s="252"/>
      <c r="MB28" s="252"/>
      <c r="MC28" s="252"/>
      <c r="MD28" s="252"/>
      <c r="ME28" s="252"/>
      <c r="MF28" s="252"/>
      <c r="MG28" s="252"/>
      <c r="MH28" s="252"/>
      <c r="MI28" s="252"/>
      <c r="MJ28" s="252"/>
      <c r="MK28" s="252"/>
      <c r="ML28" s="252"/>
      <c r="MM28" s="252"/>
      <c r="MN28" s="252"/>
      <c r="MO28" s="252"/>
      <c r="MP28" s="252"/>
      <c r="MQ28" s="252"/>
      <c r="MR28" s="252"/>
      <c r="MS28" s="252"/>
      <c r="MT28" s="252"/>
      <c r="MU28" s="252"/>
      <c r="MV28" s="252"/>
      <c r="MW28" s="252"/>
      <c r="MX28" s="252"/>
      <c r="MY28" s="252"/>
      <c r="MZ28" s="252"/>
      <c r="NA28" s="252"/>
      <c r="NB28" s="252"/>
      <c r="NC28" s="252"/>
      <c r="ND28" s="252"/>
      <c r="NE28" s="252"/>
      <c r="NF28" s="252"/>
      <c r="NG28" s="252"/>
      <c r="NH28" s="252"/>
      <c r="NI28" s="252"/>
      <c r="NJ28" s="252"/>
      <c r="NK28" s="252"/>
      <c r="NL28" s="252"/>
      <c r="NM28" s="252"/>
      <c r="NN28" s="252"/>
      <c r="NO28" s="252"/>
      <c r="NP28" s="252"/>
      <c r="NQ28" s="252"/>
      <c r="NR28" s="252"/>
      <c r="NS28" s="252"/>
      <c r="NT28" s="252"/>
      <c r="NU28" s="252"/>
      <c r="NV28" s="252"/>
      <c r="NW28" s="252"/>
      <c r="NX28" s="252"/>
      <c r="NY28" s="252"/>
      <c r="NZ28" s="252"/>
      <c r="OA28" s="252"/>
      <c r="OB28" s="252"/>
      <c r="OC28" s="252"/>
      <c r="OD28" s="252"/>
      <c r="OE28" s="252"/>
      <c r="OF28" s="252"/>
      <c r="OG28" s="252"/>
      <c r="OH28" s="252"/>
      <c r="OI28" s="252"/>
      <c r="OJ28" s="252"/>
      <c r="OK28" s="252"/>
      <c r="OL28" s="252"/>
      <c r="OM28" s="252"/>
      <c r="ON28" s="252"/>
      <c r="OO28" s="252"/>
      <c r="OP28" s="252"/>
      <c r="OQ28" s="252"/>
      <c r="OR28" s="252"/>
      <c r="OS28" s="252"/>
      <c r="OT28" s="252"/>
      <c r="OU28" s="252"/>
      <c r="OV28" s="252"/>
      <c r="OW28" s="252"/>
      <c r="OX28" s="252"/>
      <c r="OY28" s="252"/>
      <c r="OZ28" s="252"/>
      <c r="PA28" s="252"/>
      <c r="PB28" s="252"/>
      <c r="PC28" s="252"/>
      <c r="PD28" s="252"/>
      <c r="PE28" s="252"/>
      <c r="PF28" s="252"/>
      <c r="PG28" s="252"/>
      <c r="PH28" s="252"/>
      <c r="PI28" s="252"/>
      <c r="PJ28" s="252"/>
      <c r="PK28" s="252"/>
      <c r="PL28" s="252"/>
      <c r="PM28" s="252"/>
      <c r="PN28" s="252"/>
      <c r="PO28" s="252"/>
      <c r="PP28" s="252"/>
      <c r="PQ28" s="252"/>
      <c r="PR28" s="252"/>
      <c r="PS28" s="252"/>
      <c r="PT28" s="252"/>
      <c r="PU28" s="252"/>
      <c r="PV28" s="252"/>
      <c r="PW28" s="252"/>
      <c r="PX28" s="252"/>
      <c r="PY28" s="252"/>
      <c r="PZ28" s="252"/>
      <c r="QA28" s="252"/>
      <c r="QB28" s="252"/>
      <c r="QC28" s="252"/>
      <c r="QD28" s="252"/>
      <c r="QE28" s="252"/>
      <c r="QF28" s="252"/>
      <c r="QG28" s="252"/>
      <c r="QH28" s="252"/>
      <c r="QI28" s="252"/>
      <c r="QJ28" s="252"/>
      <c r="QK28" s="252"/>
      <c r="QL28" s="252"/>
      <c r="QM28" s="252"/>
      <c r="QN28" s="252"/>
      <c r="QO28" s="252"/>
      <c r="QP28" s="252"/>
      <c r="QQ28" s="252"/>
      <c r="QR28" s="252"/>
      <c r="QS28" s="252"/>
      <c r="QT28" s="252"/>
      <c r="QU28" s="252"/>
      <c r="QV28" s="252"/>
      <c r="QW28" s="252"/>
      <c r="QX28" s="252"/>
      <c r="QY28" s="252"/>
      <c r="QZ28" s="252"/>
      <c r="RA28" s="252"/>
      <c r="RB28" s="252"/>
      <c r="RC28" s="252"/>
      <c r="RD28" s="252"/>
      <c r="RE28" s="252"/>
      <c r="RF28" s="252"/>
      <c r="RG28" s="252"/>
      <c r="RH28" s="252"/>
      <c r="RI28" s="252"/>
      <c r="RJ28" s="252"/>
      <c r="RK28" s="252"/>
      <c r="RL28" s="252"/>
      <c r="RM28" s="252"/>
      <c r="RN28" s="252"/>
      <c r="RO28" s="252"/>
      <c r="RP28" s="252"/>
      <c r="RQ28" s="252"/>
      <c r="RR28" s="252"/>
      <c r="RS28" s="252"/>
      <c r="RT28" s="252"/>
      <c r="RU28" s="252"/>
      <c r="RV28" s="252"/>
      <c r="RW28" s="252"/>
      <c r="RX28" s="252"/>
      <c r="RY28" s="252"/>
      <c r="RZ28" s="252"/>
      <c r="SA28" s="252"/>
      <c r="SB28" s="252"/>
      <c r="SC28" s="252"/>
      <c r="SD28" s="252"/>
      <c r="SE28" s="252"/>
      <c r="SF28" s="252"/>
      <c r="SG28" s="252"/>
      <c r="SH28" s="252"/>
      <c r="SI28" s="252"/>
      <c r="SJ28" s="252"/>
      <c r="SK28" s="252"/>
      <c r="SL28" s="252"/>
      <c r="SM28" s="252"/>
      <c r="SN28" s="252"/>
      <c r="SO28" s="252"/>
      <c r="SP28" s="252"/>
      <c r="SQ28" s="252"/>
      <c r="SR28" s="252"/>
      <c r="SS28" s="252"/>
      <c r="ST28" s="252"/>
      <c r="SU28" s="252"/>
      <c r="SV28" s="252"/>
      <c r="SW28" s="252"/>
      <c r="SX28" s="252"/>
      <c r="SY28" s="252"/>
      <c r="SZ28" s="252"/>
      <c r="TA28" s="252"/>
      <c r="TB28" s="252"/>
      <c r="TC28" s="252"/>
      <c r="TD28" s="252"/>
      <c r="TE28" s="252"/>
      <c r="TF28" s="252"/>
      <c r="TG28" s="252"/>
      <c r="TH28" s="252"/>
      <c r="TI28" s="252"/>
      <c r="TJ28" s="252"/>
      <c r="TK28" s="252"/>
      <c r="TL28" s="252"/>
      <c r="TM28" s="252"/>
      <c r="TN28" s="252"/>
      <c r="TO28" s="252"/>
      <c r="TP28" s="252"/>
      <c r="TQ28" s="252"/>
      <c r="TR28" s="252"/>
      <c r="TS28" s="252"/>
      <c r="TT28" s="252"/>
      <c r="TU28" s="252"/>
      <c r="TV28" s="252"/>
      <c r="TW28" s="252"/>
      <c r="TX28" s="252"/>
      <c r="TY28" s="252"/>
      <c r="TZ28" s="252"/>
      <c r="UA28" s="252"/>
      <c r="UB28" s="252"/>
      <c r="UC28" s="252"/>
      <c r="UD28" s="252"/>
      <c r="UE28" s="252"/>
      <c r="UF28" s="252"/>
      <c r="UG28" s="252"/>
      <c r="UH28" s="252"/>
      <c r="UI28" s="252"/>
      <c r="UJ28" s="252"/>
      <c r="UK28" s="252"/>
      <c r="UL28" s="252"/>
      <c r="UM28" s="252"/>
      <c r="UN28" s="252"/>
      <c r="UO28" s="252"/>
      <c r="UP28" s="252"/>
      <c r="UQ28" s="252"/>
      <c r="UR28" s="252"/>
      <c r="US28" s="252"/>
      <c r="UT28" s="252"/>
      <c r="UU28" s="252"/>
      <c r="UV28" s="252"/>
      <c r="UW28" s="252"/>
      <c r="UX28" s="252"/>
      <c r="UY28" s="252"/>
      <c r="UZ28" s="252"/>
      <c r="VA28" s="252"/>
      <c r="VB28" s="252"/>
      <c r="VC28" s="252"/>
      <c r="VD28" s="252"/>
      <c r="VE28" s="252"/>
      <c r="VF28" s="252"/>
      <c r="VG28" s="252"/>
      <c r="VH28" s="252"/>
      <c r="VI28" s="252"/>
      <c r="VJ28" s="252"/>
      <c r="VK28" s="252"/>
      <c r="VL28" s="252"/>
      <c r="VM28" s="252"/>
      <c r="VN28" s="252"/>
      <c r="VO28" s="252"/>
      <c r="VP28" s="252"/>
      <c r="VQ28" s="252"/>
      <c r="VR28" s="252"/>
      <c r="VS28" s="252"/>
      <c r="VT28" s="252"/>
      <c r="VU28" s="252"/>
      <c r="VV28" s="252"/>
      <c r="VW28" s="252"/>
      <c r="VX28" s="252"/>
      <c r="VY28" s="252"/>
      <c r="VZ28" s="252"/>
      <c r="WA28" s="252"/>
      <c r="WB28" s="252"/>
      <c r="WC28" s="252"/>
      <c r="WD28" s="252"/>
      <c r="WE28" s="252"/>
      <c r="WF28" s="252"/>
      <c r="WG28" s="252"/>
      <c r="WH28" s="252"/>
      <c r="WI28" s="252"/>
      <c r="WJ28" s="252"/>
      <c r="WK28" s="252"/>
      <c r="WL28" s="252"/>
      <c r="WM28" s="252"/>
      <c r="WN28" s="252"/>
      <c r="WO28" s="252"/>
      <c r="WP28" s="252"/>
      <c r="WQ28" s="252"/>
      <c r="WR28" s="252"/>
      <c r="WS28" s="252"/>
      <c r="WT28" s="252"/>
      <c r="WU28" s="252"/>
      <c r="WV28" s="252"/>
      <c r="WW28" s="252"/>
      <c r="WX28" s="252"/>
      <c r="WY28" s="252"/>
      <c r="WZ28" s="252"/>
      <c r="XA28" s="252"/>
      <c r="XB28" s="252"/>
      <c r="XC28" s="252"/>
      <c r="XD28" s="252"/>
      <c r="XE28" s="252"/>
      <c r="XF28" s="252"/>
      <c r="XG28" s="252"/>
      <c r="XH28" s="252"/>
      <c r="XI28" s="252"/>
      <c r="XJ28" s="252"/>
      <c r="XK28" s="252"/>
      <c r="XL28" s="252"/>
      <c r="XM28" s="252"/>
      <c r="XN28" s="252"/>
      <c r="XO28" s="252"/>
      <c r="XP28" s="252"/>
      <c r="XQ28" s="252"/>
      <c r="XR28" s="252"/>
      <c r="XS28" s="252"/>
      <c r="XT28" s="252"/>
      <c r="XU28" s="252"/>
      <c r="XV28" s="252"/>
      <c r="XW28" s="252"/>
      <c r="XX28" s="252"/>
      <c r="XY28" s="252"/>
      <c r="XZ28" s="252"/>
      <c r="YA28" s="252"/>
      <c r="YB28" s="252"/>
      <c r="YC28" s="252"/>
      <c r="YD28" s="252"/>
      <c r="YE28" s="252"/>
      <c r="YF28" s="252"/>
      <c r="YG28" s="252"/>
      <c r="YH28" s="252"/>
      <c r="YI28" s="252"/>
      <c r="YJ28" s="252"/>
      <c r="YK28" s="252"/>
      <c r="YL28" s="252"/>
      <c r="YM28" s="252"/>
      <c r="YN28" s="252"/>
      <c r="YO28" s="252"/>
      <c r="YP28" s="252"/>
      <c r="YQ28" s="252"/>
      <c r="YR28" s="252"/>
      <c r="YS28" s="252"/>
      <c r="YT28" s="252"/>
      <c r="YU28" s="252"/>
      <c r="YV28" s="252"/>
      <c r="YW28" s="252"/>
      <c r="YX28" s="252"/>
      <c r="YY28" s="252"/>
      <c r="YZ28" s="252"/>
      <c r="ZA28" s="252"/>
      <c r="ZB28" s="252"/>
      <c r="ZC28" s="252"/>
      <c r="ZD28" s="252"/>
      <c r="ZE28" s="252"/>
      <c r="ZF28" s="252"/>
      <c r="ZG28" s="252"/>
      <c r="ZH28" s="252"/>
      <c r="ZI28" s="252"/>
      <c r="ZJ28" s="252"/>
      <c r="ZK28" s="252"/>
      <c r="ZL28" s="252"/>
      <c r="ZM28" s="252"/>
      <c r="ZN28" s="252"/>
      <c r="ZO28" s="252"/>
      <c r="ZP28" s="252"/>
      <c r="ZQ28" s="252"/>
      <c r="ZR28" s="252"/>
      <c r="ZS28" s="252"/>
      <c r="ZT28" s="252"/>
      <c r="ZU28" s="252"/>
      <c r="ZV28" s="252"/>
      <c r="ZW28" s="252"/>
      <c r="ZX28" s="252"/>
      <c r="ZY28" s="252"/>
      <c r="ZZ28" s="252"/>
      <c r="AAA28" s="252"/>
      <c r="AAB28" s="252"/>
      <c r="AAC28" s="252"/>
      <c r="AAD28" s="252"/>
      <c r="AAE28" s="252"/>
      <c r="AAF28" s="252"/>
      <c r="AAG28" s="252"/>
      <c r="AAH28" s="252"/>
      <c r="AAI28" s="252"/>
      <c r="AAJ28" s="252"/>
      <c r="AAK28" s="252"/>
      <c r="AAL28" s="252"/>
      <c r="AAM28" s="252"/>
      <c r="AAN28" s="252"/>
      <c r="AAO28" s="252"/>
      <c r="AAP28" s="252"/>
      <c r="AAQ28" s="252"/>
      <c r="AAR28" s="252"/>
      <c r="AAS28" s="252"/>
      <c r="AAT28" s="252"/>
      <c r="AAU28" s="252"/>
      <c r="AAV28" s="252"/>
      <c r="AAW28" s="252"/>
      <c r="AAX28" s="252"/>
      <c r="AAY28" s="252"/>
      <c r="AAZ28" s="252"/>
      <c r="ABA28" s="252"/>
      <c r="ABB28" s="252"/>
      <c r="ABC28" s="252"/>
      <c r="ABD28" s="252"/>
      <c r="ABE28" s="252"/>
      <c r="ABF28" s="252"/>
      <c r="ABG28" s="252"/>
      <c r="ABH28" s="252"/>
      <c r="ABI28" s="252"/>
      <c r="ABJ28" s="252"/>
      <c r="ABK28" s="252"/>
      <c r="ABL28" s="252"/>
      <c r="ABM28" s="252"/>
      <c r="ABN28" s="252"/>
      <c r="ABO28" s="252"/>
      <c r="ABP28" s="252"/>
      <c r="ABQ28" s="252"/>
      <c r="ABR28" s="252"/>
      <c r="ABS28" s="252"/>
      <c r="ABT28" s="252"/>
      <c r="ABU28" s="252"/>
      <c r="ABV28" s="252"/>
      <c r="ABW28" s="252"/>
      <c r="ABX28" s="252"/>
      <c r="ABY28" s="252"/>
      <c r="ABZ28" s="252"/>
      <c r="ACA28" s="252"/>
      <c r="ACB28" s="252"/>
      <c r="ACC28" s="252"/>
      <c r="ACD28" s="252"/>
      <c r="ACE28" s="252"/>
      <c r="ACF28" s="252"/>
      <c r="ACG28" s="252"/>
      <c r="ACH28" s="252"/>
      <c r="ACI28" s="252"/>
      <c r="ACJ28" s="252"/>
      <c r="ACK28" s="252"/>
      <c r="ACL28" s="252"/>
      <c r="ACM28" s="252"/>
      <c r="ACN28" s="252"/>
      <c r="ACO28" s="252"/>
      <c r="ACP28" s="252"/>
      <c r="ACQ28" s="252"/>
      <c r="ACR28" s="252"/>
      <c r="ACS28" s="252"/>
      <c r="ACT28" s="252"/>
      <c r="ACU28" s="252"/>
      <c r="ACV28" s="252"/>
      <c r="ACW28" s="252"/>
      <c r="ACX28" s="252"/>
      <c r="ACY28" s="252"/>
      <c r="ACZ28" s="252"/>
      <c r="ADA28" s="252"/>
      <c r="ADB28" s="252"/>
      <c r="ADC28" s="252"/>
      <c r="ADD28" s="252"/>
      <c r="ADE28" s="252"/>
      <c r="ADF28" s="252"/>
      <c r="ADG28" s="252"/>
      <c r="ADH28" s="252"/>
      <c r="ADI28" s="252"/>
      <c r="ADJ28" s="252"/>
      <c r="ADK28" s="252"/>
      <c r="ADL28" s="252"/>
      <c r="ADM28" s="252"/>
      <c r="ADN28" s="252"/>
      <c r="ADO28" s="252"/>
      <c r="ADP28" s="252"/>
      <c r="ADQ28" s="252"/>
      <c r="ADR28" s="252"/>
      <c r="ADS28" s="252"/>
      <c r="ADT28" s="252"/>
      <c r="ADU28" s="252"/>
      <c r="ADV28" s="252"/>
      <c r="ADW28" s="252"/>
      <c r="ADX28" s="252"/>
      <c r="ADY28" s="252"/>
      <c r="ADZ28" s="252"/>
      <c r="AEA28" s="252"/>
      <c r="AEB28" s="252"/>
      <c r="AEC28" s="252"/>
      <c r="AED28" s="252"/>
      <c r="AEE28" s="252"/>
      <c r="AEF28" s="252"/>
      <c r="AEG28" s="252"/>
      <c r="AEH28" s="252"/>
      <c r="AEI28" s="252"/>
      <c r="AEJ28" s="252"/>
      <c r="AEK28" s="252"/>
      <c r="AEL28" s="252"/>
      <c r="AEM28" s="252"/>
      <c r="AEN28" s="252"/>
      <c r="AEO28" s="252"/>
      <c r="AEP28" s="252"/>
      <c r="AEQ28" s="252"/>
      <c r="AER28" s="252"/>
      <c r="AES28" s="252"/>
      <c r="AET28" s="252"/>
      <c r="AEU28" s="252"/>
      <c r="AEV28" s="252"/>
      <c r="AEW28" s="252"/>
      <c r="AEX28" s="252"/>
      <c r="AEY28" s="252"/>
      <c r="AEZ28" s="252"/>
      <c r="AFA28" s="252"/>
      <c r="AFB28" s="252"/>
      <c r="AFC28" s="252"/>
      <c r="AFD28" s="252"/>
      <c r="AFE28" s="252"/>
      <c r="AFF28" s="252"/>
      <c r="AFG28" s="252"/>
      <c r="AFH28" s="252"/>
      <c r="AFI28" s="252"/>
      <c r="AFJ28" s="252"/>
      <c r="AFK28" s="252"/>
      <c r="AFL28" s="252"/>
      <c r="AFM28" s="252"/>
      <c r="AFN28" s="252"/>
      <c r="AFO28" s="252"/>
      <c r="AFP28" s="252"/>
      <c r="AFQ28" s="252"/>
      <c r="AFR28" s="252"/>
      <c r="AFS28" s="252"/>
      <c r="AFT28" s="252"/>
      <c r="AFU28" s="252"/>
      <c r="AFV28" s="252"/>
      <c r="AFW28" s="252"/>
      <c r="AFX28" s="252"/>
      <c r="AFY28" s="252"/>
      <c r="AFZ28" s="252"/>
      <c r="AGA28" s="252"/>
      <c r="AGB28" s="252"/>
      <c r="AGC28" s="252"/>
      <c r="AGD28" s="252"/>
      <c r="AGE28" s="252"/>
      <c r="AGF28" s="252"/>
      <c r="AGG28" s="252"/>
      <c r="AGH28" s="252"/>
      <c r="AGI28" s="252"/>
      <c r="AGJ28" s="252"/>
      <c r="AGK28" s="252"/>
      <c r="AGL28" s="252"/>
      <c r="AGM28" s="252"/>
      <c r="AGN28" s="252"/>
      <c r="AGO28" s="252"/>
      <c r="AGP28" s="252"/>
      <c r="AGQ28" s="252"/>
      <c r="AGR28" s="252"/>
      <c r="AGS28" s="252"/>
      <c r="AGT28" s="252"/>
      <c r="AGU28" s="252"/>
      <c r="AGV28" s="252"/>
      <c r="AGW28" s="252"/>
      <c r="AGX28" s="252"/>
      <c r="AGY28" s="252"/>
      <c r="AGZ28" s="252"/>
      <c r="AHA28" s="252"/>
      <c r="AHB28" s="252"/>
      <c r="AHC28" s="252"/>
      <c r="AHD28" s="252"/>
      <c r="AHE28" s="252"/>
      <c r="AHF28" s="252"/>
      <c r="AHG28" s="252"/>
      <c r="AHH28" s="252"/>
      <c r="AHI28" s="252"/>
      <c r="AHJ28" s="252"/>
      <c r="AHK28" s="252"/>
      <c r="AHL28" s="252"/>
      <c r="AHM28" s="252"/>
      <c r="AHN28" s="252"/>
      <c r="AHO28" s="252"/>
      <c r="AHP28" s="252"/>
      <c r="AHQ28" s="252"/>
      <c r="AHR28" s="252"/>
      <c r="AHS28" s="252"/>
      <c r="AHT28" s="252"/>
      <c r="AHU28" s="252"/>
      <c r="AHV28" s="252"/>
      <c r="AHW28" s="252"/>
      <c r="AHX28" s="252"/>
      <c r="AHY28" s="252"/>
      <c r="AHZ28" s="252"/>
      <c r="AIA28" s="252"/>
      <c r="AIB28" s="252"/>
      <c r="AIC28" s="252"/>
      <c r="AID28" s="252"/>
      <c r="AIE28" s="252"/>
      <c r="AIF28" s="252"/>
      <c r="AIG28" s="252"/>
      <c r="AIH28" s="252"/>
      <c r="AII28" s="252"/>
      <c r="AIJ28" s="252"/>
      <c r="AIK28" s="252"/>
      <c r="AIL28" s="252"/>
      <c r="AIM28" s="252"/>
      <c r="AIN28" s="252"/>
      <c r="AIO28" s="252"/>
      <c r="AIP28" s="252"/>
      <c r="AIQ28" s="252"/>
      <c r="AIR28" s="252"/>
      <c r="AIS28" s="252"/>
      <c r="AIT28" s="252"/>
      <c r="AIU28" s="252"/>
      <c r="AIV28" s="252"/>
      <c r="AIW28" s="252"/>
      <c r="AIX28" s="252"/>
      <c r="AIY28" s="252"/>
      <c r="AIZ28" s="252"/>
      <c r="AJA28" s="252"/>
      <c r="AJB28" s="252"/>
      <c r="AJC28" s="252"/>
      <c r="AJD28" s="252"/>
      <c r="AJE28" s="252"/>
      <c r="AJF28" s="252"/>
      <c r="AJG28" s="252"/>
      <c r="AJH28" s="252"/>
      <c r="AJI28" s="252"/>
      <c r="AJJ28" s="252"/>
      <c r="AJK28" s="252"/>
      <c r="AJL28" s="252"/>
      <c r="AJM28" s="252"/>
      <c r="AJN28" s="252"/>
      <c r="AJO28" s="252"/>
      <c r="AJP28" s="252"/>
      <c r="AJQ28" s="252"/>
      <c r="AJR28" s="252"/>
      <c r="AJS28" s="252"/>
      <c r="AJT28" s="252"/>
      <c r="AJU28" s="252"/>
      <c r="AJV28" s="252"/>
      <c r="AJW28" s="252"/>
      <c r="AJX28" s="252"/>
      <c r="AJY28" s="252"/>
      <c r="AJZ28" s="252"/>
      <c r="AKA28" s="252"/>
      <c r="AKB28" s="252"/>
      <c r="AKC28" s="252"/>
      <c r="AKD28" s="252"/>
      <c r="AKE28" s="252"/>
      <c r="AKF28" s="252"/>
      <c r="AKG28" s="252"/>
      <c r="AKH28" s="252"/>
      <c r="AKI28" s="252"/>
      <c r="AKJ28" s="252"/>
      <c r="AKK28" s="252"/>
      <c r="AKL28" s="252"/>
      <c r="AKM28" s="252"/>
      <c r="AKN28" s="252"/>
      <c r="AKO28" s="252"/>
      <c r="AKP28" s="252"/>
      <c r="AKQ28" s="252"/>
      <c r="AKR28" s="252"/>
      <c r="AKS28" s="252"/>
      <c r="AKT28" s="252"/>
      <c r="AKU28" s="252"/>
      <c r="AKV28" s="252"/>
      <c r="AKW28" s="252"/>
      <c r="AKX28" s="252"/>
      <c r="AKY28" s="252"/>
      <c r="AKZ28" s="252"/>
      <c r="ALA28" s="252"/>
      <c r="ALB28" s="252"/>
      <c r="ALC28" s="252"/>
      <c r="ALD28" s="252"/>
      <c r="ALE28" s="252"/>
      <c r="ALF28" s="252"/>
      <c r="ALG28" s="252"/>
      <c r="ALH28" s="252"/>
      <c r="ALI28" s="252"/>
      <c r="ALJ28" s="252"/>
      <c r="ALK28" s="252"/>
      <c r="ALL28" s="252"/>
      <c r="ALM28" s="252"/>
      <c r="ALN28" s="252"/>
      <c r="ALO28" s="252"/>
      <c r="ALP28" s="252"/>
      <c r="ALQ28" s="252"/>
      <c r="ALR28" s="252"/>
      <c r="ALS28" s="252"/>
    </row>
    <row r="29" spans="1:1007" s="3" customFormat="1" x14ac:dyDescent="0.2">
      <c r="A29" s="749" t="s">
        <v>287</v>
      </c>
      <c r="B29" s="380">
        <v>1.9</v>
      </c>
      <c r="C29" s="380">
        <v>1.9</v>
      </c>
      <c r="D29" s="380">
        <v>1.9</v>
      </c>
      <c r="E29" s="740">
        <v>1.9</v>
      </c>
      <c r="F29" s="730"/>
      <c r="G29" s="730"/>
      <c r="H29" s="730"/>
      <c r="I29" s="730"/>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2"/>
      <c r="AY29" s="252"/>
      <c r="AZ29" s="252"/>
      <c r="BA29" s="252"/>
      <c r="BB29" s="252"/>
      <c r="BC29" s="252"/>
      <c r="BD29" s="252"/>
      <c r="BE29" s="252"/>
      <c r="BF29" s="252"/>
      <c r="BG29" s="252"/>
      <c r="BH29" s="252"/>
      <c r="BI29" s="252"/>
      <c r="BJ29" s="252"/>
      <c r="BK29" s="252"/>
      <c r="BL29" s="252"/>
      <c r="BM29" s="252"/>
      <c r="BN29" s="252"/>
      <c r="BO29" s="252"/>
      <c r="BP29" s="252"/>
      <c r="BQ29" s="252"/>
      <c r="BR29" s="252"/>
      <c r="BS29" s="252"/>
      <c r="BT29" s="252"/>
      <c r="BU29" s="252"/>
      <c r="BV29" s="252"/>
      <c r="BW29" s="252"/>
      <c r="BX29" s="252"/>
      <c r="BY29" s="252"/>
      <c r="BZ29" s="252"/>
      <c r="CA29" s="252"/>
      <c r="CB29" s="252"/>
      <c r="CC29" s="252"/>
      <c r="CD29" s="252"/>
      <c r="CE29" s="252"/>
      <c r="CF29" s="252"/>
      <c r="CG29" s="252"/>
      <c r="CH29" s="252"/>
      <c r="CI29" s="252"/>
      <c r="CJ29" s="252"/>
      <c r="CK29" s="252"/>
      <c r="CL29" s="252"/>
      <c r="CM29" s="252"/>
      <c r="CN29" s="252"/>
      <c r="CO29" s="252"/>
      <c r="CP29" s="252"/>
      <c r="CQ29" s="252"/>
      <c r="CR29" s="252"/>
      <c r="CS29" s="252"/>
      <c r="CT29" s="252"/>
      <c r="CU29" s="252"/>
      <c r="CV29" s="252"/>
      <c r="CW29" s="252"/>
      <c r="CX29" s="252"/>
      <c r="CY29" s="252"/>
      <c r="CZ29" s="252"/>
      <c r="DA29" s="252"/>
      <c r="DB29" s="252"/>
      <c r="DC29" s="252"/>
      <c r="DD29" s="252"/>
      <c r="DE29" s="252"/>
      <c r="DF29" s="252"/>
      <c r="DG29" s="252"/>
      <c r="DH29" s="252"/>
      <c r="DI29" s="252"/>
      <c r="DJ29" s="252"/>
      <c r="DK29" s="252"/>
      <c r="DL29" s="252"/>
      <c r="DM29" s="252"/>
      <c r="DN29" s="252"/>
      <c r="DO29" s="252"/>
      <c r="DP29" s="252"/>
      <c r="DQ29" s="252"/>
      <c r="DR29" s="252"/>
      <c r="DS29" s="252"/>
      <c r="DT29" s="252"/>
      <c r="DU29" s="252"/>
      <c r="DV29" s="252"/>
      <c r="DW29" s="252"/>
      <c r="DX29" s="252"/>
      <c r="DY29" s="252"/>
      <c r="DZ29" s="252"/>
      <c r="EA29" s="252"/>
      <c r="EB29" s="252"/>
      <c r="EC29" s="252"/>
      <c r="ED29" s="252"/>
      <c r="EE29" s="252"/>
      <c r="EF29" s="252"/>
      <c r="EG29" s="252"/>
      <c r="EH29" s="252"/>
      <c r="EI29" s="252"/>
      <c r="EJ29" s="252"/>
      <c r="EK29" s="252"/>
      <c r="EL29" s="252"/>
      <c r="EM29" s="252"/>
      <c r="EN29" s="252"/>
      <c r="EO29" s="252"/>
      <c r="EP29" s="252"/>
      <c r="EQ29" s="252"/>
      <c r="ER29" s="252"/>
      <c r="ES29" s="252"/>
      <c r="ET29" s="252"/>
      <c r="EU29" s="252"/>
      <c r="EV29" s="252"/>
      <c r="EW29" s="252"/>
      <c r="EX29" s="252"/>
      <c r="EY29" s="252"/>
      <c r="EZ29" s="252"/>
      <c r="FA29" s="252"/>
      <c r="FB29" s="252"/>
      <c r="FC29" s="252"/>
      <c r="FD29" s="252"/>
      <c r="FE29" s="252"/>
      <c r="FF29" s="252"/>
      <c r="FG29" s="252"/>
      <c r="FH29" s="252"/>
      <c r="FI29" s="252"/>
      <c r="FJ29" s="252"/>
      <c r="FK29" s="252"/>
      <c r="FL29" s="252"/>
      <c r="FM29" s="252"/>
      <c r="FN29" s="252"/>
      <c r="FO29" s="252"/>
      <c r="FP29" s="252"/>
      <c r="FQ29" s="252"/>
      <c r="FR29" s="252"/>
      <c r="FS29" s="252"/>
      <c r="FT29" s="252"/>
      <c r="FU29" s="252"/>
      <c r="FV29" s="252"/>
      <c r="FW29" s="252"/>
      <c r="FX29" s="252"/>
      <c r="FY29" s="252"/>
      <c r="FZ29" s="252"/>
      <c r="GA29" s="252"/>
      <c r="GB29" s="252"/>
      <c r="GC29" s="252"/>
      <c r="GD29" s="252"/>
      <c r="GE29" s="252"/>
      <c r="GF29" s="252"/>
      <c r="GG29" s="252"/>
      <c r="GH29" s="252"/>
      <c r="GI29" s="252"/>
      <c r="GJ29" s="252"/>
      <c r="GK29" s="252"/>
      <c r="GL29" s="252"/>
      <c r="GM29" s="252"/>
      <c r="GN29" s="252"/>
      <c r="GO29" s="252"/>
      <c r="GP29" s="252"/>
      <c r="GQ29" s="252"/>
      <c r="GR29" s="252"/>
      <c r="GS29" s="252"/>
      <c r="GT29" s="252"/>
      <c r="GU29" s="252"/>
      <c r="GV29" s="252"/>
      <c r="GW29" s="252"/>
      <c r="GX29" s="252"/>
      <c r="GY29" s="252"/>
      <c r="GZ29" s="252"/>
      <c r="HA29" s="252"/>
      <c r="HB29" s="252"/>
      <c r="HC29" s="252"/>
      <c r="HD29" s="252"/>
      <c r="HE29" s="252"/>
      <c r="HF29" s="252"/>
      <c r="HG29" s="252"/>
      <c r="HH29" s="252"/>
      <c r="HI29" s="252"/>
      <c r="HJ29" s="252"/>
      <c r="HK29" s="252"/>
      <c r="HL29" s="252"/>
      <c r="HM29" s="252"/>
      <c r="HN29" s="252"/>
      <c r="HO29" s="252"/>
      <c r="HP29" s="252"/>
      <c r="HQ29" s="252"/>
      <c r="HR29" s="252"/>
      <c r="HS29" s="252"/>
      <c r="HT29" s="252"/>
      <c r="HU29" s="252"/>
      <c r="HV29" s="252"/>
      <c r="HW29" s="252"/>
      <c r="HX29" s="252"/>
      <c r="HY29" s="252"/>
      <c r="HZ29" s="252"/>
      <c r="IA29" s="252"/>
      <c r="IB29" s="252"/>
      <c r="IC29" s="252"/>
      <c r="ID29" s="252"/>
      <c r="IE29" s="252"/>
      <c r="IF29" s="252"/>
      <c r="IG29" s="252"/>
      <c r="IH29" s="252"/>
      <c r="II29" s="252"/>
      <c r="IJ29" s="252"/>
      <c r="IK29" s="252"/>
      <c r="IL29" s="252"/>
      <c r="IM29" s="252"/>
      <c r="IN29" s="252"/>
      <c r="IO29" s="252"/>
      <c r="IP29" s="252"/>
      <c r="IQ29" s="252"/>
      <c r="IR29" s="252"/>
      <c r="IS29" s="252"/>
      <c r="IT29" s="252"/>
      <c r="IU29" s="252"/>
      <c r="IV29" s="252"/>
      <c r="IW29" s="252"/>
      <c r="IX29" s="252"/>
      <c r="IY29" s="252"/>
      <c r="IZ29" s="252"/>
      <c r="JA29" s="252"/>
      <c r="JB29" s="252"/>
      <c r="JC29" s="252"/>
      <c r="JD29" s="252"/>
      <c r="JE29" s="252"/>
      <c r="JF29" s="252"/>
      <c r="JG29" s="252"/>
      <c r="JH29" s="252"/>
      <c r="JI29" s="252"/>
      <c r="JJ29" s="252"/>
      <c r="JK29" s="252"/>
      <c r="JL29" s="252"/>
      <c r="JM29" s="252"/>
      <c r="JN29" s="252"/>
      <c r="JO29" s="252"/>
      <c r="JP29" s="252"/>
      <c r="JQ29" s="252"/>
      <c r="JR29" s="252"/>
      <c r="JS29" s="252"/>
      <c r="JT29" s="252"/>
      <c r="JU29" s="252"/>
      <c r="JV29" s="252"/>
      <c r="JW29" s="252"/>
      <c r="JX29" s="252"/>
      <c r="JY29" s="252"/>
      <c r="JZ29" s="252"/>
      <c r="KA29" s="252"/>
      <c r="KB29" s="252"/>
      <c r="KC29" s="252"/>
      <c r="KD29" s="252"/>
      <c r="KE29" s="252"/>
      <c r="KF29" s="252"/>
      <c r="KG29" s="252"/>
      <c r="KH29" s="252"/>
      <c r="KI29" s="252"/>
      <c r="KJ29" s="252"/>
      <c r="KK29" s="252"/>
      <c r="KL29" s="252"/>
      <c r="KM29" s="252"/>
      <c r="KN29" s="252"/>
      <c r="KO29" s="252"/>
      <c r="KP29" s="252"/>
      <c r="KQ29" s="252"/>
      <c r="KR29" s="252"/>
      <c r="KS29" s="252"/>
      <c r="KT29" s="252"/>
      <c r="KU29" s="252"/>
      <c r="KV29" s="252"/>
      <c r="KW29" s="252"/>
      <c r="KX29" s="252"/>
      <c r="KY29" s="252"/>
      <c r="KZ29" s="252"/>
      <c r="LA29" s="252"/>
      <c r="LB29" s="252"/>
      <c r="LC29" s="252"/>
      <c r="LD29" s="252"/>
      <c r="LE29" s="252"/>
      <c r="LF29" s="252"/>
      <c r="LG29" s="252"/>
      <c r="LH29" s="252"/>
      <c r="LI29" s="252"/>
      <c r="LJ29" s="252"/>
      <c r="LK29" s="252"/>
      <c r="LL29" s="252"/>
      <c r="LM29" s="252"/>
      <c r="LN29" s="252"/>
      <c r="LO29" s="252"/>
      <c r="LP29" s="252"/>
      <c r="LQ29" s="252"/>
      <c r="LR29" s="252"/>
      <c r="LS29" s="252"/>
      <c r="LT29" s="252"/>
      <c r="LU29" s="252"/>
      <c r="LV29" s="252"/>
      <c r="LW29" s="252"/>
      <c r="LX29" s="252"/>
      <c r="LY29" s="252"/>
      <c r="LZ29" s="252"/>
      <c r="MA29" s="252"/>
      <c r="MB29" s="252"/>
      <c r="MC29" s="252"/>
      <c r="MD29" s="252"/>
      <c r="ME29" s="252"/>
      <c r="MF29" s="252"/>
      <c r="MG29" s="252"/>
      <c r="MH29" s="252"/>
      <c r="MI29" s="252"/>
      <c r="MJ29" s="252"/>
      <c r="MK29" s="252"/>
      <c r="ML29" s="252"/>
      <c r="MM29" s="252"/>
      <c r="MN29" s="252"/>
      <c r="MO29" s="252"/>
      <c r="MP29" s="252"/>
      <c r="MQ29" s="252"/>
      <c r="MR29" s="252"/>
      <c r="MS29" s="252"/>
      <c r="MT29" s="252"/>
      <c r="MU29" s="252"/>
      <c r="MV29" s="252"/>
      <c r="MW29" s="252"/>
      <c r="MX29" s="252"/>
      <c r="MY29" s="252"/>
      <c r="MZ29" s="252"/>
      <c r="NA29" s="252"/>
      <c r="NB29" s="252"/>
      <c r="NC29" s="252"/>
      <c r="ND29" s="252"/>
      <c r="NE29" s="252"/>
      <c r="NF29" s="252"/>
      <c r="NG29" s="252"/>
      <c r="NH29" s="252"/>
      <c r="NI29" s="252"/>
      <c r="NJ29" s="252"/>
      <c r="NK29" s="252"/>
      <c r="NL29" s="252"/>
      <c r="NM29" s="252"/>
      <c r="NN29" s="252"/>
      <c r="NO29" s="252"/>
      <c r="NP29" s="252"/>
      <c r="NQ29" s="252"/>
      <c r="NR29" s="252"/>
      <c r="NS29" s="252"/>
      <c r="NT29" s="252"/>
      <c r="NU29" s="252"/>
      <c r="NV29" s="252"/>
      <c r="NW29" s="252"/>
      <c r="NX29" s="252"/>
      <c r="NY29" s="252"/>
      <c r="NZ29" s="252"/>
      <c r="OA29" s="252"/>
      <c r="OB29" s="252"/>
      <c r="OC29" s="252"/>
      <c r="OD29" s="252"/>
      <c r="OE29" s="252"/>
      <c r="OF29" s="252"/>
      <c r="OG29" s="252"/>
      <c r="OH29" s="252"/>
      <c r="OI29" s="252"/>
      <c r="OJ29" s="252"/>
      <c r="OK29" s="252"/>
      <c r="OL29" s="252"/>
      <c r="OM29" s="252"/>
      <c r="ON29" s="252"/>
      <c r="OO29" s="252"/>
      <c r="OP29" s="252"/>
      <c r="OQ29" s="252"/>
      <c r="OR29" s="252"/>
      <c r="OS29" s="252"/>
      <c r="OT29" s="252"/>
      <c r="OU29" s="252"/>
      <c r="OV29" s="252"/>
      <c r="OW29" s="252"/>
      <c r="OX29" s="252"/>
      <c r="OY29" s="252"/>
      <c r="OZ29" s="252"/>
      <c r="PA29" s="252"/>
      <c r="PB29" s="252"/>
      <c r="PC29" s="252"/>
      <c r="PD29" s="252"/>
      <c r="PE29" s="252"/>
      <c r="PF29" s="252"/>
      <c r="PG29" s="252"/>
      <c r="PH29" s="252"/>
      <c r="PI29" s="252"/>
      <c r="PJ29" s="252"/>
      <c r="PK29" s="252"/>
      <c r="PL29" s="252"/>
      <c r="PM29" s="252"/>
      <c r="PN29" s="252"/>
      <c r="PO29" s="252"/>
      <c r="PP29" s="252"/>
      <c r="PQ29" s="252"/>
      <c r="PR29" s="252"/>
      <c r="PS29" s="252"/>
      <c r="PT29" s="252"/>
      <c r="PU29" s="252"/>
      <c r="PV29" s="252"/>
      <c r="PW29" s="252"/>
      <c r="PX29" s="252"/>
      <c r="PY29" s="252"/>
      <c r="PZ29" s="252"/>
      <c r="QA29" s="252"/>
      <c r="QB29" s="252"/>
      <c r="QC29" s="252"/>
      <c r="QD29" s="252"/>
      <c r="QE29" s="252"/>
      <c r="QF29" s="252"/>
      <c r="QG29" s="252"/>
      <c r="QH29" s="252"/>
      <c r="QI29" s="252"/>
      <c r="QJ29" s="252"/>
      <c r="QK29" s="252"/>
      <c r="QL29" s="252"/>
      <c r="QM29" s="252"/>
      <c r="QN29" s="252"/>
      <c r="QO29" s="252"/>
      <c r="QP29" s="252"/>
      <c r="QQ29" s="252"/>
      <c r="QR29" s="252"/>
      <c r="QS29" s="252"/>
      <c r="QT29" s="252"/>
      <c r="QU29" s="252"/>
      <c r="QV29" s="252"/>
      <c r="QW29" s="252"/>
      <c r="QX29" s="252"/>
      <c r="QY29" s="252"/>
      <c r="QZ29" s="252"/>
      <c r="RA29" s="252"/>
      <c r="RB29" s="252"/>
      <c r="RC29" s="252"/>
      <c r="RD29" s="252"/>
      <c r="RE29" s="252"/>
      <c r="RF29" s="252"/>
      <c r="RG29" s="252"/>
      <c r="RH29" s="252"/>
      <c r="RI29" s="252"/>
      <c r="RJ29" s="252"/>
      <c r="RK29" s="252"/>
      <c r="RL29" s="252"/>
      <c r="RM29" s="252"/>
      <c r="RN29" s="252"/>
      <c r="RO29" s="252"/>
      <c r="RP29" s="252"/>
      <c r="RQ29" s="252"/>
      <c r="RR29" s="252"/>
      <c r="RS29" s="252"/>
      <c r="RT29" s="252"/>
      <c r="RU29" s="252"/>
      <c r="RV29" s="252"/>
      <c r="RW29" s="252"/>
      <c r="RX29" s="252"/>
      <c r="RY29" s="252"/>
      <c r="RZ29" s="252"/>
      <c r="SA29" s="252"/>
      <c r="SB29" s="252"/>
      <c r="SC29" s="252"/>
      <c r="SD29" s="252"/>
      <c r="SE29" s="252"/>
      <c r="SF29" s="252"/>
      <c r="SG29" s="252"/>
      <c r="SH29" s="252"/>
      <c r="SI29" s="252"/>
      <c r="SJ29" s="252"/>
      <c r="SK29" s="252"/>
      <c r="SL29" s="252"/>
      <c r="SM29" s="252"/>
      <c r="SN29" s="252"/>
      <c r="SO29" s="252"/>
      <c r="SP29" s="252"/>
      <c r="SQ29" s="252"/>
      <c r="SR29" s="252"/>
      <c r="SS29" s="252"/>
      <c r="ST29" s="252"/>
      <c r="SU29" s="252"/>
      <c r="SV29" s="252"/>
      <c r="SW29" s="252"/>
      <c r="SX29" s="252"/>
      <c r="SY29" s="252"/>
      <c r="SZ29" s="252"/>
      <c r="TA29" s="252"/>
      <c r="TB29" s="252"/>
      <c r="TC29" s="252"/>
      <c r="TD29" s="252"/>
      <c r="TE29" s="252"/>
      <c r="TF29" s="252"/>
      <c r="TG29" s="252"/>
      <c r="TH29" s="252"/>
      <c r="TI29" s="252"/>
      <c r="TJ29" s="252"/>
      <c r="TK29" s="252"/>
      <c r="TL29" s="252"/>
      <c r="TM29" s="252"/>
      <c r="TN29" s="252"/>
      <c r="TO29" s="252"/>
      <c r="TP29" s="252"/>
      <c r="TQ29" s="252"/>
      <c r="TR29" s="252"/>
      <c r="TS29" s="252"/>
      <c r="TT29" s="252"/>
      <c r="TU29" s="252"/>
      <c r="TV29" s="252"/>
      <c r="TW29" s="252"/>
      <c r="TX29" s="252"/>
      <c r="TY29" s="252"/>
      <c r="TZ29" s="252"/>
      <c r="UA29" s="252"/>
      <c r="UB29" s="252"/>
      <c r="UC29" s="252"/>
      <c r="UD29" s="252"/>
      <c r="UE29" s="252"/>
      <c r="UF29" s="252"/>
      <c r="UG29" s="252"/>
      <c r="UH29" s="252"/>
      <c r="UI29" s="252"/>
      <c r="UJ29" s="252"/>
      <c r="UK29" s="252"/>
      <c r="UL29" s="252"/>
      <c r="UM29" s="252"/>
      <c r="UN29" s="252"/>
      <c r="UO29" s="252"/>
      <c r="UP29" s="252"/>
      <c r="UQ29" s="252"/>
      <c r="UR29" s="252"/>
      <c r="US29" s="252"/>
      <c r="UT29" s="252"/>
      <c r="UU29" s="252"/>
      <c r="UV29" s="252"/>
      <c r="UW29" s="252"/>
      <c r="UX29" s="252"/>
      <c r="UY29" s="252"/>
      <c r="UZ29" s="252"/>
      <c r="VA29" s="252"/>
      <c r="VB29" s="252"/>
      <c r="VC29" s="252"/>
      <c r="VD29" s="252"/>
      <c r="VE29" s="252"/>
      <c r="VF29" s="252"/>
      <c r="VG29" s="252"/>
      <c r="VH29" s="252"/>
      <c r="VI29" s="252"/>
      <c r="VJ29" s="252"/>
      <c r="VK29" s="252"/>
      <c r="VL29" s="252"/>
      <c r="VM29" s="252"/>
      <c r="VN29" s="252"/>
      <c r="VO29" s="252"/>
      <c r="VP29" s="252"/>
      <c r="VQ29" s="252"/>
      <c r="VR29" s="252"/>
      <c r="VS29" s="252"/>
      <c r="VT29" s="252"/>
      <c r="VU29" s="252"/>
      <c r="VV29" s="252"/>
      <c r="VW29" s="252"/>
      <c r="VX29" s="252"/>
      <c r="VY29" s="252"/>
      <c r="VZ29" s="252"/>
      <c r="WA29" s="252"/>
      <c r="WB29" s="252"/>
      <c r="WC29" s="252"/>
      <c r="WD29" s="252"/>
      <c r="WE29" s="252"/>
      <c r="WF29" s="252"/>
      <c r="WG29" s="252"/>
      <c r="WH29" s="252"/>
      <c r="WI29" s="252"/>
      <c r="WJ29" s="252"/>
      <c r="WK29" s="252"/>
      <c r="WL29" s="252"/>
      <c r="WM29" s="252"/>
      <c r="WN29" s="252"/>
      <c r="WO29" s="252"/>
      <c r="WP29" s="252"/>
      <c r="WQ29" s="252"/>
      <c r="WR29" s="252"/>
      <c r="WS29" s="252"/>
      <c r="WT29" s="252"/>
      <c r="WU29" s="252"/>
      <c r="WV29" s="252"/>
      <c r="WW29" s="252"/>
      <c r="WX29" s="252"/>
      <c r="WY29" s="252"/>
      <c r="WZ29" s="252"/>
      <c r="XA29" s="252"/>
      <c r="XB29" s="252"/>
      <c r="XC29" s="252"/>
      <c r="XD29" s="252"/>
      <c r="XE29" s="252"/>
      <c r="XF29" s="252"/>
      <c r="XG29" s="252"/>
      <c r="XH29" s="252"/>
      <c r="XI29" s="252"/>
      <c r="XJ29" s="252"/>
      <c r="XK29" s="252"/>
      <c r="XL29" s="252"/>
      <c r="XM29" s="252"/>
      <c r="XN29" s="252"/>
      <c r="XO29" s="252"/>
      <c r="XP29" s="252"/>
      <c r="XQ29" s="252"/>
      <c r="XR29" s="252"/>
      <c r="XS29" s="252"/>
      <c r="XT29" s="252"/>
      <c r="XU29" s="252"/>
      <c r="XV29" s="252"/>
      <c r="XW29" s="252"/>
      <c r="XX29" s="252"/>
      <c r="XY29" s="252"/>
      <c r="XZ29" s="252"/>
      <c r="YA29" s="252"/>
      <c r="YB29" s="252"/>
      <c r="YC29" s="252"/>
      <c r="YD29" s="252"/>
      <c r="YE29" s="252"/>
      <c r="YF29" s="252"/>
      <c r="YG29" s="252"/>
      <c r="YH29" s="252"/>
      <c r="YI29" s="252"/>
      <c r="YJ29" s="252"/>
      <c r="YK29" s="252"/>
      <c r="YL29" s="252"/>
      <c r="YM29" s="252"/>
      <c r="YN29" s="252"/>
      <c r="YO29" s="252"/>
      <c r="YP29" s="252"/>
      <c r="YQ29" s="252"/>
      <c r="YR29" s="252"/>
      <c r="YS29" s="252"/>
      <c r="YT29" s="252"/>
      <c r="YU29" s="252"/>
      <c r="YV29" s="252"/>
      <c r="YW29" s="252"/>
      <c r="YX29" s="252"/>
      <c r="YY29" s="252"/>
      <c r="YZ29" s="252"/>
      <c r="ZA29" s="252"/>
      <c r="ZB29" s="252"/>
      <c r="ZC29" s="252"/>
      <c r="ZD29" s="252"/>
      <c r="ZE29" s="252"/>
      <c r="ZF29" s="252"/>
      <c r="ZG29" s="252"/>
      <c r="ZH29" s="252"/>
      <c r="ZI29" s="252"/>
      <c r="ZJ29" s="252"/>
      <c r="ZK29" s="252"/>
      <c r="ZL29" s="252"/>
      <c r="ZM29" s="252"/>
      <c r="ZN29" s="252"/>
      <c r="ZO29" s="252"/>
      <c r="ZP29" s="252"/>
      <c r="ZQ29" s="252"/>
      <c r="ZR29" s="252"/>
      <c r="ZS29" s="252"/>
      <c r="ZT29" s="252"/>
      <c r="ZU29" s="252"/>
      <c r="ZV29" s="252"/>
      <c r="ZW29" s="252"/>
      <c r="ZX29" s="252"/>
      <c r="ZY29" s="252"/>
      <c r="ZZ29" s="252"/>
      <c r="AAA29" s="252"/>
      <c r="AAB29" s="252"/>
      <c r="AAC29" s="252"/>
      <c r="AAD29" s="252"/>
      <c r="AAE29" s="252"/>
      <c r="AAF29" s="252"/>
      <c r="AAG29" s="252"/>
      <c r="AAH29" s="252"/>
      <c r="AAI29" s="252"/>
      <c r="AAJ29" s="252"/>
      <c r="AAK29" s="252"/>
      <c r="AAL29" s="252"/>
      <c r="AAM29" s="252"/>
      <c r="AAN29" s="252"/>
      <c r="AAO29" s="252"/>
      <c r="AAP29" s="252"/>
      <c r="AAQ29" s="252"/>
      <c r="AAR29" s="252"/>
      <c r="AAS29" s="252"/>
      <c r="AAT29" s="252"/>
      <c r="AAU29" s="252"/>
      <c r="AAV29" s="252"/>
      <c r="AAW29" s="252"/>
      <c r="AAX29" s="252"/>
      <c r="AAY29" s="252"/>
      <c r="AAZ29" s="252"/>
      <c r="ABA29" s="252"/>
      <c r="ABB29" s="252"/>
      <c r="ABC29" s="252"/>
      <c r="ABD29" s="252"/>
      <c r="ABE29" s="252"/>
      <c r="ABF29" s="252"/>
      <c r="ABG29" s="252"/>
      <c r="ABH29" s="252"/>
      <c r="ABI29" s="252"/>
      <c r="ABJ29" s="252"/>
      <c r="ABK29" s="252"/>
      <c r="ABL29" s="252"/>
      <c r="ABM29" s="252"/>
      <c r="ABN29" s="252"/>
      <c r="ABO29" s="252"/>
      <c r="ABP29" s="252"/>
      <c r="ABQ29" s="252"/>
      <c r="ABR29" s="252"/>
      <c r="ABS29" s="252"/>
      <c r="ABT29" s="252"/>
      <c r="ABU29" s="252"/>
      <c r="ABV29" s="252"/>
      <c r="ABW29" s="252"/>
      <c r="ABX29" s="252"/>
      <c r="ABY29" s="252"/>
      <c r="ABZ29" s="252"/>
      <c r="ACA29" s="252"/>
      <c r="ACB29" s="252"/>
      <c r="ACC29" s="252"/>
      <c r="ACD29" s="252"/>
      <c r="ACE29" s="252"/>
      <c r="ACF29" s="252"/>
      <c r="ACG29" s="252"/>
      <c r="ACH29" s="252"/>
      <c r="ACI29" s="252"/>
      <c r="ACJ29" s="252"/>
      <c r="ACK29" s="252"/>
      <c r="ACL29" s="252"/>
      <c r="ACM29" s="252"/>
      <c r="ACN29" s="252"/>
      <c r="ACO29" s="252"/>
      <c r="ACP29" s="252"/>
      <c r="ACQ29" s="252"/>
      <c r="ACR29" s="252"/>
      <c r="ACS29" s="252"/>
      <c r="ACT29" s="252"/>
      <c r="ACU29" s="252"/>
      <c r="ACV29" s="252"/>
      <c r="ACW29" s="252"/>
      <c r="ACX29" s="252"/>
      <c r="ACY29" s="252"/>
      <c r="ACZ29" s="252"/>
      <c r="ADA29" s="252"/>
      <c r="ADB29" s="252"/>
      <c r="ADC29" s="252"/>
      <c r="ADD29" s="252"/>
      <c r="ADE29" s="252"/>
      <c r="ADF29" s="252"/>
      <c r="ADG29" s="252"/>
      <c r="ADH29" s="252"/>
      <c r="ADI29" s="252"/>
      <c r="ADJ29" s="252"/>
      <c r="ADK29" s="252"/>
      <c r="ADL29" s="252"/>
      <c r="ADM29" s="252"/>
      <c r="ADN29" s="252"/>
      <c r="ADO29" s="252"/>
      <c r="ADP29" s="252"/>
      <c r="ADQ29" s="252"/>
      <c r="ADR29" s="252"/>
      <c r="ADS29" s="252"/>
      <c r="ADT29" s="252"/>
      <c r="ADU29" s="252"/>
      <c r="ADV29" s="252"/>
      <c r="ADW29" s="252"/>
      <c r="ADX29" s="252"/>
      <c r="ADY29" s="252"/>
      <c r="ADZ29" s="252"/>
      <c r="AEA29" s="252"/>
      <c r="AEB29" s="252"/>
      <c r="AEC29" s="252"/>
      <c r="AED29" s="252"/>
      <c r="AEE29" s="252"/>
      <c r="AEF29" s="252"/>
      <c r="AEG29" s="252"/>
      <c r="AEH29" s="252"/>
      <c r="AEI29" s="252"/>
      <c r="AEJ29" s="252"/>
      <c r="AEK29" s="252"/>
      <c r="AEL29" s="252"/>
      <c r="AEM29" s="252"/>
      <c r="AEN29" s="252"/>
      <c r="AEO29" s="252"/>
      <c r="AEP29" s="252"/>
      <c r="AEQ29" s="252"/>
      <c r="AER29" s="252"/>
      <c r="AES29" s="252"/>
      <c r="AET29" s="252"/>
      <c r="AEU29" s="252"/>
      <c r="AEV29" s="252"/>
      <c r="AEW29" s="252"/>
      <c r="AEX29" s="252"/>
      <c r="AEY29" s="252"/>
      <c r="AEZ29" s="252"/>
      <c r="AFA29" s="252"/>
      <c r="AFB29" s="252"/>
      <c r="AFC29" s="252"/>
      <c r="AFD29" s="252"/>
      <c r="AFE29" s="252"/>
      <c r="AFF29" s="252"/>
      <c r="AFG29" s="252"/>
      <c r="AFH29" s="252"/>
      <c r="AFI29" s="252"/>
      <c r="AFJ29" s="252"/>
      <c r="AFK29" s="252"/>
      <c r="AFL29" s="252"/>
      <c r="AFM29" s="252"/>
      <c r="AFN29" s="252"/>
      <c r="AFO29" s="252"/>
      <c r="AFP29" s="252"/>
      <c r="AFQ29" s="252"/>
      <c r="AFR29" s="252"/>
      <c r="AFS29" s="252"/>
      <c r="AFT29" s="252"/>
      <c r="AFU29" s="252"/>
      <c r="AFV29" s="252"/>
      <c r="AFW29" s="252"/>
      <c r="AFX29" s="252"/>
      <c r="AFY29" s="252"/>
      <c r="AFZ29" s="252"/>
      <c r="AGA29" s="252"/>
      <c r="AGB29" s="252"/>
      <c r="AGC29" s="252"/>
      <c r="AGD29" s="252"/>
      <c r="AGE29" s="252"/>
      <c r="AGF29" s="252"/>
      <c r="AGG29" s="252"/>
      <c r="AGH29" s="252"/>
      <c r="AGI29" s="252"/>
      <c r="AGJ29" s="252"/>
      <c r="AGK29" s="252"/>
      <c r="AGL29" s="252"/>
      <c r="AGM29" s="252"/>
      <c r="AGN29" s="252"/>
      <c r="AGO29" s="252"/>
      <c r="AGP29" s="252"/>
      <c r="AGQ29" s="252"/>
      <c r="AGR29" s="252"/>
      <c r="AGS29" s="252"/>
      <c r="AGT29" s="252"/>
      <c r="AGU29" s="252"/>
      <c r="AGV29" s="252"/>
      <c r="AGW29" s="252"/>
      <c r="AGX29" s="252"/>
      <c r="AGY29" s="252"/>
      <c r="AGZ29" s="252"/>
      <c r="AHA29" s="252"/>
      <c r="AHB29" s="252"/>
      <c r="AHC29" s="252"/>
      <c r="AHD29" s="252"/>
      <c r="AHE29" s="252"/>
      <c r="AHF29" s="252"/>
      <c r="AHG29" s="252"/>
      <c r="AHH29" s="252"/>
      <c r="AHI29" s="252"/>
      <c r="AHJ29" s="252"/>
      <c r="AHK29" s="252"/>
      <c r="AHL29" s="252"/>
      <c r="AHM29" s="252"/>
      <c r="AHN29" s="252"/>
      <c r="AHO29" s="252"/>
      <c r="AHP29" s="252"/>
      <c r="AHQ29" s="252"/>
      <c r="AHR29" s="252"/>
      <c r="AHS29" s="252"/>
      <c r="AHT29" s="252"/>
      <c r="AHU29" s="252"/>
      <c r="AHV29" s="252"/>
      <c r="AHW29" s="252"/>
      <c r="AHX29" s="252"/>
      <c r="AHY29" s="252"/>
      <c r="AHZ29" s="252"/>
      <c r="AIA29" s="252"/>
      <c r="AIB29" s="252"/>
      <c r="AIC29" s="252"/>
      <c r="AID29" s="252"/>
      <c r="AIE29" s="252"/>
      <c r="AIF29" s="252"/>
      <c r="AIG29" s="252"/>
      <c r="AIH29" s="252"/>
      <c r="AII29" s="252"/>
      <c r="AIJ29" s="252"/>
      <c r="AIK29" s="252"/>
      <c r="AIL29" s="252"/>
      <c r="AIM29" s="252"/>
      <c r="AIN29" s="252"/>
      <c r="AIO29" s="252"/>
      <c r="AIP29" s="252"/>
      <c r="AIQ29" s="252"/>
      <c r="AIR29" s="252"/>
      <c r="AIS29" s="252"/>
      <c r="AIT29" s="252"/>
      <c r="AIU29" s="252"/>
      <c r="AIV29" s="252"/>
      <c r="AIW29" s="252"/>
      <c r="AIX29" s="252"/>
      <c r="AIY29" s="252"/>
      <c r="AIZ29" s="252"/>
      <c r="AJA29" s="252"/>
      <c r="AJB29" s="252"/>
      <c r="AJC29" s="252"/>
      <c r="AJD29" s="252"/>
      <c r="AJE29" s="252"/>
      <c r="AJF29" s="252"/>
      <c r="AJG29" s="252"/>
      <c r="AJH29" s="252"/>
      <c r="AJI29" s="252"/>
      <c r="AJJ29" s="252"/>
      <c r="AJK29" s="252"/>
      <c r="AJL29" s="252"/>
      <c r="AJM29" s="252"/>
      <c r="AJN29" s="252"/>
      <c r="AJO29" s="252"/>
      <c r="AJP29" s="252"/>
      <c r="AJQ29" s="252"/>
      <c r="AJR29" s="252"/>
      <c r="AJS29" s="252"/>
      <c r="AJT29" s="252"/>
      <c r="AJU29" s="252"/>
      <c r="AJV29" s="252"/>
      <c r="AJW29" s="252"/>
      <c r="AJX29" s="252"/>
      <c r="AJY29" s="252"/>
      <c r="AJZ29" s="252"/>
      <c r="AKA29" s="252"/>
      <c r="AKB29" s="252"/>
      <c r="AKC29" s="252"/>
      <c r="AKD29" s="252"/>
      <c r="AKE29" s="252"/>
      <c r="AKF29" s="252"/>
      <c r="AKG29" s="252"/>
      <c r="AKH29" s="252"/>
      <c r="AKI29" s="252"/>
      <c r="AKJ29" s="252"/>
      <c r="AKK29" s="252"/>
      <c r="AKL29" s="252"/>
      <c r="AKM29" s="252"/>
      <c r="AKN29" s="252"/>
      <c r="AKO29" s="252"/>
      <c r="AKP29" s="252"/>
      <c r="AKQ29" s="252"/>
      <c r="AKR29" s="252"/>
      <c r="AKS29" s="252"/>
      <c r="AKT29" s="252"/>
      <c r="AKU29" s="252"/>
      <c r="AKV29" s="252"/>
      <c r="AKW29" s="252"/>
      <c r="AKX29" s="252"/>
      <c r="AKY29" s="252"/>
      <c r="AKZ29" s="252"/>
      <c r="ALA29" s="252"/>
      <c r="ALB29" s="252"/>
      <c r="ALC29" s="252"/>
      <c r="ALD29" s="252"/>
      <c r="ALE29" s="252"/>
      <c r="ALF29" s="252"/>
      <c r="ALG29" s="252"/>
      <c r="ALH29" s="252"/>
      <c r="ALI29" s="252"/>
      <c r="ALJ29" s="252"/>
      <c r="ALK29" s="252"/>
      <c r="ALL29" s="252"/>
      <c r="ALM29" s="252"/>
      <c r="ALN29" s="252"/>
      <c r="ALO29" s="252"/>
      <c r="ALP29" s="252"/>
      <c r="ALQ29" s="252"/>
      <c r="ALR29" s="252"/>
      <c r="ALS29" s="252"/>
    </row>
    <row r="30" spans="1:1007" s="3" customFormat="1" x14ac:dyDescent="0.2">
      <c r="A30" s="369" t="s">
        <v>290</v>
      </c>
      <c r="B30" s="380">
        <v>1.9</v>
      </c>
      <c r="C30" s="380">
        <v>1.9</v>
      </c>
      <c r="D30" s="380"/>
      <c r="E30" s="729"/>
      <c r="F30" s="730"/>
      <c r="G30" s="730"/>
      <c r="H30" s="730"/>
      <c r="I30" s="730"/>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2"/>
      <c r="AY30" s="252"/>
      <c r="AZ30" s="252"/>
      <c r="BA30" s="252"/>
      <c r="BB30" s="252"/>
      <c r="BC30" s="252"/>
      <c r="BD30" s="252"/>
      <c r="BE30" s="252"/>
      <c r="BF30" s="252"/>
      <c r="BG30" s="252"/>
      <c r="BH30" s="252"/>
      <c r="BI30" s="252"/>
      <c r="BJ30" s="252"/>
      <c r="BK30" s="252"/>
      <c r="BL30" s="252"/>
      <c r="BM30" s="252"/>
      <c r="BN30" s="252"/>
      <c r="BO30" s="252"/>
      <c r="BP30" s="252"/>
      <c r="BQ30" s="252"/>
      <c r="BR30" s="252"/>
      <c r="BS30" s="252"/>
      <c r="BT30" s="252"/>
      <c r="BU30" s="252"/>
      <c r="BV30" s="252"/>
      <c r="BW30" s="252"/>
      <c r="BX30" s="252"/>
      <c r="BY30" s="252"/>
      <c r="BZ30" s="252"/>
      <c r="CA30" s="252"/>
      <c r="CB30" s="252"/>
      <c r="CC30" s="252"/>
      <c r="CD30" s="252"/>
      <c r="CE30" s="252"/>
      <c r="CF30" s="252"/>
      <c r="CG30" s="252"/>
      <c r="CH30" s="252"/>
      <c r="CI30" s="252"/>
      <c r="CJ30" s="252"/>
      <c r="CK30" s="252"/>
      <c r="CL30" s="252"/>
      <c r="CM30" s="252"/>
      <c r="CN30" s="252"/>
      <c r="CO30" s="252"/>
      <c r="CP30" s="252"/>
      <c r="CQ30" s="252"/>
      <c r="CR30" s="252"/>
      <c r="CS30" s="252"/>
      <c r="CT30" s="252"/>
      <c r="CU30" s="252"/>
      <c r="CV30" s="252"/>
      <c r="CW30" s="252"/>
      <c r="CX30" s="252"/>
      <c r="CY30" s="252"/>
      <c r="CZ30" s="252"/>
      <c r="DA30" s="252"/>
      <c r="DB30" s="252"/>
      <c r="DC30" s="252"/>
      <c r="DD30" s="252"/>
      <c r="DE30" s="252"/>
      <c r="DF30" s="252"/>
      <c r="DG30" s="252"/>
      <c r="DH30" s="252"/>
      <c r="DI30" s="252"/>
      <c r="DJ30" s="252"/>
      <c r="DK30" s="252"/>
      <c r="DL30" s="252"/>
      <c r="DM30" s="252"/>
      <c r="DN30" s="252"/>
      <c r="DO30" s="252"/>
      <c r="DP30" s="252"/>
      <c r="DQ30" s="252"/>
      <c r="DR30" s="252"/>
      <c r="DS30" s="252"/>
      <c r="DT30" s="252"/>
      <c r="DU30" s="252"/>
      <c r="DV30" s="252"/>
      <c r="DW30" s="252"/>
      <c r="DX30" s="252"/>
      <c r="DY30" s="252"/>
      <c r="DZ30" s="252"/>
      <c r="EA30" s="252"/>
      <c r="EB30" s="252"/>
      <c r="EC30" s="252"/>
      <c r="ED30" s="252"/>
      <c r="EE30" s="252"/>
      <c r="EF30" s="252"/>
      <c r="EG30" s="252"/>
      <c r="EH30" s="252"/>
      <c r="EI30" s="252"/>
      <c r="EJ30" s="252"/>
      <c r="EK30" s="252"/>
      <c r="EL30" s="252"/>
      <c r="EM30" s="252"/>
      <c r="EN30" s="252"/>
      <c r="EO30" s="252"/>
      <c r="EP30" s="252"/>
      <c r="EQ30" s="252"/>
      <c r="ER30" s="252"/>
      <c r="ES30" s="252"/>
      <c r="ET30" s="252"/>
      <c r="EU30" s="252"/>
      <c r="EV30" s="252"/>
      <c r="EW30" s="252"/>
      <c r="EX30" s="252"/>
      <c r="EY30" s="252"/>
      <c r="EZ30" s="252"/>
      <c r="FA30" s="252"/>
      <c r="FB30" s="252"/>
      <c r="FC30" s="252"/>
      <c r="FD30" s="252"/>
      <c r="FE30" s="252"/>
      <c r="FF30" s="252"/>
      <c r="FG30" s="252"/>
      <c r="FH30" s="252"/>
      <c r="FI30" s="252"/>
      <c r="FJ30" s="252"/>
      <c r="FK30" s="252"/>
      <c r="FL30" s="252"/>
      <c r="FM30" s="252"/>
      <c r="FN30" s="252"/>
      <c r="FO30" s="252"/>
      <c r="FP30" s="252"/>
      <c r="FQ30" s="252"/>
      <c r="FR30" s="252"/>
      <c r="FS30" s="252"/>
      <c r="FT30" s="252"/>
      <c r="FU30" s="252"/>
      <c r="FV30" s="252"/>
      <c r="FW30" s="252"/>
      <c r="FX30" s="252"/>
      <c r="FY30" s="252"/>
      <c r="FZ30" s="252"/>
      <c r="GA30" s="252"/>
      <c r="GB30" s="252"/>
      <c r="GC30" s="252"/>
      <c r="GD30" s="252"/>
      <c r="GE30" s="252"/>
      <c r="GF30" s="252"/>
      <c r="GG30" s="252"/>
      <c r="GH30" s="252"/>
      <c r="GI30" s="252"/>
      <c r="GJ30" s="252"/>
      <c r="GK30" s="252"/>
      <c r="GL30" s="252"/>
      <c r="GM30" s="252"/>
      <c r="GN30" s="252"/>
      <c r="GO30" s="252"/>
      <c r="GP30" s="252"/>
      <c r="GQ30" s="252"/>
      <c r="GR30" s="252"/>
      <c r="GS30" s="252"/>
      <c r="GT30" s="252"/>
      <c r="GU30" s="252"/>
      <c r="GV30" s="252"/>
      <c r="GW30" s="252"/>
      <c r="GX30" s="252"/>
      <c r="GY30" s="252"/>
      <c r="GZ30" s="252"/>
      <c r="HA30" s="252"/>
      <c r="HB30" s="252"/>
      <c r="HC30" s="252"/>
      <c r="HD30" s="252"/>
      <c r="HE30" s="252"/>
      <c r="HF30" s="252"/>
      <c r="HG30" s="252"/>
      <c r="HH30" s="252"/>
      <c r="HI30" s="252"/>
      <c r="HJ30" s="252"/>
      <c r="HK30" s="252"/>
      <c r="HL30" s="252"/>
      <c r="HM30" s="252"/>
      <c r="HN30" s="252"/>
      <c r="HO30" s="252"/>
      <c r="HP30" s="252"/>
      <c r="HQ30" s="252"/>
      <c r="HR30" s="252"/>
      <c r="HS30" s="252"/>
      <c r="HT30" s="252"/>
      <c r="HU30" s="252"/>
      <c r="HV30" s="252"/>
      <c r="HW30" s="252"/>
      <c r="HX30" s="252"/>
      <c r="HY30" s="252"/>
      <c r="HZ30" s="252"/>
      <c r="IA30" s="252"/>
      <c r="IB30" s="252"/>
      <c r="IC30" s="252"/>
      <c r="ID30" s="252"/>
      <c r="IE30" s="252"/>
      <c r="IF30" s="252"/>
      <c r="IG30" s="252"/>
      <c r="IH30" s="252"/>
      <c r="II30" s="252"/>
      <c r="IJ30" s="252"/>
      <c r="IK30" s="252"/>
      <c r="IL30" s="252"/>
      <c r="IM30" s="252"/>
      <c r="IN30" s="252"/>
      <c r="IO30" s="252"/>
      <c r="IP30" s="252"/>
      <c r="IQ30" s="252"/>
      <c r="IR30" s="252"/>
      <c r="IS30" s="252"/>
      <c r="IT30" s="252"/>
      <c r="IU30" s="252"/>
      <c r="IV30" s="252"/>
      <c r="IW30" s="252"/>
      <c r="IX30" s="252"/>
      <c r="IY30" s="252"/>
      <c r="IZ30" s="252"/>
      <c r="JA30" s="252"/>
      <c r="JB30" s="252"/>
      <c r="JC30" s="252"/>
      <c r="JD30" s="252"/>
      <c r="JE30" s="252"/>
      <c r="JF30" s="252"/>
      <c r="JG30" s="252"/>
      <c r="JH30" s="252"/>
      <c r="JI30" s="252"/>
      <c r="JJ30" s="252"/>
      <c r="JK30" s="252"/>
      <c r="JL30" s="252"/>
      <c r="JM30" s="252"/>
      <c r="JN30" s="252"/>
      <c r="JO30" s="252"/>
      <c r="JP30" s="252"/>
      <c r="JQ30" s="252"/>
      <c r="JR30" s="252"/>
      <c r="JS30" s="252"/>
      <c r="JT30" s="252"/>
      <c r="JU30" s="252"/>
      <c r="JV30" s="252"/>
      <c r="JW30" s="252"/>
      <c r="JX30" s="252"/>
      <c r="JY30" s="252"/>
      <c r="JZ30" s="252"/>
      <c r="KA30" s="252"/>
      <c r="KB30" s="252"/>
      <c r="KC30" s="252"/>
      <c r="KD30" s="252"/>
      <c r="KE30" s="252"/>
      <c r="KF30" s="252"/>
      <c r="KG30" s="252"/>
      <c r="KH30" s="252"/>
      <c r="KI30" s="252"/>
      <c r="KJ30" s="252"/>
      <c r="KK30" s="252"/>
      <c r="KL30" s="252"/>
      <c r="KM30" s="252"/>
      <c r="KN30" s="252"/>
      <c r="KO30" s="252"/>
      <c r="KP30" s="252"/>
      <c r="KQ30" s="252"/>
      <c r="KR30" s="252"/>
      <c r="KS30" s="252"/>
      <c r="KT30" s="252"/>
      <c r="KU30" s="252"/>
      <c r="KV30" s="252"/>
      <c r="KW30" s="252"/>
      <c r="KX30" s="252"/>
      <c r="KY30" s="252"/>
      <c r="KZ30" s="252"/>
      <c r="LA30" s="252"/>
      <c r="LB30" s="252"/>
      <c r="LC30" s="252"/>
      <c r="LD30" s="252"/>
      <c r="LE30" s="252"/>
      <c r="LF30" s="252"/>
      <c r="LG30" s="252"/>
      <c r="LH30" s="252"/>
      <c r="LI30" s="252"/>
      <c r="LJ30" s="252"/>
      <c r="LK30" s="252"/>
      <c r="LL30" s="252"/>
      <c r="LM30" s="252"/>
      <c r="LN30" s="252"/>
      <c r="LO30" s="252"/>
      <c r="LP30" s="252"/>
      <c r="LQ30" s="252"/>
      <c r="LR30" s="252"/>
      <c r="LS30" s="252"/>
      <c r="LT30" s="252"/>
      <c r="LU30" s="252"/>
      <c r="LV30" s="252"/>
      <c r="LW30" s="252"/>
      <c r="LX30" s="252"/>
      <c r="LY30" s="252"/>
      <c r="LZ30" s="252"/>
      <c r="MA30" s="252"/>
      <c r="MB30" s="252"/>
      <c r="MC30" s="252"/>
      <c r="MD30" s="252"/>
      <c r="ME30" s="252"/>
      <c r="MF30" s="252"/>
      <c r="MG30" s="252"/>
      <c r="MH30" s="252"/>
      <c r="MI30" s="252"/>
      <c r="MJ30" s="252"/>
      <c r="MK30" s="252"/>
      <c r="ML30" s="252"/>
      <c r="MM30" s="252"/>
      <c r="MN30" s="252"/>
      <c r="MO30" s="252"/>
      <c r="MP30" s="252"/>
      <c r="MQ30" s="252"/>
      <c r="MR30" s="252"/>
      <c r="MS30" s="252"/>
      <c r="MT30" s="252"/>
      <c r="MU30" s="252"/>
      <c r="MV30" s="252"/>
      <c r="MW30" s="252"/>
      <c r="MX30" s="252"/>
      <c r="MY30" s="252"/>
      <c r="MZ30" s="252"/>
      <c r="NA30" s="252"/>
      <c r="NB30" s="252"/>
      <c r="NC30" s="252"/>
      <c r="ND30" s="252"/>
      <c r="NE30" s="252"/>
      <c r="NF30" s="252"/>
      <c r="NG30" s="252"/>
      <c r="NH30" s="252"/>
      <c r="NI30" s="252"/>
      <c r="NJ30" s="252"/>
      <c r="NK30" s="252"/>
      <c r="NL30" s="252"/>
      <c r="NM30" s="252"/>
      <c r="NN30" s="252"/>
      <c r="NO30" s="252"/>
      <c r="NP30" s="252"/>
      <c r="NQ30" s="252"/>
      <c r="NR30" s="252"/>
      <c r="NS30" s="252"/>
      <c r="NT30" s="252"/>
      <c r="NU30" s="252"/>
      <c r="NV30" s="252"/>
      <c r="NW30" s="252"/>
      <c r="NX30" s="252"/>
      <c r="NY30" s="252"/>
      <c r="NZ30" s="252"/>
      <c r="OA30" s="252"/>
      <c r="OB30" s="252"/>
      <c r="OC30" s="252"/>
      <c r="OD30" s="252"/>
      <c r="OE30" s="252"/>
      <c r="OF30" s="252"/>
      <c r="OG30" s="252"/>
      <c r="OH30" s="252"/>
      <c r="OI30" s="252"/>
      <c r="OJ30" s="252"/>
      <c r="OK30" s="252"/>
      <c r="OL30" s="252"/>
      <c r="OM30" s="252"/>
      <c r="ON30" s="252"/>
      <c r="OO30" s="252"/>
      <c r="OP30" s="252"/>
      <c r="OQ30" s="252"/>
      <c r="OR30" s="252"/>
      <c r="OS30" s="252"/>
      <c r="OT30" s="252"/>
      <c r="OU30" s="252"/>
      <c r="OV30" s="252"/>
      <c r="OW30" s="252"/>
      <c r="OX30" s="252"/>
      <c r="OY30" s="252"/>
      <c r="OZ30" s="252"/>
      <c r="PA30" s="252"/>
      <c r="PB30" s="252"/>
      <c r="PC30" s="252"/>
      <c r="PD30" s="252"/>
      <c r="PE30" s="252"/>
      <c r="PF30" s="252"/>
      <c r="PG30" s="252"/>
      <c r="PH30" s="252"/>
      <c r="PI30" s="252"/>
      <c r="PJ30" s="252"/>
      <c r="PK30" s="252"/>
      <c r="PL30" s="252"/>
      <c r="PM30" s="252"/>
      <c r="PN30" s="252"/>
      <c r="PO30" s="252"/>
      <c r="PP30" s="252"/>
      <c r="PQ30" s="252"/>
      <c r="PR30" s="252"/>
      <c r="PS30" s="252"/>
      <c r="PT30" s="252"/>
      <c r="PU30" s="252"/>
      <c r="PV30" s="252"/>
      <c r="PW30" s="252"/>
      <c r="PX30" s="252"/>
      <c r="PY30" s="252"/>
      <c r="PZ30" s="252"/>
      <c r="QA30" s="252"/>
      <c r="QB30" s="252"/>
      <c r="QC30" s="252"/>
      <c r="QD30" s="252"/>
      <c r="QE30" s="252"/>
      <c r="QF30" s="252"/>
      <c r="QG30" s="252"/>
      <c r="QH30" s="252"/>
      <c r="QI30" s="252"/>
      <c r="QJ30" s="252"/>
      <c r="QK30" s="252"/>
      <c r="QL30" s="252"/>
      <c r="QM30" s="252"/>
      <c r="QN30" s="252"/>
      <c r="QO30" s="252"/>
      <c r="QP30" s="252"/>
      <c r="QQ30" s="252"/>
      <c r="QR30" s="252"/>
      <c r="QS30" s="252"/>
      <c r="QT30" s="252"/>
      <c r="QU30" s="252"/>
      <c r="QV30" s="252"/>
      <c r="QW30" s="252"/>
      <c r="QX30" s="252"/>
      <c r="QY30" s="252"/>
      <c r="QZ30" s="252"/>
      <c r="RA30" s="252"/>
      <c r="RB30" s="252"/>
      <c r="RC30" s="252"/>
      <c r="RD30" s="252"/>
      <c r="RE30" s="252"/>
      <c r="RF30" s="252"/>
      <c r="RG30" s="252"/>
      <c r="RH30" s="252"/>
      <c r="RI30" s="252"/>
      <c r="RJ30" s="252"/>
      <c r="RK30" s="252"/>
      <c r="RL30" s="252"/>
      <c r="RM30" s="252"/>
      <c r="RN30" s="252"/>
      <c r="RO30" s="252"/>
      <c r="RP30" s="252"/>
      <c r="RQ30" s="252"/>
      <c r="RR30" s="252"/>
      <c r="RS30" s="252"/>
      <c r="RT30" s="252"/>
      <c r="RU30" s="252"/>
      <c r="RV30" s="252"/>
      <c r="RW30" s="252"/>
      <c r="RX30" s="252"/>
      <c r="RY30" s="252"/>
      <c r="RZ30" s="252"/>
      <c r="SA30" s="252"/>
      <c r="SB30" s="252"/>
      <c r="SC30" s="252"/>
      <c r="SD30" s="252"/>
      <c r="SE30" s="252"/>
      <c r="SF30" s="252"/>
      <c r="SG30" s="252"/>
      <c r="SH30" s="252"/>
      <c r="SI30" s="252"/>
      <c r="SJ30" s="252"/>
      <c r="SK30" s="252"/>
      <c r="SL30" s="252"/>
      <c r="SM30" s="252"/>
      <c r="SN30" s="252"/>
      <c r="SO30" s="252"/>
      <c r="SP30" s="252"/>
      <c r="SQ30" s="252"/>
      <c r="SR30" s="252"/>
      <c r="SS30" s="252"/>
      <c r="ST30" s="252"/>
      <c r="SU30" s="252"/>
      <c r="SV30" s="252"/>
      <c r="SW30" s="252"/>
      <c r="SX30" s="252"/>
      <c r="SY30" s="252"/>
      <c r="SZ30" s="252"/>
      <c r="TA30" s="252"/>
      <c r="TB30" s="252"/>
      <c r="TC30" s="252"/>
      <c r="TD30" s="252"/>
      <c r="TE30" s="252"/>
      <c r="TF30" s="252"/>
      <c r="TG30" s="252"/>
      <c r="TH30" s="252"/>
      <c r="TI30" s="252"/>
      <c r="TJ30" s="252"/>
      <c r="TK30" s="252"/>
      <c r="TL30" s="252"/>
      <c r="TM30" s="252"/>
      <c r="TN30" s="252"/>
      <c r="TO30" s="252"/>
      <c r="TP30" s="252"/>
      <c r="TQ30" s="252"/>
      <c r="TR30" s="252"/>
      <c r="TS30" s="252"/>
      <c r="TT30" s="252"/>
      <c r="TU30" s="252"/>
      <c r="TV30" s="252"/>
      <c r="TW30" s="252"/>
      <c r="TX30" s="252"/>
      <c r="TY30" s="252"/>
      <c r="TZ30" s="252"/>
      <c r="UA30" s="252"/>
      <c r="UB30" s="252"/>
      <c r="UC30" s="252"/>
      <c r="UD30" s="252"/>
      <c r="UE30" s="252"/>
      <c r="UF30" s="252"/>
      <c r="UG30" s="252"/>
      <c r="UH30" s="252"/>
      <c r="UI30" s="252"/>
      <c r="UJ30" s="252"/>
      <c r="UK30" s="252"/>
      <c r="UL30" s="252"/>
      <c r="UM30" s="252"/>
      <c r="UN30" s="252"/>
      <c r="UO30" s="252"/>
      <c r="UP30" s="252"/>
      <c r="UQ30" s="252"/>
      <c r="UR30" s="252"/>
      <c r="US30" s="252"/>
      <c r="UT30" s="252"/>
      <c r="UU30" s="252"/>
      <c r="UV30" s="252"/>
      <c r="UW30" s="252"/>
      <c r="UX30" s="252"/>
      <c r="UY30" s="252"/>
      <c r="UZ30" s="252"/>
      <c r="VA30" s="252"/>
      <c r="VB30" s="252"/>
      <c r="VC30" s="252"/>
      <c r="VD30" s="252"/>
      <c r="VE30" s="252"/>
      <c r="VF30" s="252"/>
      <c r="VG30" s="252"/>
      <c r="VH30" s="252"/>
      <c r="VI30" s="252"/>
      <c r="VJ30" s="252"/>
      <c r="VK30" s="252"/>
      <c r="VL30" s="252"/>
      <c r="VM30" s="252"/>
      <c r="VN30" s="252"/>
      <c r="VO30" s="252"/>
      <c r="VP30" s="252"/>
      <c r="VQ30" s="252"/>
      <c r="VR30" s="252"/>
      <c r="VS30" s="252"/>
      <c r="VT30" s="252"/>
      <c r="VU30" s="252"/>
      <c r="VV30" s="252"/>
      <c r="VW30" s="252"/>
      <c r="VX30" s="252"/>
      <c r="VY30" s="252"/>
      <c r="VZ30" s="252"/>
      <c r="WA30" s="252"/>
      <c r="WB30" s="252"/>
      <c r="WC30" s="252"/>
      <c r="WD30" s="252"/>
      <c r="WE30" s="252"/>
      <c r="WF30" s="252"/>
      <c r="WG30" s="252"/>
      <c r="WH30" s="252"/>
      <c r="WI30" s="252"/>
      <c r="WJ30" s="252"/>
      <c r="WK30" s="252"/>
      <c r="WL30" s="252"/>
      <c r="WM30" s="252"/>
      <c r="WN30" s="252"/>
      <c r="WO30" s="252"/>
      <c r="WP30" s="252"/>
      <c r="WQ30" s="252"/>
      <c r="WR30" s="252"/>
      <c r="WS30" s="252"/>
      <c r="WT30" s="252"/>
      <c r="WU30" s="252"/>
      <c r="WV30" s="252"/>
      <c r="WW30" s="252"/>
      <c r="WX30" s="252"/>
      <c r="WY30" s="252"/>
      <c r="WZ30" s="252"/>
      <c r="XA30" s="252"/>
      <c r="XB30" s="252"/>
      <c r="XC30" s="252"/>
      <c r="XD30" s="252"/>
      <c r="XE30" s="252"/>
      <c r="XF30" s="252"/>
      <c r="XG30" s="252"/>
      <c r="XH30" s="252"/>
      <c r="XI30" s="252"/>
      <c r="XJ30" s="252"/>
      <c r="XK30" s="252"/>
      <c r="XL30" s="252"/>
      <c r="XM30" s="252"/>
      <c r="XN30" s="252"/>
      <c r="XO30" s="252"/>
      <c r="XP30" s="252"/>
      <c r="XQ30" s="252"/>
      <c r="XR30" s="252"/>
      <c r="XS30" s="252"/>
      <c r="XT30" s="252"/>
      <c r="XU30" s="252"/>
      <c r="XV30" s="252"/>
      <c r="XW30" s="252"/>
      <c r="XX30" s="252"/>
      <c r="XY30" s="252"/>
      <c r="XZ30" s="252"/>
      <c r="YA30" s="252"/>
      <c r="YB30" s="252"/>
      <c r="YC30" s="252"/>
      <c r="YD30" s="252"/>
      <c r="YE30" s="252"/>
      <c r="YF30" s="252"/>
      <c r="YG30" s="252"/>
      <c r="YH30" s="252"/>
      <c r="YI30" s="252"/>
      <c r="YJ30" s="252"/>
      <c r="YK30" s="252"/>
      <c r="YL30" s="252"/>
      <c r="YM30" s="252"/>
      <c r="YN30" s="252"/>
      <c r="YO30" s="252"/>
      <c r="YP30" s="252"/>
      <c r="YQ30" s="252"/>
      <c r="YR30" s="252"/>
      <c r="YS30" s="252"/>
      <c r="YT30" s="252"/>
      <c r="YU30" s="252"/>
      <c r="YV30" s="252"/>
      <c r="YW30" s="252"/>
      <c r="YX30" s="252"/>
      <c r="YY30" s="252"/>
      <c r="YZ30" s="252"/>
      <c r="ZA30" s="252"/>
      <c r="ZB30" s="252"/>
      <c r="ZC30" s="252"/>
      <c r="ZD30" s="252"/>
      <c r="ZE30" s="252"/>
      <c r="ZF30" s="252"/>
      <c r="ZG30" s="252"/>
      <c r="ZH30" s="252"/>
      <c r="ZI30" s="252"/>
      <c r="ZJ30" s="252"/>
      <c r="ZK30" s="252"/>
      <c r="ZL30" s="252"/>
      <c r="ZM30" s="252"/>
      <c r="ZN30" s="252"/>
      <c r="ZO30" s="252"/>
      <c r="ZP30" s="252"/>
      <c r="ZQ30" s="252"/>
      <c r="ZR30" s="252"/>
      <c r="ZS30" s="252"/>
      <c r="ZT30" s="252"/>
      <c r="ZU30" s="252"/>
      <c r="ZV30" s="252"/>
      <c r="ZW30" s="252"/>
      <c r="ZX30" s="252"/>
      <c r="ZY30" s="252"/>
      <c r="ZZ30" s="252"/>
      <c r="AAA30" s="252"/>
      <c r="AAB30" s="252"/>
      <c r="AAC30" s="252"/>
      <c r="AAD30" s="252"/>
      <c r="AAE30" s="252"/>
      <c r="AAF30" s="252"/>
      <c r="AAG30" s="252"/>
      <c r="AAH30" s="252"/>
      <c r="AAI30" s="252"/>
      <c r="AAJ30" s="252"/>
      <c r="AAK30" s="252"/>
      <c r="AAL30" s="252"/>
      <c r="AAM30" s="252"/>
      <c r="AAN30" s="252"/>
      <c r="AAO30" s="252"/>
      <c r="AAP30" s="252"/>
      <c r="AAQ30" s="252"/>
      <c r="AAR30" s="252"/>
      <c r="AAS30" s="252"/>
      <c r="AAT30" s="252"/>
      <c r="AAU30" s="252"/>
      <c r="AAV30" s="252"/>
      <c r="AAW30" s="252"/>
      <c r="AAX30" s="252"/>
      <c r="AAY30" s="252"/>
      <c r="AAZ30" s="252"/>
      <c r="ABA30" s="252"/>
      <c r="ABB30" s="252"/>
      <c r="ABC30" s="252"/>
      <c r="ABD30" s="252"/>
      <c r="ABE30" s="252"/>
      <c r="ABF30" s="252"/>
      <c r="ABG30" s="252"/>
      <c r="ABH30" s="252"/>
      <c r="ABI30" s="252"/>
      <c r="ABJ30" s="252"/>
      <c r="ABK30" s="252"/>
      <c r="ABL30" s="252"/>
      <c r="ABM30" s="252"/>
      <c r="ABN30" s="252"/>
      <c r="ABO30" s="252"/>
      <c r="ABP30" s="252"/>
      <c r="ABQ30" s="252"/>
      <c r="ABR30" s="252"/>
      <c r="ABS30" s="252"/>
      <c r="ABT30" s="252"/>
      <c r="ABU30" s="252"/>
      <c r="ABV30" s="252"/>
      <c r="ABW30" s="252"/>
      <c r="ABX30" s="252"/>
      <c r="ABY30" s="252"/>
      <c r="ABZ30" s="252"/>
      <c r="ACA30" s="252"/>
      <c r="ACB30" s="252"/>
      <c r="ACC30" s="252"/>
      <c r="ACD30" s="252"/>
      <c r="ACE30" s="252"/>
      <c r="ACF30" s="252"/>
      <c r="ACG30" s="252"/>
      <c r="ACH30" s="252"/>
      <c r="ACI30" s="252"/>
      <c r="ACJ30" s="252"/>
      <c r="ACK30" s="252"/>
      <c r="ACL30" s="252"/>
      <c r="ACM30" s="252"/>
      <c r="ACN30" s="252"/>
      <c r="ACO30" s="252"/>
      <c r="ACP30" s="252"/>
      <c r="ACQ30" s="252"/>
      <c r="ACR30" s="252"/>
      <c r="ACS30" s="252"/>
      <c r="ACT30" s="252"/>
      <c r="ACU30" s="252"/>
      <c r="ACV30" s="252"/>
      <c r="ACW30" s="252"/>
      <c r="ACX30" s="252"/>
      <c r="ACY30" s="252"/>
      <c r="ACZ30" s="252"/>
      <c r="ADA30" s="252"/>
      <c r="ADB30" s="252"/>
      <c r="ADC30" s="252"/>
      <c r="ADD30" s="252"/>
      <c r="ADE30" s="252"/>
      <c r="ADF30" s="252"/>
      <c r="ADG30" s="252"/>
      <c r="ADH30" s="252"/>
      <c r="ADI30" s="252"/>
      <c r="ADJ30" s="252"/>
      <c r="ADK30" s="252"/>
      <c r="ADL30" s="252"/>
      <c r="ADM30" s="252"/>
      <c r="ADN30" s="252"/>
      <c r="ADO30" s="252"/>
      <c r="ADP30" s="252"/>
      <c r="ADQ30" s="252"/>
      <c r="ADR30" s="252"/>
      <c r="ADS30" s="252"/>
      <c r="ADT30" s="252"/>
      <c r="ADU30" s="252"/>
      <c r="ADV30" s="252"/>
      <c r="ADW30" s="252"/>
      <c r="ADX30" s="252"/>
      <c r="ADY30" s="252"/>
      <c r="ADZ30" s="252"/>
      <c r="AEA30" s="252"/>
      <c r="AEB30" s="252"/>
      <c r="AEC30" s="252"/>
      <c r="AED30" s="252"/>
      <c r="AEE30" s="252"/>
      <c r="AEF30" s="252"/>
      <c r="AEG30" s="252"/>
      <c r="AEH30" s="252"/>
      <c r="AEI30" s="252"/>
      <c r="AEJ30" s="252"/>
      <c r="AEK30" s="252"/>
      <c r="AEL30" s="252"/>
      <c r="AEM30" s="252"/>
      <c r="AEN30" s="252"/>
      <c r="AEO30" s="252"/>
      <c r="AEP30" s="252"/>
      <c r="AEQ30" s="252"/>
      <c r="AER30" s="252"/>
      <c r="AES30" s="252"/>
      <c r="AET30" s="252"/>
      <c r="AEU30" s="252"/>
      <c r="AEV30" s="252"/>
      <c r="AEW30" s="252"/>
      <c r="AEX30" s="252"/>
      <c r="AEY30" s="252"/>
      <c r="AEZ30" s="252"/>
      <c r="AFA30" s="252"/>
      <c r="AFB30" s="252"/>
      <c r="AFC30" s="252"/>
      <c r="AFD30" s="252"/>
      <c r="AFE30" s="252"/>
      <c r="AFF30" s="252"/>
      <c r="AFG30" s="252"/>
      <c r="AFH30" s="252"/>
      <c r="AFI30" s="252"/>
      <c r="AFJ30" s="252"/>
      <c r="AFK30" s="252"/>
      <c r="AFL30" s="252"/>
      <c r="AFM30" s="252"/>
      <c r="AFN30" s="252"/>
      <c r="AFO30" s="252"/>
      <c r="AFP30" s="252"/>
      <c r="AFQ30" s="252"/>
      <c r="AFR30" s="252"/>
      <c r="AFS30" s="252"/>
      <c r="AFT30" s="252"/>
      <c r="AFU30" s="252"/>
      <c r="AFV30" s="252"/>
      <c r="AFW30" s="252"/>
      <c r="AFX30" s="252"/>
      <c r="AFY30" s="252"/>
      <c r="AFZ30" s="252"/>
      <c r="AGA30" s="252"/>
      <c r="AGB30" s="252"/>
      <c r="AGC30" s="252"/>
      <c r="AGD30" s="252"/>
      <c r="AGE30" s="252"/>
      <c r="AGF30" s="252"/>
      <c r="AGG30" s="252"/>
      <c r="AGH30" s="252"/>
      <c r="AGI30" s="252"/>
      <c r="AGJ30" s="252"/>
      <c r="AGK30" s="252"/>
      <c r="AGL30" s="252"/>
      <c r="AGM30" s="252"/>
      <c r="AGN30" s="252"/>
      <c r="AGO30" s="252"/>
      <c r="AGP30" s="252"/>
      <c r="AGQ30" s="252"/>
      <c r="AGR30" s="252"/>
      <c r="AGS30" s="252"/>
      <c r="AGT30" s="252"/>
      <c r="AGU30" s="252"/>
      <c r="AGV30" s="252"/>
      <c r="AGW30" s="252"/>
      <c r="AGX30" s="252"/>
      <c r="AGY30" s="252"/>
      <c r="AGZ30" s="252"/>
      <c r="AHA30" s="252"/>
      <c r="AHB30" s="252"/>
      <c r="AHC30" s="252"/>
      <c r="AHD30" s="252"/>
      <c r="AHE30" s="252"/>
      <c r="AHF30" s="252"/>
      <c r="AHG30" s="252"/>
      <c r="AHH30" s="252"/>
      <c r="AHI30" s="252"/>
      <c r="AHJ30" s="252"/>
      <c r="AHK30" s="252"/>
      <c r="AHL30" s="252"/>
      <c r="AHM30" s="252"/>
      <c r="AHN30" s="252"/>
      <c r="AHO30" s="252"/>
      <c r="AHP30" s="252"/>
      <c r="AHQ30" s="252"/>
      <c r="AHR30" s="252"/>
      <c r="AHS30" s="252"/>
      <c r="AHT30" s="252"/>
      <c r="AHU30" s="252"/>
      <c r="AHV30" s="252"/>
      <c r="AHW30" s="252"/>
      <c r="AHX30" s="252"/>
      <c r="AHY30" s="252"/>
      <c r="AHZ30" s="252"/>
      <c r="AIA30" s="252"/>
      <c r="AIB30" s="252"/>
      <c r="AIC30" s="252"/>
      <c r="AID30" s="252"/>
      <c r="AIE30" s="252"/>
      <c r="AIF30" s="252"/>
      <c r="AIG30" s="252"/>
      <c r="AIH30" s="252"/>
      <c r="AII30" s="252"/>
      <c r="AIJ30" s="252"/>
      <c r="AIK30" s="252"/>
      <c r="AIL30" s="252"/>
      <c r="AIM30" s="252"/>
      <c r="AIN30" s="252"/>
      <c r="AIO30" s="252"/>
      <c r="AIP30" s="252"/>
      <c r="AIQ30" s="252"/>
      <c r="AIR30" s="252"/>
      <c r="AIS30" s="252"/>
      <c r="AIT30" s="252"/>
      <c r="AIU30" s="252"/>
      <c r="AIV30" s="252"/>
      <c r="AIW30" s="252"/>
      <c r="AIX30" s="252"/>
      <c r="AIY30" s="252"/>
      <c r="AIZ30" s="252"/>
      <c r="AJA30" s="252"/>
      <c r="AJB30" s="252"/>
      <c r="AJC30" s="252"/>
      <c r="AJD30" s="252"/>
      <c r="AJE30" s="252"/>
      <c r="AJF30" s="252"/>
      <c r="AJG30" s="252"/>
      <c r="AJH30" s="252"/>
      <c r="AJI30" s="252"/>
      <c r="AJJ30" s="252"/>
      <c r="AJK30" s="252"/>
      <c r="AJL30" s="252"/>
      <c r="AJM30" s="252"/>
      <c r="AJN30" s="252"/>
      <c r="AJO30" s="252"/>
      <c r="AJP30" s="252"/>
      <c r="AJQ30" s="252"/>
      <c r="AJR30" s="252"/>
      <c r="AJS30" s="252"/>
      <c r="AJT30" s="252"/>
      <c r="AJU30" s="252"/>
      <c r="AJV30" s="252"/>
      <c r="AJW30" s="252"/>
      <c r="AJX30" s="252"/>
      <c r="AJY30" s="252"/>
      <c r="AJZ30" s="252"/>
      <c r="AKA30" s="252"/>
      <c r="AKB30" s="252"/>
      <c r="AKC30" s="252"/>
      <c r="AKD30" s="252"/>
      <c r="AKE30" s="252"/>
      <c r="AKF30" s="252"/>
      <c r="AKG30" s="252"/>
      <c r="AKH30" s="252"/>
      <c r="AKI30" s="252"/>
      <c r="AKJ30" s="252"/>
      <c r="AKK30" s="252"/>
      <c r="AKL30" s="252"/>
      <c r="AKM30" s="252"/>
      <c r="AKN30" s="252"/>
      <c r="AKO30" s="252"/>
      <c r="AKP30" s="252"/>
      <c r="AKQ30" s="252"/>
      <c r="AKR30" s="252"/>
      <c r="AKS30" s="252"/>
      <c r="AKT30" s="252"/>
      <c r="AKU30" s="252"/>
      <c r="AKV30" s="252"/>
      <c r="AKW30" s="252"/>
      <c r="AKX30" s="252"/>
      <c r="AKY30" s="252"/>
      <c r="AKZ30" s="252"/>
      <c r="ALA30" s="252"/>
      <c r="ALB30" s="252"/>
      <c r="ALC30" s="252"/>
      <c r="ALD30" s="252"/>
      <c r="ALE30" s="252"/>
      <c r="ALF30" s="252"/>
      <c r="ALG30" s="252"/>
      <c r="ALH30" s="252"/>
      <c r="ALI30" s="252"/>
      <c r="ALJ30" s="252"/>
      <c r="ALK30" s="252"/>
      <c r="ALL30" s="252"/>
      <c r="ALM30" s="252"/>
      <c r="ALN30" s="252"/>
      <c r="ALO30" s="252"/>
      <c r="ALP30" s="252"/>
      <c r="ALQ30" s="252"/>
      <c r="ALR30" s="252"/>
      <c r="ALS30" s="252"/>
    </row>
    <row r="31" spans="1:1007" s="3" customFormat="1" x14ac:dyDescent="0.2">
      <c r="A31" s="369" t="s">
        <v>297</v>
      </c>
      <c r="B31" s="380"/>
      <c r="C31" s="382"/>
      <c r="D31" s="380">
        <v>1.9</v>
      </c>
      <c r="E31" s="729"/>
      <c r="F31" s="730"/>
      <c r="G31" s="730"/>
      <c r="H31" s="730"/>
      <c r="I31" s="730"/>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252"/>
      <c r="BA31" s="252"/>
      <c r="BB31" s="252"/>
      <c r="BC31" s="252"/>
      <c r="BD31" s="252"/>
      <c r="BE31" s="252"/>
      <c r="BF31" s="252"/>
      <c r="BG31" s="252"/>
      <c r="BH31" s="252"/>
      <c r="BI31" s="252"/>
      <c r="BJ31" s="252"/>
      <c r="BK31" s="252"/>
      <c r="BL31" s="252"/>
      <c r="BM31" s="252"/>
      <c r="BN31" s="252"/>
      <c r="BO31" s="252"/>
      <c r="BP31" s="252"/>
      <c r="BQ31" s="252"/>
      <c r="BR31" s="252"/>
      <c r="BS31" s="252"/>
      <c r="BT31" s="252"/>
      <c r="BU31" s="252"/>
      <c r="BV31" s="252"/>
      <c r="BW31" s="252"/>
      <c r="BX31" s="252"/>
      <c r="BY31" s="252"/>
      <c r="BZ31" s="252"/>
      <c r="CA31" s="252"/>
      <c r="CB31" s="252"/>
      <c r="CC31" s="252"/>
      <c r="CD31" s="252"/>
      <c r="CE31" s="252"/>
      <c r="CF31" s="252"/>
      <c r="CG31" s="252"/>
      <c r="CH31" s="252"/>
      <c r="CI31" s="252"/>
      <c r="CJ31" s="252"/>
      <c r="CK31" s="252"/>
      <c r="CL31" s="252"/>
      <c r="CM31" s="252"/>
      <c r="CN31" s="252"/>
      <c r="CO31" s="252"/>
      <c r="CP31" s="252"/>
      <c r="CQ31" s="252"/>
      <c r="CR31" s="252"/>
      <c r="CS31" s="252"/>
      <c r="CT31" s="252"/>
      <c r="CU31" s="252"/>
      <c r="CV31" s="252"/>
      <c r="CW31" s="252"/>
      <c r="CX31" s="252"/>
      <c r="CY31" s="252"/>
      <c r="CZ31" s="252"/>
      <c r="DA31" s="252"/>
      <c r="DB31" s="252"/>
      <c r="DC31" s="252"/>
      <c r="DD31" s="252"/>
      <c r="DE31" s="252"/>
      <c r="DF31" s="252"/>
      <c r="DG31" s="252"/>
      <c r="DH31" s="252"/>
      <c r="DI31" s="252"/>
      <c r="DJ31" s="252"/>
      <c r="DK31" s="252"/>
      <c r="DL31" s="252"/>
      <c r="DM31" s="252"/>
      <c r="DN31" s="252"/>
      <c r="DO31" s="252"/>
      <c r="DP31" s="252"/>
      <c r="DQ31" s="252"/>
      <c r="DR31" s="252"/>
      <c r="DS31" s="252"/>
      <c r="DT31" s="252"/>
      <c r="DU31" s="252"/>
      <c r="DV31" s="252"/>
      <c r="DW31" s="252"/>
      <c r="DX31" s="252"/>
      <c r="DY31" s="252"/>
      <c r="DZ31" s="252"/>
      <c r="EA31" s="252"/>
      <c r="EB31" s="252"/>
      <c r="EC31" s="252"/>
      <c r="ED31" s="252"/>
      <c r="EE31" s="252"/>
      <c r="EF31" s="252"/>
      <c r="EG31" s="252"/>
      <c r="EH31" s="252"/>
      <c r="EI31" s="252"/>
      <c r="EJ31" s="252"/>
      <c r="EK31" s="252"/>
      <c r="EL31" s="252"/>
      <c r="EM31" s="252"/>
      <c r="EN31" s="252"/>
      <c r="EO31" s="252"/>
      <c r="EP31" s="252"/>
      <c r="EQ31" s="252"/>
      <c r="ER31" s="252"/>
      <c r="ES31" s="252"/>
      <c r="ET31" s="252"/>
      <c r="EU31" s="252"/>
      <c r="EV31" s="252"/>
      <c r="EW31" s="252"/>
      <c r="EX31" s="252"/>
      <c r="EY31" s="252"/>
      <c r="EZ31" s="252"/>
      <c r="FA31" s="252"/>
      <c r="FB31" s="252"/>
      <c r="FC31" s="252"/>
      <c r="FD31" s="252"/>
      <c r="FE31" s="252"/>
      <c r="FF31" s="252"/>
      <c r="FG31" s="252"/>
      <c r="FH31" s="252"/>
      <c r="FI31" s="252"/>
      <c r="FJ31" s="252"/>
      <c r="FK31" s="252"/>
      <c r="FL31" s="252"/>
      <c r="FM31" s="252"/>
      <c r="FN31" s="252"/>
      <c r="FO31" s="252"/>
      <c r="FP31" s="252"/>
      <c r="FQ31" s="252"/>
      <c r="FR31" s="252"/>
      <c r="FS31" s="252"/>
      <c r="FT31" s="252"/>
      <c r="FU31" s="252"/>
      <c r="FV31" s="252"/>
      <c r="FW31" s="252"/>
      <c r="FX31" s="252"/>
      <c r="FY31" s="252"/>
      <c r="FZ31" s="252"/>
      <c r="GA31" s="252"/>
      <c r="GB31" s="252"/>
      <c r="GC31" s="252"/>
      <c r="GD31" s="252"/>
      <c r="GE31" s="252"/>
      <c r="GF31" s="252"/>
      <c r="GG31" s="252"/>
      <c r="GH31" s="252"/>
      <c r="GI31" s="252"/>
      <c r="GJ31" s="252"/>
      <c r="GK31" s="252"/>
      <c r="GL31" s="252"/>
      <c r="GM31" s="252"/>
      <c r="GN31" s="252"/>
      <c r="GO31" s="252"/>
      <c r="GP31" s="252"/>
      <c r="GQ31" s="252"/>
      <c r="GR31" s="252"/>
      <c r="GS31" s="252"/>
      <c r="GT31" s="252"/>
      <c r="GU31" s="252"/>
      <c r="GV31" s="252"/>
      <c r="GW31" s="252"/>
      <c r="GX31" s="252"/>
      <c r="GY31" s="252"/>
      <c r="GZ31" s="252"/>
      <c r="HA31" s="252"/>
      <c r="HB31" s="252"/>
      <c r="HC31" s="252"/>
      <c r="HD31" s="252"/>
      <c r="HE31" s="252"/>
      <c r="HF31" s="252"/>
      <c r="HG31" s="252"/>
      <c r="HH31" s="252"/>
      <c r="HI31" s="252"/>
      <c r="HJ31" s="252"/>
      <c r="HK31" s="252"/>
      <c r="HL31" s="252"/>
      <c r="HM31" s="252"/>
      <c r="HN31" s="252"/>
      <c r="HO31" s="252"/>
      <c r="HP31" s="252"/>
      <c r="HQ31" s="252"/>
      <c r="HR31" s="252"/>
      <c r="HS31" s="252"/>
      <c r="HT31" s="252"/>
      <c r="HU31" s="252"/>
      <c r="HV31" s="252"/>
      <c r="HW31" s="252"/>
      <c r="HX31" s="252"/>
      <c r="HY31" s="252"/>
      <c r="HZ31" s="252"/>
      <c r="IA31" s="252"/>
      <c r="IB31" s="252"/>
      <c r="IC31" s="252"/>
      <c r="ID31" s="252"/>
      <c r="IE31" s="252"/>
      <c r="IF31" s="252"/>
      <c r="IG31" s="252"/>
      <c r="IH31" s="252"/>
      <c r="II31" s="252"/>
      <c r="IJ31" s="252"/>
      <c r="IK31" s="252"/>
      <c r="IL31" s="252"/>
      <c r="IM31" s="252"/>
      <c r="IN31" s="252"/>
      <c r="IO31" s="252"/>
      <c r="IP31" s="252"/>
      <c r="IQ31" s="252"/>
      <c r="IR31" s="252"/>
      <c r="IS31" s="252"/>
      <c r="IT31" s="252"/>
      <c r="IU31" s="252"/>
      <c r="IV31" s="252"/>
      <c r="IW31" s="252"/>
      <c r="IX31" s="252"/>
      <c r="IY31" s="252"/>
      <c r="IZ31" s="252"/>
      <c r="JA31" s="252"/>
      <c r="JB31" s="252"/>
      <c r="JC31" s="252"/>
      <c r="JD31" s="252"/>
      <c r="JE31" s="252"/>
      <c r="JF31" s="252"/>
      <c r="JG31" s="252"/>
      <c r="JH31" s="252"/>
      <c r="JI31" s="252"/>
      <c r="JJ31" s="252"/>
      <c r="JK31" s="252"/>
      <c r="JL31" s="252"/>
      <c r="JM31" s="252"/>
      <c r="JN31" s="252"/>
      <c r="JO31" s="252"/>
      <c r="JP31" s="252"/>
      <c r="JQ31" s="252"/>
      <c r="JR31" s="252"/>
      <c r="JS31" s="252"/>
      <c r="JT31" s="252"/>
      <c r="JU31" s="252"/>
      <c r="JV31" s="252"/>
      <c r="JW31" s="252"/>
      <c r="JX31" s="252"/>
      <c r="JY31" s="252"/>
      <c r="JZ31" s="252"/>
      <c r="KA31" s="252"/>
      <c r="KB31" s="252"/>
      <c r="KC31" s="252"/>
      <c r="KD31" s="252"/>
      <c r="KE31" s="252"/>
      <c r="KF31" s="252"/>
      <c r="KG31" s="252"/>
      <c r="KH31" s="252"/>
      <c r="KI31" s="252"/>
      <c r="KJ31" s="252"/>
      <c r="KK31" s="252"/>
      <c r="KL31" s="252"/>
      <c r="KM31" s="252"/>
      <c r="KN31" s="252"/>
      <c r="KO31" s="252"/>
      <c r="KP31" s="252"/>
      <c r="KQ31" s="252"/>
      <c r="KR31" s="252"/>
      <c r="KS31" s="252"/>
      <c r="KT31" s="252"/>
      <c r="KU31" s="252"/>
      <c r="KV31" s="252"/>
      <c r="KW31" s="252"/>
      <c r="KX31" s="252"/>
      <c r="KY31" s="252"/>
      <c r="KZ31" s="252"/>
      <c r="LA31" s="252"/>
      <c r="LB31" s="252"/>
      <c r="LC31" s="252"/>
      <c r="LD31" s="252"/>
      <c r="LE31" s="252"/>
      <c r="LF31" s="252"/>
      <c r="LG31" s="252"/>
      <c r="LH31" s="252"/>
      <c r="LI31" s="252"/>
      <c r="LJ31" s="252"/>
      <c r="LK31" s="252"/>
      <c r="LL31" s="252"/>
      <c r="LM31" s="252"/>
      <c r="LN31" s="252"/>
      <c r="LO31" s="252"/>
      <c r="LP31" s="252"/>
      <c r="LQ31" s="252"/>
      <c r="LR31" s="252"/>
      <c r="LS31" s="252"/>
      <c r="LT31" s="252"/>
      <c r="LU31" s="252"/>
      <c r="LV31" s="252"/>
      <c r="LW31" s="252"/>
      <c r="LX31" s="252"/>
      <c r="LY31" s="252"/>
      <c r="LZ31" s="252"/>
      <c r="MA31" s="252"/>
      <c r="MB31" s="252"/>
      <c r="MC31" s="252"/>
      <c r="MD31" s="252"/>
      <c r="ME31" s="252"/>
      <c r="MF31" s="252"/>
      <c r="MG31" s="252"/>
      <c r="MH31" s="252"/>
      <c r="MI31" s="252"/>
      <c r="MJ31" s="252"/>
      <c r="MK31" s="252"/>
      <c r="ML31" s="252"/>
      <c r="MM31" s="252"/>
      <c r="MN31" s="252"/>
      <c r="MO31" s="252"/>
      <c r="MP31" s="252"/>
      <c r="MQ31" s="252"/>
      <c r="MR31" s="252"/>
      <c r="MS31" s="252"/>
      <c r="MT31" s="252"/>
      <c r="MU31" s="252"/>
      <c r="MV31" s="252"/>
      <c r="MW31" s="252"/>
      <c r="MX31" s="252"/>
      <c r="MY31" s="252"/>
      <c r="MZ31" s="252"/>
      <c r="NA31" s="252"/>
      <c r="NB31" s="252"/>
      <c r="NC31" s="252"/>
      <c r="ND31" s="252"/>
      <c r="NE31" s="252"/>
      <c r="NF31" s="252"/>
      <c r="NG31" s="252"/>
      <c r="NH31" s="252"/>
      <c r="NI31" s="252"/>
      <c r="NJ31" s="252"/>
      <c r="NK31" s="252"/>
      <c r="NL31" s="252"/>
      <c r="NM31" s="252"/>
      <c r="NN31" s="252"/>
      <c r="NO31" s="252"/>
      <c r="NP31" s="252"/>
      <c r="NQ31" s="252"/>
      <c r="NR31" s="252"/>
      <c r="NS31" s="252"/>
      <c r="NT31" s="252"/>
      <c r="NU31" s="252"/>
      <c r="NV31" s="252"/>
      <c r="NW31" s="252"/>
      <c r="NX31" s="252"/>
      <c r="NY31" s="252"/>
      <c r="NZ31" s="252"/>
      <c r="OA31" s="252"/>
      <c r="OB31" s="252"/>
      <c r="OC31" s="252"/>
      <c r="OD31" s="252"/>
      <c r="OE31" s="252"/>
      <c r="OF31" s="252"/>
      <c r="OG31" s="252"/>
      <c r="OH31" s="252"/>
      <c r="OI31" s="252"/>
      <c r="OJ31" s="252"/>
      <c r="OK31" s="252"/>
      <c r="OL31" s="252"/>
      <c r="OM31" s="252"/>
      <c r="ON31" s="252"/>
      <c r="OO31" s="252"/>
      <c r="OP31" s="252"/>
      <c r="OQ31" s="252"/>
      <c r="OR31" s="252"/>
      <c r="OS31" s="252"/>
      <c r="OT31" s="252"/>
      <c r="OU31" s="252"/>
      <c r="OV31" s="252"/>
      <c r="OW31" s="252"/>
      <c r="OX31" s="252"/>
      <c r="OY31" s="252"/>
      <c r="OZ31" s="252"/>
      <c r="PA31" s="252"/>
      <c r="PB31" s="252"/>
      <c r="PC31" s="252"/>
      <c r="PD31" s="252"/>
      <c r="PE31" s="252"/>
      <c r="PF31" s="252"/>
      <c r="PG31" s="252"/>
      <c r="PH31" s="252"/>
      <c r="PI31" s="252"/>
      <c r="PJ31" s="252"/>
      <c r="PK31" s="252"/>
      <c r="PL31" s="252"/>
      <c r="PM31" s="252"/>
      <c r="PN31" s="252"/>
      <c r="PO31" s="252"/>
      <c r="PP31" s="252"/>
      <c r="PQ31" s="252"/>
      <c r="PR31" s="252"/>
      <c r="PS31" s="252"/>
      <c r="PT31" s="252"/>
      <c r="PU31" s="252"/>
      <c r="PV31" s="252"/>
      <c r="PW31" s="252"/>
      <c r="PX31" s="252"/>
      <c r="PY31" s="252"/>
      <c r="PZ31" s="252"/>
      <c r="QA31" s="252"/>
      <c r="QB31" s="252"/>
      <c r="QC31" s="252"/>
      <c r="QD31" s="252"/>
      <c r="QE31" s="252"/>
      <c r="QF31" s="252"/>
      <c r="QG31" s="252"/>
      <c r="QH31" s="252"/>
      <c r="QI31" s="252"/>
      <c r="QJ31" s="252"/>
      <c r="QK31" s="252"/>
      <c r="QL31" s="252"/>
      <c r="QM31" s="252"/>
      <c r="QN31" s="252"/>
      <c r="QO31" s="252"/>
      <c r="QP31" s="252"/>
      <c r="QQ31" s="252"/>
      <c r="QR31" s="252"/>
      <c r="QS31" s="252"/>
      <c r="QT31" s="252"/>
      <c r="QU31" s="252"/>
      <c r="QV31" s="252"/>
      <c r="QW31" s="252"/>
      <c r="QX31" s="252"/>
      <c r="QY31" s="252"/>
      <c r="QZ31" s="252"/>
      <c r="RA31" s="252"/>
      <c r="RB31" s="252"/>
      <c r="RC31" s="252"/>
      <c r="RD31" s="252"/>
      <c r="RE31" s="252"/>
      <c r="RF31" s="252"/>
      <c r="RG31" s="252"/>
      <c r="RH31" s="252"/>
      <c r="RI31" s="252"/>
      <c r="RJ31" s="252"/>
      <c r="RK31" s="252"/>
      <c r="RL31" s="252"/>
      <c r="RM31" s="252"/>
      <c r="RN31" s="252"/>
      <c r="RO31" s="252"/>
      <c r="RP31" s="252"/>
      <c r="RQ31" s="252"/>
      <c r="RR31" s="252"/>
      <c r="RS31" s="252"/>
      <c r="RT31" s="252"/>
      <c r="RU31" s="252"/>
      <c r="RV31" s="252"/>
      <c r="RW31" s="252"/>
      <c r="RX31" s="252"/>
      <c r="RY31" s="252"/>
      <c r="RZ31" s="252"/>
      <c r="SA31" s="252"/>
      <c r="SB31" s="252"/>
      <c r="SC31" s="252"/>
      <c r="SD31" s="252"/>
      <c r="SE31" s="252"/>
      <c r="SF31" s="252"/>
      <c r="SG31" s="252"/>
      <c r="SH31" s="252"/>
      <c r="SI31" s="252"/>
      <c r="SJ31" s="252"/>
      <c r="SK31" s="252"/>
      <c r="SL31" s="252"/>
      <c r="SM31" s="252"/>
      <c r="SN31" s="252"/>
      <c r="SO31" s="252"/>
      <c r="SP31" s="252"/>
      <c r="SQ31" s="252"/>
      <c r="SR31" s="252"/>
      <c r="SS31" s="252"/>
      <c r="ST31" s="252"/>
      <c r="SU31" s="252"/>
      <c r="SV31" s="252"/>
      <c r="SW31" s="252"/>
      <c r="SX31" s="252"/>
      <c r="SY31" s="252"/>
      <c r="SZ31" s="252"/>
      <c r="TA31" s="252"/>
      <c r="TB31" s="252"/>
      <c r="TC31" s="252"/>
      <c r="TD31" s="252"/>
      <c r="TE31" s="252"/>
      <c r="TF31" s="252"/>
      <c r="TG31" s="252"/>
      <c r="TH31" s="252"/>
      <c r="TI31" s="252"/>
      <c r="TJ31" s="252"/>
      <c r="TK31" s="252"/>
      <c r="TL31" s="252"/>
      <c r="TM31" s="252"/>
      <c r="TN31" s="252"/>
      <c r="TO31" s="252"/>
      <c r="TP31" s="252"/>
      <c r="TQ31" s="252"/>
      <c r="TR31" s="252"/>
      <c r="TS31" s="252"/>
      <c r="TT31" s="252"/>
      <c r="TU31" s="252"/>
      <c r="TV31" s="252"/>
      <c r="TW31" s="252"/>
      <c r="TX31" s="252"/>
      <c r="TY31" s="252"/>
      <c r="TZ31" s="252"/>
      <c r="UA31" s="252"/>
      <c r="UB31" s="252"/>
      <c r="UC31" s="252"/>
      <c r="UD31" s="252"/>
      <c r="UE31" s="252"/>
      <c r="UF31" s="252"/>
      <c r="UG31" s="252"/>
      <c r="UH31" s="252"/>
      <c r="UI31" s="252"/>
      <c r="UJ31" s="252"/>
      <c r="UK31" s="252"/>
      <c r="UL31" s="252"/>
      <c r="UM31" s="252"/>
      <c r="UN31" s="252"/>
      <c r="UO31" s="252"/>
      <c r="UP31" s="252"/>
      <c r="UQ31" s="252"/>
      <c r="UR31" s="252"/>
      <c r="US31" s="252"/>
      <c r="UT31" s="252"/>
      <c r="UU31" s="252"/>
      <c r="UV31" s="252"/>
      <c r="UW31" s="252"/>
      <c r="UX31" s="252"/>
      <c r="UY31" s="252"/>
      <c r="UZ31" s="252"/>
      <c r="VA31" s="252"/>
      <c r="VB31" s="252"/>
      <c r="VC31" s="252"/>
      <c r="VD31" s="252"/>
      <c r="VE31" s="252"/>
      <c r="VF31" s="252"/>
      <c r="VG31" s="252"/>
      <c r="VH31" s="252"/>
      <c r="VI31" s="252"/>
      <c r="VJ31" s="252"/>
      <c r="VK31" s="252"/>
      <c r="VL31" s="252"/>
      <c r="VM31" s="252"/>
      <c r="VN31" s="252"/>
      <c r="VO31" s="252"/>
      <c r="VP31" s="252"/>
      <c r="VQ31" s="252"/>
      <c r="VR31" s="252"/>
      <c r="VS31" s="252"/>
      <c r="VT31" s="252"/>
      <c r="VU31" s="252"/>
      <c r="VV31" s="252"/>
      <c r="VW31" s="252"/>
      <c r="VX31" s="252"/>
      <c r="VY31" s="252"/>
      <c r="VZ31" s="252"/>
      <c r="WA31" s="252"/>
      <c r="WB31" s="252"/>
      <c r="WC31" s="252"/>
      <c r="WD31" s="252"/>
      <c r="WE31" s="252"/>
      <c r="WF31" s="252"/>
      <c r="WG31" s="252"/>
      <c r="WH31" s="252"/>
      <c r="WI31" s="252"/>
      <c r="WJ31" s="252"/>
      <c r="WK31" s="252"/>
      <c r="WL31" s="252"/>
      <c r="WM31" s="252"/>
      <c r="WN31" s="252"/>
      <c r="WO31" s="252"/>
      <c r="WP31" s="252"/>
      <c r="WQ31" s="252"/>
      <c r="WR31" s="252"/>
      <c r="WS31" s="252"/>
      <c r="WT31" s="252"/>
      <c r="WU31" s="252"/>
      <c r="WV31" s="252"/>
      <c r="WW31" s="252"/>
      <c r="WX31" s="252"/>
      <c r="WY31" s="252"/>
      <c r="WZ31" s="252"/>
      <c r="XA31" s="252"/>
      <c r="XB31" s="252"/>
      <c r="XC31" s="252"/>
      <c r="XD31" s="252"/>
      <c r="XE31" s="252"/>
      <c r="XF31" s="252"/>
      <c r="XG31" s="252"/>
      <c r="XH31" s="252"/>
      <c r="XI31" s="252"/>
      <c r="XJ31" s="252"/>
      <c r="XK31" s="252"/>
      <c r="XL31" s="252"/>
      <c r="XM31" s="252"/>
      <c r="XN31" s="252"/>
      <c r="XO31" s="252"/>
      <c r="XP31" s="252"/>
      <c r="XQ31" s="252"/>
      <c r="XR31" s="252"/>
      <c r="XS31" s="252"/>
      <c r="XT31" s="252"/>
      <c r="XU31" s="252"/>
      <c r="XV31" s="252"/>
      <c r="XW31" s="252"/>
      <c r="XX31" s="252"/>
      <c r="XY31" s="252"/>
      <c r="XZ31" s="252"/>
      <c r="YA31" s="252"/>
      <c r="YB31" s="252"/>
      <c r="YC31" s="252"/>
      <c r="YD31" s="252"/>
      <c r="YE31" s="252"/>
      <c r="YF31" s="252"/>
      <c r="YG31" s="252"/>
      <c r="YH31" s="252"/>
      <c r="YI31" s="252"/>
      <c r="YJ31" s="252"/>
      <c r="YK31" s="252"/>
      <c r="YL31" s="252"/>
      <c r="YM31" s="252"/>
      <c r="YN31" s="252"/>
      <c r="YO31" s="252"/>
      <c r="YP31" s="252"/>
      <c r="YQ31" s="252"/>
      <c r="YR31" s="252"/>
      <c r="YS31" s="252"/>
      <c r="YT31" s="252"/>
      <c r="YU31" s="252"/>
      <c r="YV31" s="252"/>
      <c r="YW31" s="252"/>
      <c r="YX31" s="252"/>
      <c r="YY31" s="252"/>
      <c r="YZ31" s="252"/>
      <c r="ZA31" s="252"/>
      <c r="ZB31" s="252"/>
      <c r="ZC31" s="252"/>
      <c r="ZD31" s="252"/>
      <c r="ZE31" s="252"/>
      <c r="ZF31" s="252"/>
      <c r="ZG31" s="252"/>
      <c r="ZH31" s="252"/>
      <c r="ZI31" s="252"/>
      <c r="ZJ31" s="252"/>
      <c r="ZK31" s="252"/>
      <c r="ZL31" s="252"/>
      <c r="ZM31" s="252"/>
      <c r="ZN31" s="252"/>
      <c r="ZO31" s="252"/>
      <c r="ZP31" s="252"/>
      <c r="ZQ31" s="252"/>
      <c r="ZR31" s="252"/>
      <c r="ZS31" s="252"/>
      <c r="ZT31" s="252"/>
      <c r="ZU31" s="252"/>
      <c r="ZV31" s="252"/>
      <c r="ZW31" s="252"/>
      <c r="ZX31" s="252"/>
      <c r="ZY31" s="252"/>
      <c r="ZZ31" s="252"/>
      <c r="AAA31" s="252"/>
      <c r="AAB31" s="252"/>
      <c r="AAC31" s="252"/>
      <c r="AAD31" s="252"/>
      <c r="AAE31" s="252"/>
      <c r="AAF31" s="252"/>
      <c r="AAG31" s="252"/>
      <c r="AAH31" s="252"/>
      <c r="AAI31" s="252"/>
      <c r="AAJ31" s="252"/>
      <c r="AAK31" s="252"/>
      <c r="AAL31" s="252"/>
      <c r="AAM31" s="252"/>
      <c r="AAN31" s="252"/>
      <c r="AAO31" s="252"/>
      <c r="AAP31" s="252"/>
      <c r="AAQ31" s="252"/>
      <c r="AAR31" s="252"/>
      <c r="AAS31" s="252"/>
      <c r="AAT31" s="252"/>
      <c r="AAU31" s="252"/>
      <c r="AAV31" s="252"/>
      <c r="AAW31" s="252"/>
      <c r="AAX31" s="252"/>
      <c r="AAY31" s="252"/>
      <c r="AAZ31" s="252"/>
      <c r="ABA31" s="252"/>
      <c r="ABB31" s="252"/>
      <c r="ABC31" s="252"/>
      <c r="ABD31" s="252"/>
      <c r="ABE31" s="252"/>
      <c r="ABF31" s="252"/>
      <c r="ABG31" s="252"/>
      <c r="ABH31" s="252"/>
      <c r="ABI31" s="252"/>
      <c r="ABJ31" s="252"/>
      <c r="ABK31" s="252"/>
      <c r="ABL31" s="252"/>
      <c r="ABM31" s="252"/>
      <c r="ABN31" s="252"/>
      <c r="ABO31" s="252"/>
      <c r="ABP31" s="252"/>
      <c r="ABQ31" s="252"/>
      <c r="ABR31" s="252"/>
      <c r="ABS31" s="252"/>
      <c r="ABT31" s="252"/>
      <c r="ABU31" s="252"/>
      <c r="ABV31" s="252"/>
      <c r="ABW31" s="252"/>
      <c r="ABX31" s="252"/>
      <c r="ABY31" s="252"/>
      <c r="ABZ31" s="252"/>
      <c r="ACA31" s="252"/>
      <c r="ACB31" s="252"/>
      <c r="ACC31" s="252"/>
      <c r="ACD31" s="252"/>
      <c r="ACE31" s="252"/>
      <c r="ACF31" s="252"/>
      <c r="ACG31" s="252"/>
      <c r="ACH31" s="252"/>
      <c r="ACI31" s="252"/>
      <c r="ACJ31" s="252"/>
      <c r="ACK31" s="252"/>
      <c r="ACL31" s="252"/>
      <c r="ACM31" s="252"/>
      <c r="ACN31" s="252"/>
      <c r="ACO31" s="252"/>
      <c r="ACP31" s="252"/>
      <c r="ACQ31" s="252"/>
      <c r="ACR31" s="252"/>
      <c r="ACS31" s="252"/>
      <c r="ACT31" s="252"/>
      <c r="ACU31" s="252"/>
      <c r="ACV31" s="252"/>
      <c r="ACW31" s="252"/>
      <c r="ACX31" s="252"/>
      <c r="ACY31" s="252"/>
      <c r="ACZ31" s="252"/>
      <c r="ADA31" s="252"/>
      <c r="ADB31" s="252"/>
      <c r="ADC31" s="252"/>
      <c r="ADD31" s="252"/>
      <c r="ADE31" s="252"/>
      <c r="ADF31" s="252"/>
      <c r="ADG31" s="252"/>
      <c r="ADH31" s="252"/>
      <c r="ADI31" s="252"/>
      <c r="ADJ31" s="252"/>
      <c r="ADK31" s="252"/>
      <c r="ADL31" s="252"/>
      <c r="ADM31" s="252"/>
      <c r="ADN31" s="252"/>
      <c r="ADO31" s="252"/>
      <c r="ADP31" s="252"/>
      <c r="ADQ31" s="252"/>
      <c r="ADR31" s="252"/>
      <c r="ADS31" s="252"/>
      <c r="ADT31" s="252"/>
      <c r="ADU31" s="252"/>
      <c r="ADV31" s="252"/>
      <c r="ADW31" s="252"/>
      <c r="ADX31" s="252"/>
      <c r="ADY31" s="252"/>
      <c r="ADZ31" s="252"/>
      <c r="AEA31" s="252"/>
      <c r="AEB31" s="252"/>
      <c r="AEC31" s="252"/>
      <c r="AED31" s="252"/>
      <c r="AEE31" s="252"/>
      <c r="AEF31" s="252"/>
      <c r="AEG31" s="252"/>
      <c r="AEH31" s="252"/>
      <c r="AEI31" s="252"/>
      <c r="AEJ31" s="252"/>
      <c r="AEK31" s="252"/>
      <c r="AEL31" s="252"/>
      <c r="AEM31" s="252"/>
      <c r="AEN31" s="252"/>
      <c r="AEO31" s="252"/>
      <c r="AEP31" s="252"/>
      <c r="AEQ31" s="252"/>
      <c r="AER31" s="252"/>
      <c r="AES31" s="252"/>
      <c r="AET31" s="252"/>
      <c r="AEU31" s="252"/>
      <c r="AEV31" s="252"/>
      <c r="AEW31" s="252"/>
      <c r="AEX31" s="252"/>
      <c r="AEY31" s="252"/>
      <c r="AEZ31" s="252"/>
      <c r="AFA31" s="252"/>
      <c r="AFB31" s="252"/>
      <c r="AFC31" s="252"/>
      <c r="AFD31" s="252"/>
      <c r="AFE31" s="252"/>
      <c r="AFF31" s="252"/>
      <c r="AFG31" s="252"/>
      <c r="AFH31" s="252"/>
      <c r="AFI31" s="252"/>
      <c r="AFJ31" s="252"/>
      <c r="AFK31" s="252"/>
      <c r="AFL31" s="252"/>
      <c r="AFM31" s="252"/>
      <c r="AFN31" s="252"/>
      <c r="AFO31" s="252"/>
      <c r="AFP31" s="252"/>
      <c r="AFQ31" s="252"/>
      <c r="AFR31" s="252"/>
      <c r="AFS31" s="252"/>
      <c r="AFT31" s="252"/>
      <c r="AFU31" s="252"/>
      <c r="AFV31" s="252"/>
      <c r="AFW31" s="252"/>
      <c r="AFX31" s="252"/>
      <c r="AFY31" s="252"/>
      <c r="AFZ31" s="252"/>
      <c r="AGA31" s="252"/>
      <c r="AGB31" s="252"/>
      <c r="AGC31" s="252"/>
      <c r="AGD31" s="252"/>
      <c r="AGE31" s="252"/>
      <c r="AGF31" s="252"/>
      <c r="AGG31" s="252"/>
      <c r="AGH31" s="252"/>
      <c r="AGI31" s="252"/>
      <c r="AGJ31" s="252"/>
      <c r="AGK31" s="252"/>
      <c r="AGL31" s="252"/>
      <c r="AGM31" s="252"/>
      <c r="AGN31" s="252"/>
      <c r="AGO31" s="252"/>
      <c r="AGP31" s="252"/>
      <c r="AGQ31" s="252"/>
      <c r="AGR31" s="252"/>
      <c r="AGS31" s="252"/>
      <c r="AGT31" s="252"/>
      <c r="AGU31" s="252"/>
      <c r="AGV31" s="252"/>
      <c r="AGW31" s="252"/>
      <c r="AGX31" s="252"/>
      <c r="AGY31" s="252"/>
      <c r="AGZ31" s="252"/>
      <c r="AHA31" s="252"/>
      <c r="AHB31" s="252"/>
      <c r="AHC31" s="252"/>
      <c r="AHD31" s="252"/>
      <c r="AHE31" s="252"/>
      <c r="AHF31" s="252"/>
      <c r="AHG31" s="252"/>
      <c r="AHH31" s="252"/>
      <c r="AHI31" s="252"/>
      <c r="AHJ31" s="252"/>
      <c r="AHK31" s="252"/>
      <c r="AHL31" s="252"/>
      <c r="AHM31" s="252"/>
      <c r="AHN31" s="252"/>
      <c r="AHO31" s="252"/>
      <c r="AHP31" s="252"/>
      <c r="AHQ31" s="252"/>
      <c r="AHR31" s="252"/>
      <c r="AHS31" s="252"/>
      <c r="AHT31" s="252"/>
      <c r="AHU31" s="252"/>
      <c r="AHV31" s="252"/>
      <c r="AHW31" s="252"/>
      <c r="AHX31" s="252"/>
      <c r="AHY31" s="252"/>
      <c r="AHZ31" s="252"/>
      <c r="AIA31" s="252"/>
      <c r="AIB31" s="252"/>
      <c r="AIC31" s="252"/>
      <c r="AID31" s="252"/>
      <c r="AIE31" s="252"/>
      <c r="AIF31" s="252"/>
      <c r="AIG31" s="252"/>
      <c r="AIH31" s="252"/>
      <c r="AII31" s="252"/>
      <c r="AIJ31" s="252"/>
      <c r="AIK31" s="252"/>
      <c r="AIL31" s="252"/>
      <c r="AIM31" s="252"/>
      <c r="AIN31" s="252"/>
      <c r="AIO31" s="252"/>
      <c r="AIP31" s="252"/>
      <c r="AIQ31" s="252"/>
      <c r="AIR31" s="252"/>
      <c r="AIS31" s="252"/>
      <c r="AIT31" s="252"/>
      <c r="AIU31" s="252"/>
      <c r="AIV31" s="252"/>
      <c r="AIW31" s="252"/>
      <c r="AIX31" s="252"/>
      <c r="AIY31" s="252"/>
      <c r="AIZ31" s="252"/>
      <c r="AJA31" s="252"/>
      <c r="AJB31" s="252"/>
      <c r="AJC31" s="252"/>
      <c r="AJD31" s="252"/>
      <c r="AJE31" s="252"/>
      <c r="AJF31" s="252"/>
      <c r="AJG31" s="252"/>
      <c r="AJH31" s="252"/>
      <c r="AJI31" s="252"/>
      <c r="AJJ31" s="252"/>
      <c r="AJK31" s="252"/>
      <c r="AJL31" s="252"/>
      <c r="AJM31" s="252"/>
      <c r="AJN31" s="252"/>
      <c r="AJO31" s="252"/>
      <c r="AJP31" s="252"/>
      <c r="AJQ31" s="252"/>
      <c r="AJR31" s="252"/>
      <c r="AJS31" s="252"/>
      <c r="AJT31" s="252"/>
      <c r="AJU31" s="252"/>
      <c r="AJV31" s="252"/>
      <c r="AJW31" s="252"/>
      <c r="AJX31" s="252"/>
      <c r="AJY31" s="252"/>
      <c r="AJZ31" s="252"/>
      <c r="AKA31" s="252"/>
      <c r="AKB31" s="252"/>
      <c r="AKC31" s="252"/>
      <c r="AKD31" s="252"/>
      <c r="AKE31" s="252"/>
      <c r="AKF31" s="252"/>
      <c r="AKG31" s="252"/>
      <c r="AKH31" s="252"/>
      <c r="AKI31" s="252"/>
      <c r="AKJ31" s="252"/>
      <c r="AKK31" s="252"/>
      <c r="AKL31" s="252"/>
      <c r="AKM31" s="252"/>
      <c r="AKN31" s="252"/>
      <c r="AKO31" s="252"/>
      <c r="AKP31" s="252"/>
      <c r="AKQ31" s="252"/>
      <c r="AKR31" s="252"/>
      <c r="AKS31" s="252"/>
      <c r="AKT31" s="252"/>
      <c r="AKU31" s="252"/>
      <c r="AKV31" s="252"/>
      <c r="AKW31" s="252"/>
      <c r="AKX31" s="252"/>
      <c r="AKY31" s="252"/>
      <c r="AKZ31" s="252"/>
      <c r="ALA31" s="252"/>
      <c r="ALB31" s="252"/>
      <c r="ALC31" s="252"/>
      <c r="ALD31" s="252"/>
      <c r="ALE31" s="252"/>
      <c r="ALF31" s="252"/>
      <c r="ALG31" s="252"/>
      <c r="ALH31" s="252"/>
      <c r="ALI31" s="252"/>
      <c r="ALJ31" s="252"/>
      <c r="ALK31" s="252"/>
      <c r="ALL31" s="252"/>
      <c r="ALM31" s="252"/>
      <c r="ALN31" s="252"/>
      <c r="ALO31" s="252"/>
      <c r="ALP31" s="252"/>
      <c r="ALQ31" s="252"/>
      <c r="ALR31" s="252"/>
      <c r="ALS31" s="252"/>
    </row>
    <row r="32" spans="1:1007" s="3" customFormat="1" x14ac:dyDescent="0.2">
      <c r="A32" s="369" t="s">
        <v>298</v>
      </c>
      <c r="B32" s="380"/>
      <c r="C32" s="382"/>
      <c r="D32" s="380">
        <v>1.9</v>
      </c>
      <c r="E32" s="729"/>
      <c r="F32" s="730"/>
      <c r="G32" s="730"/>
      <c r="H32" s="730"/>
      <c r="I32" s="730"/>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252"/>
      <c r="BI32" s="252"/>
      <c r="BJ32" s="252"/>
      <c r="BK32" s="252"/>
      <c r="BL32" s="252"/>
      <c r="BM32" s="252"/>
      <c r="BN32" s="252"/>
      <c r="BO32" s="252"/>
      <c r="BP32" s="252"/>
      <c r="BQ32" s="252"/>
      <c r="BR32" s="252"/>
      <c r="BS32" s="252"/>
      <c r="BT32" s="252"/>
      <c r="BU32" s="252"/>
      <c r="BV32" s="252"/>
      <c r="BW32" s="252"/>
      <c r="BX32" s="252"/>
      <c r="BY32" s="252"/>
      <c r="BZ32" s="252"/>
      <c r="CA32" s="252"/>
      <c r="CB32" s="252"/>
      <c r="CC32" s="252"/>
      <c r="CD32" s="252"/>
      <c r="CE32" s="252"/>
      <c r="CF32" s="252"/>
      <c r="CG32" s="252"/>
      <c r="CH32" s="252"/>
      <c r="CI32" s="252"/>
      <c r="CJ32" s="252"/>
      <c r="CK32" s="252"/>
      <c r="CL32" s="252"/>
      <c r="CM32" s="252"/>
      <c r="CN32" s="252"/>
      <c r="CO32" s="252"/>
      <c r="CP32" s="252"/>
      <c r="CQ32" s="252"/>
      <c r="CR32" s="252"/>
      <c r="CS32" s="252"/>
      <c r="CT32" s="252"/>
      <c r="CU32" s="252"/>
      <c r="CV32" s="252"/>
      <c r="CW32" s="252"/>
      <c r="CX32" s="252"/>
      <c r="CY32" s="252"/>
      <c r="CZ32" s="252"/>
      <c r="DA32" s="252"/>
      <c r="DB32" s="252"/>
      <c r="DC32" s="252"/>
      <c r="DD32" s="252"/>
      <c r="DE32" s="252"/>
      <c r="DF32" s="252"/>
      <c r="DG32" s="252"/>
      <c r="DH32" s="252"/>
      <c r="DI32" s="252"/>
      <c r="DJ32" s="252"/>
      <c r="DK32" s="252"/>
      <c r="DL32" s="252"/>
      <c r="DM32" s="252"/>
      <c r="DN32" s="252"/>
      <c r="DO32" s="252"/>
      <c r="DP32" s="252"/>
      <c r="DQ32" s="252"/>
      <c r="DR32" s="252"/>
      <c r="DS32" s="252"/>
      <c r="DT32" s="252"/>
      <c r="DU32" s="252"/>
      <c r="DV32" s="252"/>
      <c r="DW32" s="252"/>
      <c r="DX32" s="252"/>
      <c r="DY32" s="252"/>
      <c r="DZ32" s="252"/>
      <c r="EA32" s="252"/>
      <c r="EB32" s="252"/>
      <c r="EC32" s="252"/>
      <c r="ED32" s="252"/>
      <c r="EE32" s="252"/>
      <c r="EF32" s="252"/>
      <c r="EG32" s="252"/>
      <c r="EH32" s="252"/>
      <c r="EI32" s="252"/>
      <c r="EJ32" s="252"/>
      <c r="EK32" s="252"/>
      <c r="EL32" s="252"/>
      <c r="EM32" s="252"/>
      <c r="EN32" s="252"/>
      <c r="EO32" s="252"/>
      <c r="EP32" s="252"/>
      <c r="EQ32" s="252"/>
      <c r="ER32" s="252"/>
      <c r="ES32" s="252"/>
      <c r="ET32" s="252"/>
      <c r="EU32" s="252"/>
      <c r="EV32" s="252"/>
      <c r="EW32" s="252"/>
      <c r="EX32" s="252"/>
      <c r="EY32" s="252"/>
      <c r="EZ32" s="252"/>
      <c r="FA32" s="252"/>
      <c r="FB32" s="252"/>
      <c r="FC32" s="252"/>
      <c r="FD32" s="252"/>
      <c r="FE32" s="252"/>
      <c r="FF32" s="252"/>
      <c r="FG32" s="252"/>
      <c r="FH32" s="252"/>
      <c r="FI32" s="252"/>
      <c r="FJ32" s="252"/>
      <c r="FK32" s="252"/>
      <c r="FL32" s="252"/>
      <c r="FM32" s="252"/>
      <c r="FN32" s="252"/>
      <c r="FO32" s="252"/>
      <c r="FP32" s="252"/>
      <c r="FQ32" s="252"/>
      <c r="FR32" s="252"/>
      <c r="FS32" s="252"/>
      <c r="FT32" s="252"/>
      <c r="FU32" s="252"/>
      <c r="FV32" s="252"/>
      <c r="FW32" s="252"/>
      <c r="FX32" s="252"/>
      <c r="FY32" s="252"/>
      <c r="FZ32" s="252"/>
      <c r="GA32" s="252"/>
      <c r="GB32" s="252"/>
      <c r="GC32" s="252"/>
      <c r="GD32" s="252"/>
      <c r="GE32" s="252"/>
      <c r="GF32" s="252"/>
      <c r="GG32" s="252"/>
      <c r="GH32" s="252"/>
      <c r="GI32" s="252"/>
      <c r="GJ32" s="252"/>
      <c r="GK32" s="252"/>
      <c r="GL32" s="252"/>
      <c r="GM32" s="252"/>
      <c r="GN32" s="252"/>
      <c r="GO32" s="252"/>
      <c r="GP32" s="252"/>
      <c r="GQ32" s="252"/>
      <c r="GR32" s="252"/>
      <c r="GS32" s="252"/>
      <c r="GT32" s="252"/>
      <c r="GU32" s="252"/>
      <c r="GV32" s="252"/>
      <c r="GW32" s="252"/>
      <c r="GX32" s="252"/>
      <c r="GY32" s="252"/>
      <c r="GZ32" s="252"/>
      <c r="HA32" s="252"/>
      <c r="HB32" s="252"/>
      <c r="HC32" s="252"/>
      <c r="HD32" s="252"/>
      <c r="HE32" s="252"/>
      <c r="HF32" s="252"/>
      <c r="HG32" s="252"/>
      <c r="HH32" s="252"/>
      <c r="HI32" s="252"/>
      <c r="HJ32" s="252"/>
      <c r="HK32" s="252"/>
      <c r="HL32" s="252"/>
      <c r="HM32" s="252"/>
      <c r="HN32" s="252"/>
      <c r="HO32" s="252"/>
      <c r="HP32" s="252"/>
      <c r="HQ32" s="252"/>
      <c r="HR32" s="252"/>
      <c r="HS32" s="252"/>
      <c r="HT32" s="252"/>
      <c r="HU32" s="252"/>
      <c r="HV32" s="252"/>
      <c r="HW32" s="252"/>
      <c r="HX32" s="252"/>
      <c r="HY32" s="252"/>
      <c r="HZ32" s="252"/>
      <c r="IA32" s="252"/>
      <c r="IB32" s="252"/>
      <c r="IC32" s="252"/>
      <c r="ID32" s="252"/>
      <c r="IE32" s="252"/>
      <c r="IF32" s="252"/>
      <c r="IG32" s="252"/>
      <c r="IH32" s="252"/>
      <c r="II32" s="252"/>
      <c r="IJ32" s="252"/>
      <c r="IK32" s="252"/>
      <c r="IL32" s="252"/>
      <c r="IM32" s="252"/>
      <c r="IN32" s="252"/>
      <c r="IO32" s="252"/>
      <c r="IP32" s="252"/>
      <c r="IQ32" s="252"/>
      <c r="IR32" s="252"/>
      <c r="IS32" s="252"/>
      <c r="IT32" s="252"/>
      <c r="IU32" s="252"/>
      <c r="IV32" s="252"/>
      <c r="IW32" s="252"/>
      <c r="IX32" s="252"/>
      <c r="IY32" s="252"/>
      <c r="IZ32" s="252"/>
      <c r="JA32" s="252"/>
      <c r="JB32" s="252"/>
      <c r="JC32" s="252"/>
      <c r="JD32" s="252"/>
      <c r="JE32" s="252"/>
      <c r="JF32" s="252"/>
      <c r="JG32" s="252"/>
      <c r="JH32" s="252"/>
      <c r="JI32" s="252"/>
      <c r="JJ32" s="252"/>
      <c r="JK32" s="252"/>
      <c r="JL32" s="252"/>
      <c r="JM32" s="252"/>
      <c r="JN32" s="252"/>
      <c r="JO32" s="252"/>
      <c r="JP32" s="252"/>
      <c r="JQ32" s="252"/>
      <c r="JR32" s="252"/>
      <c r="JS32" s="252"/>
      <c r="JT32" s="252"/>
      <c r="JU32" s="252"/>
      <c r="JV32" s="252"/>
      <c r="JW32" s="252"/>
      <c r="JX32" s="252"/>
      <c r="JY32" s="252"/>
      <c r="JZ32" s="252"/>
      <c r="KA32" s="252"/>
      <c r="KB32" s="252"/>
      <c r="KC32" s="252"/>
      <c r="KD32" s="252"/>
      <c r="KE32" s="252"/>
      <c r="KF32" s="252"/>
      <c r="KG32" s="252"/>
      <c r="KH32" s="252"/>
      <c r="KI32" s="252"/>
      <c r="KJ32" s="252"/>
      <c r="KK32" s="252"/>
      <c r="KL32" s="252"/>
      <c r="KM32" s="252"/>
      <c r="KN32" s="252"/>
      <c r="KO32" s="252"/>
      <c r="KP32" s="252"/>
      <c r="KQ32" s="252"/>
      <c r="KR32" s="252"/>
      <c r="KS32" s="252"/>
      <c r="KT32" s="252"/>
      <c r="KU32" s="252"/>
      <c r="KV32" s="252"/>
      <c r="KW32" s="252"/>
      <c r="KX32" s="252"/>
      <c r="KY32" s="252"/>
      <c r="KZ32" s="252"/>
      <c r="LA32" s="252"/>
      <c r="LB32" s="252"/>
      <c r="LC32" s="252"/>
      <c r="LD32" s="252"/>
      <c r="LE32" s="252"/>
      <c r="LF32" s="252"/>
      <c r="LG32" s="252"/>
      <c r="LH32" s="252"/>
      <c r="LI32" s="252"/>
      <c r="LJ32" s="252"/>
      <c r="LK32" s="252"/>
      <c r="LL32" s="252"/>
      <c r="LM32" s="252"/>
      <c r="LN32" s="252"/>
      <c r="LO32" s="252"/>
      <c r="LP32" s="252"/>
      <c r="LQ32" s="252"/>
      <c r="LR32" s="252"/>
      <c r="LS32" s="252"/>
      <c r="LT32" s="252"/>
      <c r="LU32" s="252"/>
      <c r="LV32" s="252"/>
      <c r="LW32" s="252"/>
      <c r="LX32" s="252"/>
      <c r="LY32" s="252"/>
      <c r="LZ32" s="252"/>
      <c r="MA32" s="252"/>
      <c r="MB32" s="252"/>
      <c r="MC32" s="252"/>
      <c r="MD32" s="252"/>
      <c r="ME32" s="252"/>
      <c r="MF32" s="252"/>
      <c r="MG32" s="252"/>
      <c r="MH32" s="252"/>
      <c r="MI32" s="252"/>
      <c r="MJ32" s="252"/>
      <c r="MK32" s="252"/>
      <c r="ML32" s="252"/>
      <c r="MM32" s="252"/>
      <c r="MN32" s="252"/>
      <c r="MO32" s="252"/>
      <c r="MP32" s="252"/>
      <c r="MQ32" s="252"/>
      <c r="MR32" s="252"/>
      <c r="MS32" s="252"/>
      <c r="MT32" s="252"/>
      <c r="MU32" s="252"/>
      <c r="MV32" s="252"/>
      <c r="MW32" s="252"/>
      <c r="MX32" s="252"/>
      <c r="MY32" s="252"/>
      <c r="MZ32" s="252"/>
      <c r="NA32" s="252"/>
      <c r="NB32" s="252"/>
      <c r="NC32" s="252"/>
      <c r="ND32" s="252"/>
      <c r="NE32" s="252"/>
      <c r="NF32" s="252"/>
      <c r="NG32" s="252"/>
      <c r="NH32" s="252"/>
      <c r="NI32" s="252"/>
      <c r="NJ32" s="252"/>
      <c r="NK32" s="252"/>
      <c r="NL32" s="252"/>
      <c r="NM32" s="252"/>
      <c r="NN32" s="252"/>
      <c r="NO32" s="252"/>
      <c r="NP32" s="252"/>
      <c r="NQ32" s="252"/>
      <c r="NR32" s="252"/>
      <c r="NS32" s="252"/>
      <c r="NT32" s="252"/>
      <c r="NU32" s="252"/>
      <c r="NV32" s="252"/>
      <c r="NW32" s="252"/>
      <c r="NX32" s="252"/>
      <c r="NY32" s="252"/>
      <c r="NZ32" s="252"/>
      <c r="OA32" s="252"/>
      <c r="OB32" s="252"/>
      <c r="OC32" s="252"/>
      <c r="OD32" s="252"/>
      <c r="OE32" s="252"/>
      <c r="OF32" s="252"/>
      <c r="OG32" s="252"/>
      <c r="OH32" s="252"/>
      <c r="OI32" s="252"/>
      <c r="OJ32" s="252"/>
      <c r="OK32" s="252"/>
      <c r="OL32" s="252"/>
      <c r="OM32" s="252"/>
      <c r="ON32" s="252"/>
      <c r="OO32" s="252"/>
      <c r="OP32" s="252"/>
      <c r="OQ32" s="252"/>
      <c r="OR32" s="252"/>
      <c r="OS32" s="252"/>
      <c r="OT32" s="252"/>
      <c r="OU32" s="252"/>
      <c r="OV32" s="252"/>
      <c r="OW32" s="252"/>
      <c r="OX32" s="252"/>
      <c r="OY32" s="252"/>
      <c r="OZ32" s="252"/>
      <c r="PA32" s="252"/>
      <c r="PB32" s="252"/>
      <c r="PC32" s="252"/>
      <c r="PD32" s="252"/>
      <c r="PE32" s="252"/>
      <c r="PF32" s="252"/>
      <c r="PG32" s="252"/>
      <c r="PH32" s="252"/>
      <c r="PI32" s="252"/>
      <c r="PJ32" s="252"/>
      <c r="PK32" s="252"/>
      <c r="PL32" s="252"/>
      <c r="PM32" s="252"/>
      <c r="PN32" s="252"/>
      <c r="PO32" s="252"/>
      <c r="PP32" s="252"/>
      <c r="PQ32" s="252"/>
      <c r="PR32" s="252"/>
      <c r="PS32" s="252"/>
      <c r="PT32" s="252"/>
      <c r="PU32" s="252"/>
      <c r="PV32" s="252"/>
      <c r="PW32" s="252"/>
      <c r="PX32" s="252"/>
      <c r="PY32" s="252"/>
      <c r="PZ32" s="252"/>
      <c r="QA32" s="252"/>
      <c r="QB32" s="252"/>
      <c r="QC32" s="252"/>
      <c r="QD32" s="252"/>
      <c r="QE32" s="252"/>
      <c r="QF32" s="252"/>
      <c r="QG32" s="252"/>
      <c r="QH32" s="252"/>
      <c r="QI32" s="252"/>
      <c r="QJ32" s="252"/>
      <c r="QK32" s="252"/>
      <c r="QL32" s="252"/>
      <c r="QM32" s="252"/>
      <c r="QN32" s="252"/>
      <c r="QO32" s="252"/>
      <c r="QP32" s="252"/>
      <c r="QQ32" s="252"/>
      <c r="QR32" s="252"/>
      <c r="QS32" s="252"/>
      <c r="QT32" s="252"/>
      <c r="QU32" s="252"/>
      <c r="QV32" s="252"/>
      <c r="QW32" s="252"/>
      <c r="QX32" s="252"/>
      <c r="QY32" s="252"/>
      <c r="QZ32" s="252"/>
      <c r="RA32" s="252"/>
      <c r="RB32" s="252"/>
      <c r="RC32" s="252"/>
      <c r="RD32" s="252"/>
      <c r="RE32" s="252"/>
      <c r="RF32" s="252"/>
      <c r="RG32" s="252"/>
      <c r="RH32" s="252"/>
      <c r="RI32" s="252"/>
      <c r="RJ32" s="252"/>
      <c r="RK32" s="252"/>
      <c r="RL32" s="252"/>
      <c r="RM32" s="252"/>
      <c r="RN32" s="252"/>
      <c r="RO32" s="252"/>
      <c r="RP32" s="252"/>
      <c r="RQ32" s="252"/>
      <c r="RR32" s="252"/>
      <c r="RS32" s="252"/>
      <c r="RT32" s="252"/>
      <c r="RU32" s="252"/>
      <c r="RV32" s="252"/>
      <c r="RW32" s="252"/>
      <c r="RX32" s="252"/>
      <c r="RY32" s="252"/>
      <c r="RZ32" s="252"/>
      <c r="SA32" s="252"/>
      <c r="SB32" s="252"/>
      <c r="SC32" s="252"/>
      <c r="SD32" s="252"/>
      <c r="SE32" s="252"/>
      <c r="SF32" s="252"/>
      <c r="SG32" s="252"/>
      <c r="SH32" s="252"/>
      <c r="SI32" s="252"/>
      <c r="SJ32" s="252"/>
      <c r="SK32" s="252"/>
      <c r="SL32" s="252"/>
      <c r="SM32" s="252"/>
      <c r="SN32" s="252"/>
      <c r="SO32" s="252"/>
      <c r="SP32" s="252"/>
      <c r="SQ32" s="252"/>
      <c r="SR32" s="252"/>
      <c r="SS32" s="252"/>
      <c r="ST32" s="252"/>
      <c r="SU32" s="252"/>
      <c r="SV32" s="252"/>
      <c r="SW32" s="252"/>
      <c r="SX32" s="252"/>
      <c r="SY32" s="252"/>
      <c r="SZ32" s="252"/>
      <c r="TA32" s="252"/>
      <c r="TB32" s="252"/>
      <c r="TC32" s="252"/>
      <c r="TD32" s="252"/>
      <c r="TE32" s="252"/>
      <c r="TF32" s="252"/>
      <c r="TG32" s="252"/>
      <c r="TH32" s="252"/>
      <c r="TI32" s="252"/>
      <c r="TJ32" s="252"/>
      <c r="TK32" s="252"/>
      <c r="TL32" s="252"/>
      <c r="TM32" s="252"/>
      <c r="TN32" s="252"/>
      <c r="TO32" s="252"/>
      <c r="TP32" s="252"/>
      <c r="TQ32" s="252"/>
      <c r="TR32" s="252"/>
      <c r="TS32" s="252"/>
      <c r="TT32" s="252"/>
      <c r="TU32" s="252"/>
      <c r="TV32" s="252"/>
      <c r="TW32" s="252"/>
      <c r="TX32" s="252"/>
      <c r="TY32" s="252"/>
      <c r="TZ32" s="252"/>
      <c r="UA32" s="252"/>
      <c r="UB32" s="252"/>
      <c r="UC32" s="252"/>
      <c r="UD32" s="252"/>
      <c r="UE32" s="252"/>
      <c r="UF32" s="252"/>
      <c r="UG32" s="252"/>
      <c r="UH32" s="252"/>
      <c r="UI32" s="252"/>
      <c r="UJ32" s="252"/>
      <c r="UK32" s="252"/>
      <c r="UL32" s="252"/>
      <c r="UM32" s="252"/>
      <c r="UN32" s="252"/>
      <c r="UO32" s="252"/>
      <c r="UP32" s="252"/>
      <c r="UQ32" s="252"/>
      <c r="UR32" s="252"/>
      <c r="US32" s="252"/>
      <c r="UT32" s="252"/>
      <c r="UU32" s="252"/>
      <c r="UV32" s="252"/>
      <c r="UW32" s="252"/>
      <c r="UX32" s="252"/>
      <c r="UY32" s="252"/>
      <c r="UZ32" s="252"/>
      <c r="VA32" s="252"/>
      <c r="VB32" s="252"/>
      <c r="VC32" s="252"/>
      <c r="VD32" s="252"/>
      <c r="VE32" s="252"/>
      <c r="VF32" s="252"/>
      <c r="VG32" s="252"/>
      <c r="VH32" s="252"/>
      <c r="VI32" s="252"/>
      <c r="VJ32" s="252"/>
      <c r="VK32" s="252"/>
      <c r="VL32" s="252"/>
      <c r="VM32" s="252"/>
      <c r="VN32" s="252"/>
      <c r="VO32" s="252"/>
      <c r="VP32" s="252"/>
      <c r="VQ32" s="252"/>
      <c r="VR32" s="252"/>
      <c r="VS32" s="252"/>
      <c r="VT32" s="252"/>
      <c r="VU32" s="252"/>
      <c r="VV32" s="252"/>
      <c r="VW32" s="252"/>
      <c r="VX32" s="252"/>
      <c r="VY32" s="252"/>
      <c r="VZ32" s="252"/>
      <c r="WA32" s="252"/>
      <c r="WB32" s="252"/>
      <c r="WC32" s="252"/>
      <c r="WD32" s="252"/>
      <c r="WE32" s="252"/>
      <c r="WF32" s="252"/>
      <c r="WG32" s="252"/>
      <c r="WH32" s="252"/>
      <c r="WI32" s="252"/>
      <c r="WJ32" s="252"/>
      <c r="WK32" s="252"/>
      <c r="WL32" s="252"/>
      <c r="WM32" s="252"/>
      <c r="WN32" s="252"/>
      <c r="WO32" s="252"/>
      <c r="WP32" s="252"/>
      <c r="WQ32" s="252"/>
      <c r="WR32" s="252"/>
      <c r="WS32" s="252"/>
      <c r="WT32" s="252"/>
      <c r="WU32" s="252"/>
      <c r="WV32" s="252"/>
      <c r="WW32" s="252"/>
      <c r="WX32" s="252"/>
      <c r="WY32" s="252"/>
      <c r="WZ32" s="252"/>
      <c r="XA32" s="252"/>
      <c r="XB32" s="252"/>
      <c r="XC32" s="252"/>
      <c r="XD32" s="252"/>
      <c r="XE32" s="252"/>
      <c r="XF32" s="252"/>
      <c r="XG32" s="252"/>
      <c r="XH32" s="252"/>
      <c r="XI32" s="252"/>
      <c r="XJ32" s="252"/>
      <c r="XK32" s="252"/>
      <c r="XL32" s="252"/>
      <c r="XM32" s="252"/>
      <c r="XN32" s="252"/>
      <c r="XO32" s="252"/>
      <c r="XP32" s="252"/>
      <c r="XQ32" s="252"/>
      <c r="XR32" s="252"/>
      <c r="XS32" s="252"/>
      <c r="XT32" s="252"/>
      <c r="XU32" s="252"/>
      <c r="XV32" s="252"/>
      <c r="XW32" s="252"/>
      <c r="XX32" s="252"/>
      <c r="XY32" s="252"/>
      <c r="XZ32" s="252"/>
      <c r="YA32" s="252"/>
      <c r="YB32" s="252"/>
      <c r="YC32" s="252"/>
      <c r="YD32" s="252"/>
      <c r="YE32" s="252"/>
      <c r="YF32" s="252"/>
      <c r="YG32" s="252"/>
      <c r="YH32" s="252"/>
      <c r="YI32" s="252"/>
      <c r="YJ32" s="252"/>
      <c r="YK32" s="252"/>
      <c r="YL32" s="252"/>
      <c r="YM32" s="252"/>
      <c r="YN32" s="252"/>
      <c r="YO32" s="252"/>
      <c r="YP32" s="252"/>
      <c r="YQ32" s="252"/>
      <c r="YR32" s="252"/>
      <c r="YS32" s="252"/>
      <c r="YT32" s="252"/>
      <c r="YU32" s="252"/>
      <c r="YV32" s="252"/>
      <c r="YW32" s="252"/>
      <c r="YX32" s="252"/>
      <c r="YY32" s="252"/>
      <c r="YZ32" s="252"/>
      <c r="ZA32" s="252"/>
      <c r="ZB32" s="252"/>
      <c r="ZC32" s="252"/>
      <c r="ZD32" s="252"/>
      <c r="ZE32" s="252"/>
      <c r="ZF32" s="252"/>
      <c r="ZG32" s="252"/>
      <c r="ZH32" s="252"/>
      <c r="ZI32" s="252"/>
      <c r="ZJ32" s="252"/>
      <c r="ZK32" s="252"/>
      <c r="ZL32" s="252"/>
      <c r="ZM32" s="252"/>
      <c r="ZN32" s="252"/>
      <c r="ZO32" s="252"/>
      <c r="ZP32" s="252"/>
      <c r="ZQ32" s="252"/>
      <c r="ZR32" s="252"/>
      <c r="ZS32" s="252"/>
      <c r="ZT32" s="252"/>
      <c r="ZU32" s="252"/>
      <c r="ZV32" s="252"/>
      <c r="ZW32" s="252"/>
      <c r="ZX32" s="252"/>
      <c r="ZY32" s="252"/>
      <c r="ZZ32" s="252"/>
      <c r="AAA32" s="252"/>
      <c r="AAB32" s="252"/>
      <c r="AAC32" s="252"/>
      <c r="AAD32" s="252"/>
      <c r="AAE32" s="252"/>
      <c r="AAF32" s="252"/>
      <c r="AAG32" s="252"/>
      <c r="AAH32" s="252"/>
      <c r="AAI32" s="252"/>
      <c r="AAJ32" s="252"/>
      <c r="AAK32" s="252"/>
      <c r="AAL32" s="252"/>
      <c r="AAM32" s="252"/>
      <c r="AAN32" s="252"/>
      <c r="AAO32" s="252"/>
      <c r="AAP32" s="252"/>
      <c r="AAQ32" s="252"/>
      <c r="AAR32" s="252"/>
      <c r="AAS32" s="252"/>
      <c r="AAT32" s="252"/>
      <c r="AAU32" s="252"/>
      <c r="AAV32" s="252"/>
      <c r="AAW32" s="252"/>
      <c r="AAX32" s="252"/>
      <c r="AAY32" s="252"/>
      <c r="AAZ32" s="252"/>
      <c r="ABA32" s="252"/>
      <c r="ABB32" s="252"/>
      <c r="ABC32" s="252"/>
      <c r="ABD32" s="252"/>
      <c r="ABE32" s="252"/>
      <c r="ABF32" s="252"/>
      <c r="ABG32" s="252"/>
      <c r="ABH32" s="252"/>
      <c r="ABI32" s="252"/>
      <c r="ABJ32" s="252"/>
      <c r="ABK32" s="252"/>
      <c r="ABL32" s="252"/>
      <c r="ABM32" s="252"/>
      <c r="ABN32" s="252"/>
      <c r="ABO32" s="252"/>
      <c r="ABP32" s="252"/>
      <c r="ABQ32" s="252"/>
      <c r="ABR32" s="252"/>
      <c r="ABS32" s="252"/>
      <c r="ABT32" s="252"/>
      <c r="ABU32" s="252"/>
      <c r="ABV32" s="252"/>
      <c r="ABW32" s="252"/>
      <c r="ABX32" s="252"/>
      <c r="ABY32" s="252"/>
      <c r="ABZ32" s="252"/>
      <c r="ACA32" s="252"/>
      <c r="ACB32" s="252"/>
      <c r="ACC32" s="252"/>
      <c r="ACD32" s="252"/>
      <c r="ACE32" s="252"/>
      <c r="ACF32" s="252"/>
      <c r="ACG32" s="252"/>
      <c r="ACH32" s="252"/>
      <c r="ACI32" s="252"/>
      <c r="ACJ32" s="252"/>
      <c r="ACK32" s="252"/>
      <c r="ACL32" s="252"/>
      <c r="ACM32" s="252"/>
      <c r="ACN32" s="252"/>
      <c r="ACO32" s="252"/>
      <c r="ACP32" s="252"/>
      <c r="ACQ32" s="252"/>
      <c r="ACR32" s="252"/>
      <c r="ACS32" s="252"/>
      <c r="ACT32" s="252"/>
      <c r="ACU32" s="252"/>
      <c r="ACV32" s="252"/>
      <c r="ACW32" s="252"/>
      <c r="ACX32" s="252"/>
      <c r="ACY32" s="252"/>
      <c r="ACZ32" s="252"/>
      <c r="ADA32" s="252"/>
      <c r="ADB32" s="252"/>
      <c r="ADC32" s="252"/>
      <c r="ADD32" s="252"/>
      <c r="ADE32" s="252"/>
      <c r="ADF32" s="252"/>
      <c r="ADG32" s="252"/>
      <c r="ADH32" s="252"/>
      <c r="ADI32" s="252"/>
      <c r="ADJ32" s="252"/>
      <c r="ADK32" s="252"/>
      <c r="ADL32" s="252"/>
      <c r="ADM32" s="252"/>
      <c r="ADN32" s="252"/>
      <c r="ADO32" s="252"/>
      <c r="ADP32" s="252"/>
      <c r="ADQ32" s="252"/>
      <c r="ADR32" s="252"/>
      <c r="ADS32" s="252"/>
      <c r="ADT32" s="252"/>
      <c r="ADU32" s="252"/>
      <c r="ADV32" s="252"/>
      <c r="ADW32" s="252"/>
      <c r="ADX32" s="252"/>
      <c r="ADY32" s="252"/>
      <c r="ADZ32" s="252"/>
      <c r="AEA32" s="252"/>
      <c r="AEB32" s="252"/>
      <c r="AEC32" s="252"/>
      <c r="AED32" s="252"/>
      <c r="AEE32" s="252"/>
      <c r="AEF32" s="252"/>
      <c r="AEG32" s="252"/>
      <c r="AEH32" s="252"/>
      <c r="AEI32" s="252"/>
      <c r="AEJ32" s="252"/>
      <c r="AEK32" s="252"/>
      <c r="AEL32" s="252"/>
      <c r="AEM32" s="252"/>
      <c r="AEN32" s="252"/>
      <c r="AEO32" s="252"/>
      <c r="AEP32" s="252"/>
      <c r="AEQ32" s="252"/>
      <c r="AER32" s="252"/>
      <c r="AES32" s="252"/>
      <c r="AET32" s="252"/>
      <c r="AEU32" s="252"/>
      <c r="AEV32" s="252"/>
      <c r="AEW32" s="252"/>
      <c r="AEX32" s="252"/>
      <c r="AEY32" s="252"/>
      <c r="AEZ32" s="252"/>
      <c r="AFA32" s="252"/>
      <c r="AFB32" s="252"/>
      <c r="AFC32" s="252"/>
      <c r="AFD32" s="252"/>
      <c r="AFE32" s="252"/>
      <c r="AFF32" s="252"/>
      <c r="AFG32" s="252"/>
      <c r="AFH32" s="252"/>
      <c r="AFI32" s="252"/>
      <c r="AFJ32" s="252"/>
      <c r="AFK32" s="252"/>
      <c r="AFL32" s="252"/>
      <c r="AFM32" s="252"/>
      <c r="AFN32" s="252"/>
      <c r="AFO32" s="252"/>
      <c r="AFP32" s="252"/>
      <c r="AFQ32" s="252"/>
      <c r="AFR32" s="252"/>
      <c r="AFS32" s="252"/>
      <c r="AFT32" s="252"/>
      <c r="AFU32" s="252"/>
      <c r="AFV32" s="252"/>
      <c r="AFW32" s="252"/>
      <c r="AFX32" s="252"/>
      <c r="AFY32" s="252"/>
      <c r="AFZ32" s="252"/>
      <c r="AGA32" s="252"/>
      <c r="AGB32" s="252"/>
      <c r="AGC32" s="252"/>
      <c r="AGD32" s="252"/>
      <c r="AGE32" s="252"/>
      <c r="AGF32" s="252"/>
      <c r="AGG32" s="252"/>
      <c r="AGH32" s="252"/>
      <c r="AGI32" s="252"/>
      <c r="AGJ32" s="252"/>
      <c r="AGK32" s="252"/>
      <c r="AGL32" s="252"/>
      <c r="AGM32" s="252"/>
      <c r="AGN32" s="252"/>
      <c r="AGO32" s="252"/>
      <c r="AGP32" s="252"/>
      <c r="AGQ32" s="252"/>
      <c r="AGR32" s="252"/>
      <c r="AGS32" s="252"/>
      <c r="AGT32" s="252"/>
      <c r="AGU32" s="252"/>
      <c r="AGV32" s="252"/>
      <c r="AGW32" s="252"/>
      <c r="AGX32" s="252"/>
      <c r="AGY32" s="252"/>
      <c r="AGZ32" s="252"/>
      <c r="AHA32" s="252"/>
      <c r="AHB32" s="252"/>
      <c r="AHC32" s="252"/>
      <c r="AHD32" s="252"/>
      <c r="AHE32" s="252"/>
      <c r="AHF32" s="252"/>
      <c r="AHG32" s="252"/>
      <c r="AHH32" s="252"/>
      <c r="AHI32" s="252"/>
      <c r="AHJ32" s="252"/>
      <c r="AHK32" s="252"/>
      <c r="AHL32" s="252"/>
      <c r="AHM32" s="252"/>
      <c r="AHN32" s="252"/>
      <c r="AHO32" s="252"/>
      <c r="AHP32" s="252"/>
      <c r="AHQ32" s="252"/>
      <c r="AHR32" s="252"/>
      <c r="AHS32" s="252"/>
      <c r="AHT32" s="252"/>
      <c r="AHU32" s="252"/>
      <c r="AHV32" s="252"/>
      <c r="AHW32" s="252"/>
      <c r="AHX32" s="252"/>
      <c r="AHY32" s="252"/>
      <c r="AHZ32" s="252"/>
      <c r="AIA32" s="252"/>
      <c r="AIB32" s="252"/>
      <c r="AIC32" s="252"/>
      <c r="AID32" s="252"/>
      <c r="AIE32" s="252"/>
      <c r="AIF32" s="252"/>
      <c r="AIG32" s="252"/>
      <c r="AIH32" s="252"/>
      <c r="AII32" s="252"/>
      <c r="AIJ32" s="252"/>
      <c r="AIK32" s="252"/>
      <c r="AIL32" s="252"/>
      <c r="AIM32" s="252"/>
      <c r="AIN32" s="252"/>
      <c r="AIO32" s="252"/>
      <c r="AIP32" s="252"/>
      <c r="AIQ32" s="252"/>
      <c r="AIR32" s="252"/>
      <c r="AIS32" s="252"/>
      <c r="AIT32" s="252"/>
      <c r="AIU32" s="252"/>
      <c r="AIV32" s="252"/>
      <c r="AIW32" s="252"/>
      <c r="AIX32" s="252"/>
      <c r="AIY32" s="252"/>
      <c r="AIZ32" s="252"/>
      <c r="AJA32" s="252"/>
      <c r="AJB32" s="252"/>
      <c r="AJC32" s="252"/>
      <c r="AJD32" s="252"/>
      <c r="AJE32" s="252"/>
      <c r="AJF32" s="252"/>
      <c r="AJG32" s="252"/>
      <c r="AJH32" s="252"/>
      <c r="AJI32" s="252"/>
      <c r="AJJ32" s="252"/>
      <c r="AJK32" s="252"/>
      <c r="AJL32" s="252"/>
      <c r="AJM32" s="252"/>
      <c r="AJN32" s="252"/>
      <c r="AJO32" s="252"/>
      <c r="AJP32" s="252"/>
      <c r="AJQ32" s="252"/>
      <c r="AJR32" s="252"/>
      <c r="AJS32" s="252"/>
      <c r="AJT32" s="252"/>
      <c r="AJU32" s="252"/>
      <c r="AJV32" s="252"/>
      <c r="AJW32" s="252"/>
      <c r="AJX32" s="252"/>
      <c r="AJY32" s="252"/>
      <c r="AJZ32" s="252"/>
      <c r="AKA32" s="252"/>
      <c r="AKB32" s="252"/>
      <c r="AKC32" s="252"/>
      <c r="AKD32" s="252"/>
      <c r="AKE32" s="252"/>
      <c r="AKF32" s="252"/>
      <c r="AKG32" s="252"/>
      <c r="AKH32" s="252"/>
      <c r="AKI32" s="252"/>
      <c r="AKJ32" s="252"/>
      <c r="AKK32" s="252"/>
      <c r="AKL32" s="252"/>
      <c r="AKM32" s="252"/>
      <c r="AKN32" s="252"/>
      <c r="AKO32" s="252"/>
      <c r="AKP32" s="252"/>
      <c r="AKQ32" s="252"/>
      <c r="AKR32" s="252"/>
      <c r="AKS32" s="252"/>
      <c r="AKT32" s="252"/>
      <c r="AKU32" s="252"/>
      <c r="AKV32" s="252"/>
      <c r="AKW32" s="252"/>
      <c r="AKX32" s="252"/>
      <c r="AKY32" s="252"/>
      <c r="AKZ32" s="252"/>
      <c r="ALA32" s="252"/>
      <c r="ALB32" s="252"/>
      <c r="ALC32" s="252"/>
      <c r="ALD32" s="252"/>
      <c r="ALE32" s="252"/>
      <c r="ALF32" s="252"/>
      <c r="ALG32" s="252"/>
      <c r="ALH32" s="252"/>
      <c r="ALI32" s="252"/>
      <c r="ALJ32" s="252"/>
      <c r="ALK32" s="252"/>
      <c r="ALL32" s="252"/>
      <c r="ALM32" s="252"/>
      <c r="ALN32" s="252"/>
      <c r="ALO32" s="252"/>
      <c r="ALP32" s="252"/>
      <c r="ALQ32" s="252"/>
      <c r="ALR32" s="252"/>
      <c r="ALS32" s="252"/>
    </row>
    <row r="33" spans="1:1007" s="3" customFormat="1" x14ac:dyDescent="0.2">
      <c r="A33" s="749" t="s">
        <v>528</v>
      </c>
      <c r="B33" s="380"/>
      <c r="C33" s="380"/>
      <c r="D33" s="380"/>
      <c r="E33" s="740">
        <v>1.9</v>
      </c>
      <c r="F33" s="730"/>
      <c r="G33" s="730"/>
      <c r="H33" s="730"/>
      <c r="I33" s="730"/>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2"/>
      <c r="BM33" s="252"/>
      <c r="BN33" s="252"/>
      <c r="BO33" s="252"/>
      <c r="BP33" s="252"/>
      <c r="BQ33" s="252"/>
      <c r="BR33" s="252"/>
      <c r="BS33" s="252"/>
      <c r="BT33" s="252"/>
      <c r="BU33" s="252"/>
      <c r="BV33" s="252"/>
      <c r="BW33" s="252"/>
      <c r="BX33" s="252"/>
      <c r="BY33" s="252"/>
      <c r="BZ33" s="252"/>
      <c r="CA33" s="252"/>
      <c r="CB33" s="252"/>
      <c r="CC33" s="252"/>
      <c r="CD33" s="252"/>
      <c r="CE33" s="252"/>
      <c r="CF33" s="252"/>
      <c r="CG33" s="252"/>
      <c r="CH33" s="252"/>
      <c r="CI33" s="252"/>
      <c r="CJ33" s="252"/>
      <c r="CK33" s="252"/>
      <c r="CL33" s="252"/>
      <c r="CM33" s="252"/>
      <c r="CN33" s="252"/>
      <c r="CO33" s="252"/>
      <c r="CP33" s="252"/>
      <c r="CQ33" s="252"/>
      <c r="CR33" s="252"/>
      <c r="CS33" s="252"/>
      <c r="CT33" s="252"/>
      <c r="CU33" s="252"/>
      <c r="CV33" s="252"/>
      <c r="CW33" s="252"/>
      <c r="CX33" s="252"/>
      <c r="CY33" s="252"/>
      <c r="CZ33" s="252"/>
      <c r="DA33" s="252"/>
      <c r="DB33" s="252"/>
      <c r="DC33" s="252"/>
      <c r="DD33" s="252"/>
      <c r="DE33" s="252"/>
      <c r="DF33" s="252"/>
      <c r="DG33" s="252"/>
      <c r="DH33" s="252"/>
      <c r="DI33" s="252"/>
      <c r="DJ33" s="252"/>
      <c r="DK33" s="252"/>
      <c r="DL33" s="252"/>
      <c r="DM33" s="252"/>
      <c r="DN33" s="252"/>
      <c r="DO33" s="252"/>
      <c r="DP33" s="252"/>
      <c r="DQ33" s="252"/>
      <c r="DR33" s="252"/>
      <c r="DS33" s="252"/>
      <c r="DT33" s="252"/>
      <c r="DU33" s="252"/>
      <c r="DV33" s="252"/>
      <c r="DW33" s="252"/>
      <c r="DX33" s="252"/>
      <c r="DY33" s="252"/>
      <c r="DZ33" s="252"/>
      <c r="EA33" s="252"/>
      <c r="EB33" s="252"/>
      <c r="EC33" s="252"/>
      <c r="ED33" s="252"/>
      <c r="EE33" s="252"/>
      <c r="EF33" s="252"/>
      <c r="EG33" s="252"/>
      <c r="EH33" s="252"/>
      <c r="EI33" s="252"/>
      <c r="EJ33" s="252"/>
      <c r="EK33" s="252"/>
      <c r="EL33" s="252"/>
      <c r="EM33" s="252"/>
      <c r="EN33" s="252"/>
      <c r="EO33" s="252"/>
      <c r="EP33" s="252"/>
      <c r="EQ33" s="252"/>
      <c r="ER33" s="252"/>
      <c r="ES33" s="252"/>
      <c r="ET33" s="252"/>
      <c r="EU33" s="252"/>
      <c r="EV33" s="252"/>
      <c r="EW33" s="252"/>
      <c r="EX33" s="252"/>
      <c r="EY33" s="252"/>
      <c r="EZ33" s="252"/>
      <c r="FA33" s="252"/>
      <c r="FB33" s="252"/>
      <c r="FC33" s="252"/>
      <c r="FD33" s="252"/>
      <c r="FE33" s="252"/>
      <c r="FF33" s="252"/>
      <c r="FG33" s="252"/>
      <c r="FH33" s="252"/>
      <c r="FI33" s="252"/>
      <c r="FJ33" s="252"/>
      <c r="FK33" s="252"/>
      <c r="FL33" s="252"/>
      <c r="FM33" s="252"/>
      <c r="FN33" s="252"/>
      <c r="FO33" s="252"/>
      <c r="FP33" s="252"/>
      <c r="FQ33" s="252"/>
      <c r="FR33" s="252"/>
      <c r="FS33" s="252"/>
      <c r="FT33" s="252"/>
      <c r="FU33" s="252"/>
      <c r="FV33" s="252"/>
      <c r="FW33" s="252"/>
      <c r="FX33" s="252"/>
      <c r="FY33" s="252"/>
      <c r="FZ33" s="252"/>
      <c r="GA33" s="252"/>
      <c r="GB33" s="252"/>
      <c r="GC33" s="252"/>
      <c r="GD33" s="252"/>
      <c r="GE33" s="252"/>
      <c r="GF33" s="252"/>
      <c r="GG33" s="252"/>
      <c r="GH33" s="252"/>
      <c r="GI33" s="252"/>
      <c r="GJ33" s="252"/>
      <c r="GK33" s="252"/>
      <c r="GL33" s="252"/>
      <c r="GM33" s="252"/>
      <c r="GN33" s="252"/>
      <c r="GO33" s="252"/>
      <c r="GP33" s="252"/>
      <c r="GQ33" s="252"/>
      <c r="GR33" s="252"/>
      <c r="GS33" s="252"/>
      <c r="GT33" s="252"/>
      <c r="GU33" s="252"/>
      <c r="GV33" s="252"/>
      <c r="GW33" s="252"/>
      <c r="GX33" s="252"/>
      <c r="GY33" s="252"/>
      <c r="GZ33" s="252"/>
      <c r="HA33" s="252"/>
      <c r="HB33" s="252"/>
      <c r="HC33" s="252"/>
      <c r="HD33" s="252"/>
      <c r="HE33" s="252"/>
      <c r="HF33" s="252"/>
      <c r="HG33" s="252"/>
      <c r="HH33" s="252"/>
      <c r="HI33" s="252"/>
      <c r="HJ33" s="252"/>
      <c r="HK33" s="252"/>
      <c r="HL33" s="252"/>
      <c r="HM33" s="252"/>
      <c r="HN33" s="252"/>
      <c r="HO33" s="252"/>
      <c r="HP33" s="252"/>
      <c r="HQ33" s="252"/>
      <c r="HR33" s="252"/>
      <c r="HS33" s="252"/>
      <c r="HT33" s="252"/>
      <c r="HU33" s="252"/>
      <c r="HV33" s="252"/>
      <c r="HW33" s="252"/>
      <c r="HX33" s="252"/>
      <c r="HY33" s="252"/>
      <c r="HZ33" s="252"/>
      <c r="IA33" s="252"/>
      <c r="IB33" s="252"/>
      <c r="IC33" s="252"/>
      <c r="ID33" s="252"/>
      <c r="IE33" s="252"/>
      <c r="IF33" s="252"/>
      <c r="IG33" s="252"/>
      <c r="IH33" s="252"/>
      <c r="II33" s="252"/>
      <c r="IJ33" s="252"/>
      <c r="IK33" s="252"/>
      <c r="IL33" s="252"/>
      <c r="IM33" s="252"/>
      <c r="IN33" s="252"/>
      <c r="IO33" s="252"/>
      <c r="IP33" s="252"/>
      <c r="IQ33" s="252"/>
      <c r="IR33" s="252"/>
      <c r="IS33" s="252"/>
      <c r="IT33" s="252"/>
      <c r="IU33" s="252"/>
      <c r="IV33" s="252"/>
      <c r="IW33" s="252"/>
      <c r="IX33" s="252"/>
      <c r="IY33" s="252"/>
      <c r="IZ33" s="252"/>
      <c r="JA33" s="252"/>
      <c r="JB33" s="252"/>
      <c r="JC33" s="252"/>
      <c r="JD33" s="252"/>
      <c r="JE33" s="252"/>
      <c r="JF33" s="252"/>
      <c r="JG33" s="252"/>
      <c r="JH33" s="252"/>
      <c r="JI33" s="252"/>
      <c r="JJ33" s="252"/>
      <c r="JK33" s="252"/>
      <c r="JL33" s="252"/>
      <c r="JM33" s="252"/>
      <c r="JN33" s="252"/>
      <c r="JO33" s="252"/>
      <c r="JP33" s="252"/>
      <c r="JQ33" s="252"/>
      <c r="JR33" s="252"/>
      <c r="JS33" s="252"/>
      <c r="JT33" s="252"/>
      <c r="JU33" s="252"/>
      <c r="JV33" s="252"/>
      <c r="JW33" s="252"/>
      <c r="JX33" s="252"/>
      <c r="JY33" s="252"/>
      <c r="JZ33" s="252"/>
      <c r="KA33" s="252"/>
      <c r="KB33" s="252"/>
      <c r="KC33" s="252"/>
      <c r="KD33" s="252"/>
      <c r="KE33" s="252"/>
      <c r="KF33" s="252"/>
      <c r="KG33" s="252"/>
      <c r="KH33" s="252"/>
      <c r="KI33" s="252"/>
      <c r="KJ33" s="252"/>
      <c r="KK33" s="252"/>
      <c r="KL33" s="252"/>
      <c r="KM33" s="252"/>
      <c r="KN33" s="252"/>
      <c r="KO33" s="252"/>
      <c r="KP33" s="252"/>
      <c r="KQ33" s="252"/>
      <c r="KR33" s="252"/>
      <c r="KS33" s="252"/>
      <c r="KT33" s="252"/>
      <c r="KU33" s="252"/>
      <c r="KV33" s="252"/>
      <c r="KW33" s="252"/>
      <c r="KX33" s="252"/>
      <c r="KY33" s="252"/>
      <c r="KZ33" s="252"/>
      <c r="LA33" s="252"/>
      <c r="LB33" s="252"/>
      <c r="LC33" s="252"/>
      <c r="LD33" s="252"/>
      <c r="LE33" s="252"/>
      <c r="LF33" s="252"/>
      <c r="LG33" s="252"/>
      <c r="LH33" s="252"/>
      <c r="LI33" s="252"/>
      <c r="LJ33" s="252"/>
      <c r="LK33" s="252"/>
      <c r="LL33" s="252"/>
      <c r="LM33" s="252"/>
      <c r="LN33" s="252"/>
      <c r="LO33" s="252"/>
      <c r="LP33" s="252"/>
      <c r="LQ33" s="252"/>
      <c r="LR33" s="252"/>
      <c r="LS33" s="252"/>
      <c r="LT33" s="252"/>
      <c r="LU33" s="252"/>
      <c r="LV33" s="252"/>
      <c r="LW33" s="252"/>
      <c r="LX33" s="252"/>
      <c r="LY33" s="252"/>
      <c r="LZ33" s="252"/>
      <c r="MA33" s="252"/>
      <c r="MB33" s="252"/>
      <c r="MC33" s="252"/>
      <c r="MD33" s="252"/>
      <c r="ME33" s="252"/>
      <c r="MF33" s="252"/>
      <c r="MG33" s="252"/>
      <c r="MH33" s="252"/>
      <c r="MI33" s="252"/>
      <c r="MJ33" s="252"/>
      <c r="MK33" s="252"/>
      <c r="ML33" s="252"/>
      <c r="MM33" s="252"/>
      <c r="MN33" s="252"/>
      <c r="MO33" s="252"/>
      <c r="MP33" s="252"/>
      <c r="MQ33" s="252"/>
      <c r="MR33" s="252"/>
      <c r="MS33" s="252"/>
      <c r="MT33" s="252"/>
      <c r="MU33" s="252"/>
      <c r="MV33" s="252"/>
      <c r="MW33" s="252"/>
      <c r="MX33" s="252"/>
      <c r="MY33" s="252"/>
      <c r="MZ33" s="252"/>
      <c r="NA33" s="252"/>
      <c r="NB33" s="252"/>
      <c r="NC33" s="252"/>
      <c r="ND33" s="252"/>
      <c r="NE33" s="252"/>
      <c r="NF33" s="252"/>
      <c r="NG33" s="252"/>
      <c r="NH33" s="252"/>
      <c r="NI33" s="252"/>
      <c r="NJ33" s="252"/>
      <c r="NK33" s="252"/>
      <c r="NL33" s="252"/>
      <c r="NM33" s="252"/>
      <c r="NN33" s="252"/>
      <c r="NO33" s="252"/>
      <c r="NP33" s="252"/>
      <c r="NQ33" s="252"/>
      <c r="NR33" s="252"/>
      <c r="NS33" s="252"/>
      <c r="NT33" s="252"/>
      <c r="NU33" s="252"/>
      <c r="NV33" s="252"/>
      <c r="NW33" s="252"/>
      <c r="NX33" s="252"/>
      <c r="NY33" s="252"/>
      <c r="NZ33" s="252"/>
      <c r="OA33" s="252"/>
      <c r="OB33" s="252"/>
      <c r="OC33" s="252"/>
      <c r="OD33" s="252"/>
      <c r="OE33" s="252"/>
      <c r="OF33" s="252"/>
      <c r="OG33" s="252"/>
      <c r="OH33" s="252"/>
      <c r="OI33" s="252"/>
      <c r="OJ33" s="252"/>
      <c r="OK33" s="252"/>
      <c r="OL33" s="252"/>
      <c r="OM33" s="252"/>
      <c r="ON33" s="252"/>
      <c r="OO33" s="252"/>
      <c r="OP33" s="252"/>
      <c r="OQ33" s="252"/>
      <c r="OR33" s="252"/>
      <c r="OS33" s="252"/>
      <c r="OT33" s="252"/>
      <c r="OU33" s="252"/>
      <c r="OV33" s="252"/>
      <c r="OW33" s="252"/>
      <c r="OX33" s="252"/>
      <c r="OY33" s="252"/>
      <c r="OZ33" s="252"/>
      <c r="PA33" s="252"/>
      <c r="PB33" s="252"/>
      <c r="PC33" s="252"/>
      <c r="PD33" s="252"/>
      <c r="PE33" s="252"/>
      <c r="PF33" s="252"/>
      <c r="PG33" s="252"/>
      <c r="PH33" s="252"/>
      <c r="PI33" s="252"/>
      <c r="PJ33" s="252"/>
      <c r="PK33" s="252"/>
      <c r="PL33" s="252"/>
      <c r="PM33" s="252"/>
      <c r="PN33" s="252"/>
      <c r="PO33" s="252"/>
      <c r="PP33" s="252"/>
      <c r="PQ33" s="252"/>
      <c r="PR33" s="252"/>
      <c r="PS33" s="252"/>
      <c r="PT33" s="252"/>
      <c r="PU33" s="252"/>
      <c r="PV33" s="252"/>
      <c r="PW33" s="252"/>
      <c r="PX33" s="252"/>
      <c r="PY33" s="252"/>
      <c r="PZ33" s="252"/>
      <c r="QA33" s="252"/>
      <c r="QB33" s="252"/>
      <c r="QC33" s="252"/>
      <c r="QD33" s="252"/>
      <c r="QE33" s="252"/>
      <c r="QF33" s="252"/>
      <c r="QG33" s="252"/>
      <c r="QH33" s="252"/>
      <c r="QI33" s="252"/>
      <c r="QJ33" s="252"/>
      <c r="QK33" s="252"/>
      <c r="QL33" s="252"/>
      <c r="QM33" s="252"/>
      <c r="QN33" s="252"/>
      <c r="QO33" s="252"/>
      <c r="QP33" s="252"/>
      <c r="QQ33" s="252"/>
      <c r="QR33" s="252"/>
      <c r="QS33" s="252"/>
      <c r="QT33" s="252"/>
      <c r="QU33" s="252"/>
      <c r="QV33" s="252"/>
      <c r="QW33" s="252"/>
      <c r="QX33" s="252"/>
      <c r="QY33" s="252"/>
      <c r="QZ33" s="252"/>
      <c r="RA33" s="252"/>
      <c r="RB33" s="252"/>
      <c r="RC33" s="252"/>
      <c r="RD33" s="252"/>
      <c r="RE33" s="252"/>
      <c r="RF33" s="252"/>
      <c r="RG33" s="252"/>
      <c r="RH33" s="252"/>
      <c r="RI33" s="252"/>
      <c r="RJ33" s="252"/>
      <c r="RK33" s="252"/>
      <c r="RL33" s="252"/>
      <c r="RM33" s="252"/>
      <c r="RN33" s="252"/>
      <c r="RO33" s="252"/>
      <c r="RP33" s="252"/>
      <c r="RQ33" s="252"/>
      <c r="RR33" s="252"/>
      <c r="RS33" s="252"/>
      <c r="RT33" s="252"/>
      <c r="RU33" s="252"/>
      <c r="RV33" s="252"/>
      <c r="RW33" s="252"/>
      <c r="RX33" s="252"/>
      <c r="RY33" s="252"/>
      <c r="RZ33" s="252"/>
      <c r="SA33" s="252"/>
      <c r="SB33" s="252"/>
      <c r="SC33" s="252"/>
      <c r="SD33" s="252"/>
      <c r="SE33" s="252"/>
      <c r="SF33" s="252"/>
      <c r="SG33" s="252"/>
      <c r="SH33" s="252"/>
      <c r="SI33" s="252"/>
      <c r="SJ33" s="252"/>
      <c r="SK33" s="252"/>
      <c r="SL33" s="252"/>
      <c r="SM33" s="252"/>
      <c r="SN33" s="252"/>
      <c r="SO33" s="252"/>
      <c r="SP33" s="252"/>
      <c r="SQ33" s="252"/>
      <c r="SR33" s="252"/>
      <c r="SS33" s="252"/>
      <c r="ST33" s="252"/>
      <c r="SU33" s="252"/>
      <c r="SV33" s="252"/>
      <c r="SW33" s="252"/>
      <c r="SX33" s="252"/>
      <c r="SY33" s="252"/>
      <c r="SZ33" s="252"/>
      <c r="TA33" s="252"/>
      <c r="TB33" s="252"/>
      <c r="TC33" s="252"/>
      <c r="TD33" s="252"/>
      <c r="TE33" s="252"/>
      <c r="TF33" s="252"/>
      <c r="TG33" s="252"/>
      <c r="TH33" s="252"/>
      <c r="TI33" s="252"/>
      <c r="TJ33" s="252"/>
      <c r="TK33" s="252"/>
      <c r="TL33" s="252"/>
      <c r="TM33" s="252"/>
      <c r="TN33" s="252"/>
      <c r="TO33" s="252"/>
      <c r="TP33" s="252"/>
      <c r="TQ33" s="252"/>
      <c r="TR33" s="252"/>
      <c r="TS33" s="252"/>
      <c r="TT33" s="252"/>
      <c r="TU33" s="252"/>
      <c r="TV33" s="252"/>
      <c r="TW33" s="252"/>
      <c r="TX33" s="252"/>
      <c r="TY33" s="252"/>
      <c r="TZ33" s="252"/>
      <c r="UA33" s="252"/>
      <c r="UB33" s="252"/>
      <c r="UC33" s="252"/>
      <c r="UD33" s="252"/>
      <c r="UE33" s="252"/>
      <c r="UF33" s="252"/>
      <c r="UG33" s="252"/>
      <c r="UH33" s="252"/>
      <c r="UI33" s="252"/>
      <c r="UJ33" s="252"/>
      <c r="UK33" s="252"/>
      <c r="UL33" s="252"/>
      <c r="UM33" s="252"/>
      <c r="UN33" s="252"/>
      <c r="UO33" s="252"/>
      <c r="UP33" s="252"/>
      <c r="UQ33" s="252"/>
      <c r="UR33" s="252"/>
      <c r="US33" s="252"/>
      <c r="UT33" s="252"/>
      <c r="UU33" s="252"/>
      <c r="UV33" s="252"/>
      <c r="UW33" s="252"/>
      <c r="UX33" s="252"/>
      <c r="UY33" s="252"/>
      <c r="UZ33" s="252"/>
      <c r="VA33" s="252"/>
      <c r="VB33" s="252"/>
      <c r="VC33" s="252"/>
      <c r="VD33" s="252"/>
      <c r="VE33" s="252"/>
      <c r="VF33" s="252"/>
      <c r="VG33" s="252"/>
      <c r="VH33" s="252"/>
      <c r="VI33" s="252"/>
      <c r="VJ33" s="252"/>
      <c r="VK33" s="252"/>
      <c r="VL33" s="252"/>
      <c r="VM33" s="252"/>
      <c r="VN33" s="252"/>
      <c r="VO33" s="252"/>
      <c r="VP33" s="252"/>
      <c r="VQ33" s="252"/>
      <c r="VR33" s="252"/>
      <c r="VS33" s="252"/>
      <c r="VT33" s="252"/>
      <c r="VU33" s="252"/>
      <c r="VV33" s="252"/>
      <c r="VW33" s="252"/>
      <c r="VX33" s="252"/>
      <c r="VY33" s="252"/>
      <c r="VZ33" s="252"/>
      <c r="WA33" s="252"/>
      <c r="WB33" s="252"/>
      <c r="WC33" s="252"/>
      <c r="WD33" s="252"/>
      <c r="WE33" s="252"/>
      <c r="WF33" s="252"/>
      <c r="WG33" s="252"/>
      <c r="WH33" s="252"/>
      <c r="WI33" s="252"/>
      <c r="WJ33" s="252"/>
      <c r="WK33" s="252"/>
      <c r="WL33" s="252"/>
      <c r="WM33" s="252"/>
      <c r="WN33" s="252"/>
      <c r="WO33" s="252"/>
      <c r="WP33" s="252"/>
      <c r="WQ33" s="252"/>
      <c r="WR33" s="252"/>
      <c r="WS33" s="252"/>
      <c r="WT33" s="252"/>
      <c r="WU33" s="252"/>
      <c r="WV33" s="252"/>
      <c r="WW33" s="252"/>
      <c r="WX33" s="252"/>
      <c r="WY33" s="252"/>
      <c r="WZ33" s="252"/>
      <c r="XA33" s="252"/>
      <c r="XB33" s="252"/>
      <c r="XC33" s="252"/>
      <c r="XD33" s="252"/>
      <c r="XE33" s="252"/>
      <c r="XF33" s="252"/>
      <c r="XG33" s="252"/>
      <c r="XH33" s="252"/>
      <c r="XI33" s="252"/>
      <c r="XJ33" s="252"/>
      <c r="XK33" s="252"/>
      <c r="XL33" s="252"/>
      <c r="XM33" s="252"/>
      <c r="XN33" s="252"/>
      <c r="XO33" s="252"/>
      <c r="XP33" s="252"/>
      <c r="XQ33" s="252"/>
      <c r="XR33" s="252"/>
      <c r="XS33" s="252"/>
      <c r="XT33" s="252"/>
      <c r="XU33" s="252"/>
      <c r="XV33" s="252"/>
      <c r="XW33" s="252"/>
      <c r="XX33" s="252"/>
      <c r="XY33" s="252"/>
      <c r="XZ33" s="252"/>
      <c r="YA33" s="252"/>
      <c r="YB33" s="252"/>
      <c r="YC33" s="252"/>
      <c r="YD33" s="252"/>
      <c r="YE33" s="252"/>
      <c r="YF33" s="252"/>
      <c r="YG33" s="252"/>
      <c r="YH33" s="252"/>
      <c r="YI33" s="252"/>
      <c r="YJ33" s="252"/>
      <c r="YK33" s="252"/>
      <c r="YL33" s="252"/>
      <c r="YM33" s="252"/>
      <c r="YN33" s="252"/>
      <c r="YO33" s="252"/>
      <c r="YP33" s="252"/>
      <c r="YQ33" s="252"/>
      <c r="YR33" s="252"/>
      <c r="YS33" s="252"/>
      <c r="YT33" s="252"/>
      <c r="YU33" s="252"/>
      <c r="YV33" s="252"/>
      <c r="YW33" s="252"/>
      <c r="YX33" s="252"/>
      <c r="YY33" s="252"/>
      <c r="YZ33" s="252"/>
      <c r="ZA33" s="252"/>
      <c r="ZB33" s="252"/>
      <c r="ZC33" s="252"/>
      <c r="ZD33" s="252"/>
      <c r="ZE33" s="252"/>
      <c r="ZF33" s="252"/>
      <c r="ZG33" s="252"/>
      <c r="ZH33" s="252"/>
      <c r="ZI33" s="252"/>
      <c r="ZJ33" s="252"/>
      <c r="ZK33" s="252"/>
      <c r="ZL33" s="252"/>
      <c r="ZM33" s="252"/>
      <c r="ZN33" s="252"/>
      <c r="ZO33" s="252"/>
      <c r="ZP33" s="252"/>
      <c r="ZQ33" s="252"/>
      <c r="ZR33" s="252"/>
      <c r="ZS33" s="252"/>
      <c r="ZT33" s="252"/>
      <c r="ZU33" s="252"/>
      <c r="ZV33" s="252"/>
      <c r="ZW33" s="252"/>
      <c r="ZX33" s="252"/>
      <c r="ZY33" s="252"/>
      <c r="ZZ33" s="252"/>
      <c r="AAA33" s="252"/>
      <c r="AAB33" s="252"/>
      <c r="AAC33" s="252"/>
      <c r="AAD33" s="252"/>
      <c r="AAE33" s="252"/>
      <c r="AAF33" s="252"/>
      <c r="AAG33" s="252"/>
      <c r="AAH33" s="252"/>
      <c r="AAI33" s="252"/>
      <c r="AAJ33" s="252"/>
      <c r="AAK33" s="252"/>
      <c r="AAL33" s="252"/>
      <c r="AAM33" s="252"/>
      <c r="AAN33" s="252"/>
      <c r="AAO33" s="252"/>
      <c r="AAP33" s="252"/>
      <c r="AAQ33" s="252"/>
      <c r="AAR33" s="252"/>
      <c r="AAS33" s="252"/>
      <c r="AAT33" s="252"/>
      <c r="AAU33" s="252"/>
      <c r="AAV33" s="252"/>
      <c r="AAW33" s="252"/>
      <c r="AAX33" s="252"/>
      <c r="AAY33" s="252"/>
      <c r="AAZ33" s="252"/>
      <c r="ABA33" s="252"/>
      <c r="ABB33" s="252"/>
      <c r="ABC33" s="252"/>
      <c r="ABD33" s="252"/>
      <c r="ABE33" s="252"/>
      <c r="ABF33" s="252"/>
      <c r="ABG33" s="252"/>
      <c r="ABH33" s="252"/>
      <c r="ABI33" s="252"/>
      <c r="ABJ33" s="252"/>
      <c r="ABK33" s="252"/>
      <c r="ABL33" s="252"/>
      <c r="ABM33" s="252"/>
      <c r="ABN33" s="252"/>
      <c r="ABO33" s="252"/>
      <c r="ABP33" s="252"/>
      <c r="ABQ33" s="252"/>
      <c r="ABR33" s="252"/>
      <c r="ABS33" s="252"/>
      <c r="ABT33" s="252"/>
      <c r="ABU33" s="252"/>
      <c r="ABV33" s="252"/>
      <c r="ABW33" s="252"/>
      <c r="ABX33" s="252"/>
      <c r="ABY33" s="252"/>
      <c r="ABZ33" s="252"/>
      <c r="ACA33" s="252"/>
      <c r="ACB33" s="252"/>
      <c r="ACC33" s="252"/>
      <c r="ACD33" s="252"/>
      <c r="ACE33" s="252"/>
      <c r="ACF33" s="252"/>
      <c r="ACG33" s="252"/>
      <c r="ACH33" s="252"/>
      <c r="ACI33" s="252"/>
      <c r="ACJ33" s="252"/>
      <c r="ACK33" s="252"/>
      <c r="ACL33" s="252"/>
      <c r="ACM33" s="252"/>
      <c r="ACN33" s="252"/>
      <c r="ACO33" s="252"/>
      <c r="ACP33" s="252"/>
      <c r="ACQ33" s="252"/>
      <c r="ACR33" s="252"/>
      <c r="ACS33" s="252"/>
      <c r="ACT33" s="252"/>
      <c r="ACU33" s="252"/>
      <c r="ACV33" s="252"/>
      <c r="ACW33" s="252"/>
      <c r="ACX33" s="252"/>
      <c r="ACY33" s="252"/>
      <c r="ACZ33" s="252"/>
      <c r="ADA33" s="252"/>
      <c r="ADB33" s="252"/>
      <c r="ADC33" s="252"/>
      <c r="ADD33" s="252"/>
      <c r="ADE33" s="252"/>
      <c r="ADF33" s="252"/>
      <c r="ADG33" s="252"/>
      <c r="ADH33" s="252"/>
      <c r="ADI33" s="252"/>
      <c r="ADJ33" s="252"/>
      <c r="ADK33" s="252"/>
      <c r="ADL33" s="252"/>
      <c r="ADM33" s="252"/>
      <c r="ADN33" s="252"/>
      <c r="ADO33" s="252"/>
      <c r="ADP33" s="252"/>
      <c r="ADQ33" s="252"/>
      <c r="ADR33" s="252"/>
      <c r="ADS33" s="252"/>
      <c r="ADT33" s="252"/>
      <c r="ADU33" s="252"/>
      <c r="ADV33" s="252"/>
      <c r="ADW33" s="252"/>
      <c r="ADX33" s="252"/>
      <c r="ADY33" s="252"/>
      <c r="ADZ33" s="252"/>
      <c r="AEA33" s="252"/>
      <c r="AEB33" s="252"/>
      <c r="AEC33" s="252"/>
      <c r="AED33" s="252"/>
      <c r="AEE33" s="252"/>
      <c r="AEF33" s="252"/>
      <c r="AEG33" s="252"/>
      <c r="AEH33" s="252"/>
      <c r="AEI33" s="252"/>
      <c r="AEJ33" s="252"/>
      <c r="AEK33" s="252"/>
      <c r="AEL33" s="252"/>
      <c r="AEM33" s="252"/>
      <c r="AEN33" s="252"/>
      <c r="AEO33" s="252"/>
      <c r="AEP33" s="252"/>
      <c r="AEQ33" s="252"/>
      <c r="AER33" s="252"/>
      <c r="AES33" s="252"/>
      <c r="AET33" s="252"/>
      <c r="AEU33" s="252"/>
      <c r="AEV33" s="252"/>
      <c r="AEW33" s="252"/>
      <c r="AEX33" s="252"/>
      <c r="AEY33" s="252"/>
      <c r="AEZ33" s="252"/>
      <c r="AFA33" s="252"/>
      <c r="AFB33" s="252"/>
      <c r="AFC33" s="252"/>
      <c r="AFD33" s="252"/>
      <c r="AFE33" s="252"/>
      <c r="AFF33" s="252"/>
      <c r="AFG33" s="252"/>
      <c r="AFH33" s="252"/>
      <c r="AFI33" s="252"/>
      <c r="AFJ33" s="252"/>
      <c r="AFK33" s="252"/>
      <c r="AFL33" s="252"/>
      <c r="AFM33" s="252"/>
      <c r="AFN33" s="252"/>
      <c r="AFO33" s="252"/>
      <c r="AFP33" s="252"/>
      <c r="AFQ33" s="252"/>
      <c r="AFR33" s="252"/>
      <c r="AFS33" s="252"/>
      <c r="AFT33" s="252"/>
      <c r="AFU33" s="252"/>
      <c r="AFV33" s="252"/>
      <c r="AFW33" s="252"/>
      <c r="AFX33" s="252"/>
      <c r="AFY33" s="252"/>
      <c r="AFZ33" s="252"/>
      <c r="AGA33" s="252"/>
      <c r="AGB33" s="252"/>
      <c r="AGC33" s="252"/>
      <c r="AGD33" s="252"/>
      <c r="AGE33" s="252"/>
      <c r="AGF33" s="252"/>
      <c r="AGG33" s="252"/>
      <c r="AGH33" s="252"/>
      <c r="AGI33" s="252"/>
      <c r="AGJ33" s="252"/>
      <c r="AGK33" s="252"/>
      <c r="AGL33" s="252"/>
      <c r="AGM33" s="252"/>
      <c r="AGN33" s="252"/>
      <c r="AGO33" s="252"/>
      <c r="AGP33" s="252"/>
      <c r="AGQ33" s="252"/>
      <c r="AGR33" s="252"/>
      <c r="AGS33" s="252"/>
      <c r="AGT33" s="252"/>
      <c r="AGU33" s="252"/>
      <c r="AGV33" s="252"/>
      <c r="AGW33" s="252"/>
      <c r="AGX33" s="252"/>
      <c r="AGY33" s="252"/>
      <c r="AGZ33" s="252"/>
      <c r="AHA33" s="252"/>
      <c r="AHB33" s="252"/>
      <c r="AHC33" s="252"/>
      <c r="AHD33" s="252"/>
      <c r="AHE33" s="252"/>
      <c r="AHF33" s="252"/>
      <c r="AHG33" s="252"/>
      <c r="AHH33" s="252"/>
      <c r="AHI33" s="252"/>
      <c r="AHJ33" s="252"/>
      <c r="AHK33" s="252"/>
      <c r="AHL33" s="252"/>
      <c r="AHM33" s="252"/>
      <c r="AHN33" s="252"/>
      <c r="AHO33" s="252"/>
      <c r="AHP33" s="252"/>
      <c r="AHQ33" s="252"/>
      <c r="AHR33" s="252"/>
      <c r="AHS33" s="252"/>
      <c r="AHT33" s="252"/>
      <c r="AHU33" s="252"/>
      <c r="AHV33" s="252"/>
      <c r="AHW33" s="252"/>
      <c r="AHX33" s="252"/>
      <c r="AHY33" s="252"/>
      <c r="AHZ33" s="252"/>
      <c r="AIA33" s="252"/>
      <c r="AIB33" s="252"/>
      <c r="AIC33" s="252"/>
      <c r="AID33" s="252"/>
      <c r="AIE33" s="252"/>
      <c r="AIF33" s="252"/>
      <c r="AIG33" s="252"/>
      <c r="AIH33" s="252"/>
      <c r="AII33" s="252"/>
      <c r="AIJ33" s="252"/>
      <c r="AIK33" s="252"/>
      <c r="AIL33" s="252"/>
      <c r="AIM33" s="252"/>
      <c r="AIN33" s="252"/>
      <c r="AIO33" s="252"/>
      <c r="AIP33" s="252"/>
      <c r="AIQ33" s="252"/>
      <c r="AIR33" s="252"/>
      <c r="AIS33" s="252"/>
      <c r="AIT33" s="252"/>
      <c r="AIU33" s="252"/>
      <c r="AIV33" s="252"/>
      <c r="AIW33" s="252"/>
      <c r="AIX33" s="252"/>
      <c r="AIY33" s="252"/>
      <c r="AIZ33" s="252"/>
      <c r="AJA33" s="252"/>
      <c r="AJB33" s="252"/>
      <c r="AJC33" s="252"/>
      <c r="AJD33" s="252"/>
      <c r="AJE33" s="252"/>
      <c r="AJF33" s="252"/>
      <c r="AJG33" s="252"/>
      <c r="AJH33" s="252"/>
      <c r="AJI33" s="252"/>
      <c r="AJJ33" s="252"/>
      <c r="AJK33" s="252"/>
      <c r="AJL33" s="252"/>
      <c r="AJM33" s="252"/>
      <c r="AJN33" s="252"/>
      <c r="AJO33" s="252"/>
      <c r="AJP33" s="252"/>
      <c r="AJQ33" s="252"/>
      <c r="AJR33" s="252"/>
      <c r="AJS33" s="252"/>
      <c r="AJT33" s="252"/>
      <c r="AJU33" s="252"/>
      <c r="AJV33" s="252"/>
      <c r="AJW33" s="252"/>
      <c r="AJX33" s="252"/>
      <c r="AJY33" s="252"/>
      <c r="AJZ33" s="252"/>
      <c r="AKA33" s="252"/>
      <c r="AKB33" s="252"/>
      <c r="AKC33" s="252"/>
      <c r="AKD33" s="252"/>
      <c r="AKE33" s="252"/>
      <c r="AKF33" s="252"/>
      <c r="AKG33" s="252"/>
      <c r="AKH33" s="252"/>
      <c r="AKI33" s="252"/>
      <c r="AKJ33" s="252"/>
      <c r="AKK33" s="252"/>
      <c r="AKL33" s="252"/>
      <c r="AKM33" s="252"/>
      <c r="AKN33" s="252"/>
      <c r="AKO33" s="252"/>
      <c r="AKP33" s="252"/>
      <c r="AKQ33" s="252"/>
      <c r="AKR33" s="252"/>
      <c r="AKS33" s="252"/>
      <c r="AKT33" s="252"/>
      <c r="AKU33" s="252"/>
      <c r="AKV33" s="252"/>
      <c r="AKW33" s="252"/>
      <c r="AKX33" s="252"/>
      <c r="AKY33" s="252"/>
      <c r="AKZ33" s="252"/>
      <c r="ALA33" s="252"/>
      <c r="ALB33" s="252"/>
      <c r="ALC33" s="252"/>
      <c r="ALD33" s="252"/>
      <c r="ALE33" s="252"/>
      <c r="ALF33" s="252"/>
      <c r="ALG33" s="252"/>
      <c r="ALH33" s="252"/>
      <c r="ALI33" s="252"/>
      <c r="ALJ33" s="252"/>
      <c r="ALK33" s="252"/>
      <c r="ALL33" s="252"/>
      <c r="ALM33" s="252"/>
      <c r="ALN33" s="252"/>
      <c r="ALO33" s="252"/>
      <c r="ALP33" s="252"/>
      <c r="ALQ33" s="252"/>
      <c r="ALR33" s="252"/>
      <c r="ALS33" s="252"/>
    </row>
    <row r="34" spans="1:1007" s="3" customFormat="1" x14ac:dyDescent="0.2">
      <c r="A34" s="749" t="s">
        <v>531</v>
      </c>
      <c r="B34" s="380"/>
      <c r="C34" s="380"/>
      <c r="D34" s="380"/>
      <c r="E34" s="740">
        <v>1.9</v>
      </c>
      <c r="F34" s="730"/>
      <c r="G34" s="730"/>
      <c r="H34" s="730"/>
      <c r="I34" s="730"/>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2"/>
      <c r="AY34" s="252"/>
      <c r="AZ34" s="252"/>
      <c r="BA34" s="252"/>
      <c r="BB34" s="252"/>
      <c r="BC34" s="252"/>
      <c r="BD34" s="252"/>
      <c r="BE34" s="252"/>
      <c r="BF34" s="252"/>
      <c r="BG34" s="252"/>
      <c r="BH34" s="252"/>
      <c r="BI34" s="252"/>
      <c r="BJ34" s="252"/>
      <c r="BK34" s="252"/>
      <c r="BL34" s="252"/>
      <c r="BM34" s="252"/>
      <c r="BN34" s="252"/>
      <c r="BO34" s="252"/>
      <c r="BP34" s="252"/>
      <c r="BQ34" s="252"/>
      <c r="BR34" s="252"/>
      <c r="BS34" s="252"/>
      <c r="BT34" s="252"/>
      <c r="BU34" s="252"/>
      <c r="BV34" s="252"/>
      <c r="BW34" s="252"/>
      <c r="BX34" s="252"/>
      <c r="BY34" s="252"/>
      <c r="BZ34" s="252"/>
      <c r="CA34" s="252"/>
      <c r="CB34" s="252"/>
      <c r="CC34" s="252"/>
      <c r="CD34" s="252"/>
      <c r="CE34" s="252"/>
      <c r="CF34" s="252"/>
      <c r="CG34" s="252"/>
      <c r="CH34" s="252"/>
      <c r="CI34" s="252"/>
      <c r="CJ34" s="252"/>
      <c r="CK34" s="252"/>
      <c r="CL34" s="252"/>
      <c r="CM34" s="252"/>
      <c r="CN34" s="252"/>
      <c r="CO34" s="252"/>
      <c r="CP34" s="252"/>
      <c r="CQ34" s="252"/>
      <c r="CR34" s="252"/>
      <c r="CS34" s="252"/>
      <c r="CT34" s="252"/>
      <c r="CU34" s="252"/>
      <c r="CV34" s="252"/>
      <c r="CW34" s="252"/>
      <c r="CX34" s="252"/>
      <c r="CY34" s="252"/>
      <c r="CZ34" s="252"/>
      <c r="DA34" s="252"/>
      <c r="DB34" s="252"/>
      <c r="DC34" s="252"/>
      <c r="DD34" s="252"/>
      <c r="DE34" s="252"/>
      <c r="DF34" s="252"/>
      <c r="DG34" s="252"/>
      <c r="DH34" s="252"/>
      <c r="DI34" s="252"/>
      <c r="DJ34" s="252"/>
      <c r="DK34" s="252"/>
      <c r="DL34" s="252"/>
      <c r="DM34" s="252"/>
      <c r="DN34" s="252"/>
      <c r="DO34" s="252"/>
      <c r="DP34" s="252"/>
      <c r="DQ34" s="252"/>
      <c r="DR34" s="252"/>
      <c r="DS34" s="252"/>
      <c r="DT34" s="252"/>
      <c r="DU34" s="252"/>
      <c r="DV34" s="252"/>
      <c r="DW34" s="252"/>
      <c r="DX34" s="252"/>
      <c r="DY34" s="252"/>
      <c r="DZ34" s="252"/>
      <c r="EA34" s="252"/>
      <c r="EB34" s="252"/>
      <c r="EC34" s="252"/>
      <c r="ED34" s="252"/>
      <c r="EE34" s="252"/>
      <c r="EF34" s="252"/>
      <c r="EG34" s="252"/>
      <c r="EH34" s="252"/>
      <c r="EI34" s="252"/>
      <c r="EJ34" s="252"/>
      <c r="EK34" s="252"/>
      <c r="EL34" s="252"/>
      <c r="EM34" s="252"/>
      <c r="EN34" s="252"/>
      <c r="EO34" s="252"/>
      <c r="EP34" s="252"/>
      <c r="EQ34" s="252"/>
      <c r="ER34" s="252"/>
      <c r="ES34" s="252"/>
      <c r="ET34" s="252"/>
      <c r="EU34" s="252"/>
      <c r="EV34" s="252"/>
      <c r="EW34" s="252"/>
      <c r="EX34" s="252"/>
      <c r="EY34" s="252"/>
      <c r="EZ34" s="252"/>
      <c r="FA34" s="252"/>
      <c r="FB34" s="252"/>
      <c r="FC34" s="252"/>
      <c r="FD34" s="252"/>
      <c r="FE34" s="252"/>
      <c r="FF34" s="252"/>
      <c r="FG34" s="252"/>
      <c r="FH34" s="252"/>
      <c r="FI34" s="252"/>
      <c r="FJ34" s="252"/>
      <c r="FK34" s="252"/>
      <c r="FL34" s="252"/>
      <c r="FM34" s="252"/>
      <c r="FN34" s="252"/>
      <c r="FO34" s="252"/>
      <c r="FP34" s="252"/>
      <c r="FQ34" s="252"/>
      <c r="FR34" s="252"/>
      <c r="FS34" s="252"/>
      <c r="FT34" s="252"/>
      <c r="FU34" s="252"/>
      <c r="FV34" s="252"/>
      <c r="FW34" s="252"/>
      <c r="FX34" s="252"/>
      <c r="FY34" s="252"/>
      <c r="FZ34" s="252"/>
      <c r="GA34" s="252"/>
      <c r="GB34" s="252"/>
      <c r="GC34" s="252"/>
      <c r="GD34" s="252"/>
      <c r="GE34" s="252"/>
      <c r="GF34" s="252"/>
      <c r="GG34" s="252"/>
      <c r="GH34" s="252"/>
      <c r="GI34" s="252"/>
      <c r="GJ34" s="252"/>
      <c r="GK34" s="252"/>
      <c r="GL34" s="252"/>
      <c r="GM34" s="252"/>
      <c r="GN34" s="252"/>
      <c r="GO34" s="252"/>
      <c r="GP34" s="252"/>
      <c r="GQ34" s="252"/>
      <c r="GR34" s="252"/>
      <c r="GS34" s="252"/>
      <c r="GT34" s="252"/>
      <c r="GU34" s="252"/>
      <c r="GV34" s="252"/>
      <c r="GW34" s="252"/>
      <c r="GX34" s="252"/>
      <c r="GY34" s="252"/>
      <c r="GZ34" s="252"/>
      <c r="HA34" s="252"/>
      <c r="HB34" s="252"/>
      <c r="HC34" s="252"/>
      <c r="HD34" s="252"/>
      <c r="HE34" s="252"/>
      <c r="HF34" s="252"/>
      <c r="HG34" s="252"/>
      <c r="HH34" s="252"/>
      <c r="HI34" s="252"/>
      <c r="HJ34" s="252"/>
      <c r="HK34" s="252"/>
      <c r="HL34" s="252"/>
      <c r="HM34" s="252"/>
      <c r="HN34" s="252"/>
      <c r="HO34" s="252"/>
      <c r="HP34" s="252"/>
      <c r="HQ34" s="252"/>
      <c r="HR34" s="252"/>
      <c r="HS34" s="252"/>
      <c r="HT34" s="252"/>
      <c r="HU34" s="252"/>
      <c r="HV34" s="252"/>
      <c r="HW34" s="252"/>
      <c r="HX34" s="252"/>
      <c r="HY34" s="252"/>
      <c r="HZ34" s="252"/>
      <c r="IA34" s="252"/>
      <c r="IB34" s="252"/>
      <c r="IC34" s="252"/>
      <c r="ID34" s="252"/>
      <c r="IE34" s="252"/>
      <c r="IF34" s="252"/>
      <c r="IG34" s="252"/>
      <c r="IH34" s="252"/>
      <c r="II34" s="252"/>
      <c r="IJ34" s="252"/>
      <c r="IK34" s="252"/>
      <c r="IL34" s="252"/>
      <c r="IM34" s="252"/>
      <c r="IN34" s="252"/>
      <c r="IO34" s="252"/>
      <c r="IP34" s="252"/>
      <c r="IQ34" s="252"/>
      <c r="IR34" s="252"/>
      <c r="IS34" s="252"/>
      <c r="IT34" s="252"/>
      <c r="IU34" s="252"/>
      <c r="IV34" s="252"/>
      <c r="IW34" s="252"/>
      <c r="IX34" s="252"/>
      <c r="IY34" s="252"/>
      <c r="IZ34" s="252"/>
      <c r="JA34" s="252"/>
      <c r="JB34" s="252"/>
      <c r="JC34" s="252"/>
      <c r="JD34" s="252"/>
      <c r="JE34" s="252"/>
      <c r="JF34" s="252"/>
      <c r="JG34" s="252"/>
      <c r="JH34" s="252"/>
      <c r="JI34" s="252"/>
      <c r="JJ34" s="252"/>
      <c r="JK34" s="252"/>
      <c r="JL34" s="252"/>
      <c r="JM34" s="252"/>
      <c r="JN34" s="252"/>
      <c r="JO34" s="252"/>
      <c r="JP34" s="252"/>
      <c r="JQ34" s="252"/>
      <c r="JR34" s="252"/>
      <c r="JS34" s="252"/>
      <c r="JT34" s="252"/>
      <c r="JU34" s="252"/>
      <c r="JV34" s="252"/>
      <c r="JW34" s="252"/>
      <c r="JX34" s="252"/>
      <c r="JY34" s="252"/>
      <c r="JZ34" s="252"/>
      <c r="KA34" s="252"/>
      <c r="KB34" s="252"/>
      <c r="KC34" s="252"/>
      <c r="KD34" s="252"/>
      <c r="KE34" s="252"/>
      <c r="KF34" s="252"/>
      <c r="KG34" s="252"/>
      <c r="KH34" s="252"/>
      <c r="KI34" s="252"/>
      <c r="KJ34" s="252"/>
      <c r="KK34" s="252"/>
      <c r="KL34" s="252"/>
      <c r="KM34" s="252"/>
      <c r="KN34" s="252"/>
      <c r="KO34" s="252"/>
      <c r="KP34" s="252"/>
      <c r="KQ34" s="252"/>
      <c r="KR34" s="252"/>
      <c r="KS34" s="252"/>
      <c r="KT34" s="252"/>
      <c r="KU34" s="252"/>
      <c r="KV34" s="252"/>
      <c r="KW34" s="252"/>
      <c r="KX34" s="252"/>
      <c r="KY34" s="252"/>
      <c r="KZ34" s="252"/>
      <c r="LA34" s="252"/>
      <c r="LB34" s="252"/>
      <c r="LC34" s="252"/>
      <c r="LD34" s="252"/>
      <c r="LE34" s="252"/>
      <c r="LF34" s="252"/>
      <c r="LG34" s="252"/>
      <c r="LH34" s="252"/>
      <c r="LI34" s="252"/>
      <c r="LJ34" s="252"/>
      <c r="LK34" s="252"/>
      <c r="LL34" s="252"/>
      <c r="LM34" s="252"/>
      <c r="LN34" s="252"/>
      <c r="LO34" s="252"/>
      <c r="LP34" s="252"/>
      <c r="LQ34" s="252"/>
      <c r="LR34" s="252"/>
      <c r="LS34" s="252"/>
      <c r="LT34" s="252"/>
      <c r="LU34" s="252"/>
      <c r="LV34" s="252"/>
      <c r="LW34" s="252"/>
      <c r="LX34" s="252"/>
      <c r="LY34" s="252"/>
      <c r="LZ34" s="252"/>
      <c r="MA34" s="252"/>
      <c r="MB34" s="252"/>
      <c r="MC34" s="252"/>
      <c r="MD34" s="252"/>
      <c r="ME34" s="252"/>
      <c r="MF34" s="252"/>
      <c r="MG34" s="252"/>
      <c r="MH34" s="252"/>
      <c r="MI34" s="252"/>
      <c r="MJ34" s="252"/>
      <c r="MK34" s="252"/>
      <c r="ML34" s="252"/>
      <c r="MM34" s="252"/>
      <c r="MN34" s="252"/>
      <c r="MO34" s="252"/>
      <c r="MP34" s="252"/>
      <c r="MQ34" s="252"/>
      <c r="MR34" s="252"/>
      <c r="MS34" s="252"/>
      <c r="MT34" s="252"/>
      <c r="MU34" s="252"/>
      <c r="MV34" s="252"/>
      <c r="MW34" s="252"/>
      <c r="MX34" s="252"/>
      <c r="MY34" s="252"/>
      <c r="MZ34" s="252"/>
      <c r="NA34" s="252"/>
      <c r="NB34" s="252"/>
      <c r="NC34" s="252"/>
      <c r="ND34" s="252"/>
      <c r="NE34" s="252"/>
      <c r="NF34" s="252"/>
      <c r="NG34" s="252"/>
      <c r="NH34" s="252"/>
      <c r="NI34" s="252"/>
      <c r="NJ34" s="252"/>
      <c r="NK34" s="252"/>
      <c r="NL34" s="252"/>
      <c r="NM34" s="252"/>
      <c r="NN34" s="252"/>
      <c r="NO34" s="252"/>
      <c r="NP34" s="252"/>
      <c r="NQ34" s="252"/>
      <c r="NR34" s="252"/>
      <c r="NS34" s="252"/>
      <c r="NT34" s="252"/>
      <c r="NU34" s="252"/>
      <c r="NV34" s="252"/>
      <c r="NW34" s="252"/>
      <c r="NX34" s="252"/>
      <c r="NY34" s="252"/>
      <c r="NZ34" s="252"/>
      <c r="OA34" s="252"/>
      <c r="OB34" s="252"/>
      <c r="OC34" s="252"/>
      <c r="OD34" s="252"/>
      <c r="OE34" s="252"/>
      <c r="OF34" s="252"/>
      <c r="OG34" s="252"/>
      <c r="OH34" s="252"/>
      <c r="OI34" s="252"/>
      <c r="OJ34" s="252"/>
      <c r="OK34" s="252"/>
      <c r="OL34" s="252"/>
      <c r="OM34" s="252"/>
      <c r="ON34" s="252"/>
      <c r="OO34" s="252"/>
      <c r="OP34" s="252"/>
      <c r="OQ34" s="252"/>
      <c r="OR34" s="252"/>
      <c r="OS34" s="252"/>
      <c r="OT34" s="252"/>
      <c r="OU34" s="252"/>
      <c r="OV34" s="252"/>
      <c r="OW34" s="252"/>
      <c r="OX34" s="252"/>
      <c r="OY34" s="252"/>
      <c r="OZ34" s="252"/>
      <c r="PA34" s="252"/>
      <c r="PB34" s="252"/>
      <c r="PC34" s="252"/>
      <c r="PD34" s="252"/>
      <c r="PE34" s="252"/>
      <c r="PF34" s="252"/>
      <c r="PG34" s="252"/>
      <c r="PH34" s="252"/>
      <c r="PI34" s="252"/>
      <c r="PJ34" s="252"/>
      <c r="PK34" s="252"/>
      <c r="PL34" s="252"/>
      <c r="PM34" s="252"/>
      <c r="PN34" s="252"/>
      <c r="PO34" s="252"/>
      <c r="PP34" s="252"/>
      <c r="PQ34" s="252"/>
      <c r="PR34" s="252"/>
      <c r="PS34" s="252"/>
      <c r="PT34" s="252"/>
      <c r="PU34" s="252"/>
      <c r="PV34" s="252"/>
      <c r="PW34" s="252"/>
      <c r="PX34" s="252"/>
      <c r="PY34" s="252"/>
      <c r="PZ34" s="252"/>
      <c r="QA34" s="252"/>
      <c r="QB34" s="252"/>
      <c r="QC34" s="252"/>
      <c r="QD34" s="252"/>
      <c r="QE34" s="252"/>
      <c r="QF34" s="252"/>
      <c r="QG34" s="252"/>
      <c r="QH34" s="252"/>
      <c r="QI34" s="252"/>
      <c r="QJ34" s="252"/>
      <c r="QK34" s="252"/>
      <c r="QL34" s="252"/>
      <c r="QM34" s="252"/>
      <c r="QN34" s="252"/>
      <c r="QO34" s="252"/>
      <c r="QP34" s="252"/>
      <c r="QQ34" s="252"/>
      <c r="QR34" s="252"/>
      <c r="QS34" s="252"/>
      <c r="QT34" s="252"/>
      <c r="QU34" s="252"/>
      <c r="QV34" s="252"/>
      <c r="QW34" s="252"/>
      <c r="QX34" s="252"/>
      <c r="QY34" s="252"/>
      <c r="QZ34" s="252"/>
      <c r="RA34" s="252"/>
      <c r="RB34" s="252"/>
      <c r="RC34" s="252"/>
      <c r="RD34" s="252"/>
      <c r="RE34" s="252"/>
      <c r="RF34" s="252"/>
      <c r="RG34" s="252"/>
      <c r="RH34" s="252"/>
      <c r="RI34" s="252"/>
      <c r="RJ34" s="252"/>
      <c r="RK34" s="252"/>
      <c r="RL34" s="252"/>
      <c r="RM34" s="252"/>
      <c r="RN34" s="252"/>
      <c r="RO34" s="252"/>
      <c r="RP34" s="252"/>
      <c r="RQ34" s="252"/>
      <c r="RR34" s="252"/>
      <c r="RS34" s="252"/>
      <c r="RT34" s="252"/>
      <c r="RU34" s="252"/>
      <c r="RV34" s="252"/>
      <c r="RW34" s="252"/>
      <c r="RX34" s="252"/>
      <c r="RY34" s="252"/>
      <c r="RZ34" s="252"/>
      <c r="SA34" s="252"/>
      <c r="SB34" s="252"/>
      <c r="SC34" s="252"/>
      <c r="SD34" s="252"/>
      <c r="SE34" s="252"/>
      <c r="SF34" s="252"/>
      <c r="SG34" s="252"/>
      <c r="SH34" s="252"/>
      <c r="SI34" s="252"/>
      <c r="SJ34" s="252"/>
      <c r="SK34" s="252"/>
      <c r="SL34" s="252"/>
      <c r="SM34" s="252"/>
      <c r="SN34" s="252"/>
      <c r="SO34" s="252"/>
      <c r="SP34" s="252"/>
      <c r="SQ34" s="252"/>
      <c r="SR34" s="252"/>
      <c r="SS34" s="252"/>
      <c r="ST34" s="252"/>
      <c r="SU34" s="252"/>
      <c r="SV34" s="252"/>
      <c r="SW34" s="252"/>
      <c r="SX34" s="252"/>
      <c r="SY34" s="252"/>
      <c r="SZ34" s="252"/>
      <c r="TA34" s="252"/>
      <c r="TB34" s="252"/>
      <c r="TC34" s="252"/>
      <c r="TD34" s="252"/>
      <c r="TE34" s="252"/>
      <c r="TF34" s="252"/>
      <c r="TG34" s="252"/>
      <c r="TH34" s="252"/>
      <c r="TI34" s="252"/>
      <c r="TJ34" s="252"/>
      <c r="TK34" s="252"/>
      <c r="TL34" s="252"/>
      <c r="TM34" s="252"/>
      <c r="TN34" s="252"/>
      <c r="TO34" s="252"/>
      <c r="TP34" s="252"/>
      <c r="TQ34" s="252"/>
      <c r="TR34" s="252"/>
      <c r="TS34" s="252"/>
      <c r="TT34" s="252"/>
      <c r="TU34" s="252"/>
      <c r="TV34" s="252"/>
      <c r="TW34" s="252"/>
      <c r="TX34" s="252"/>
      <c r="TY34" s="252"/>
      <c r="TZ34" s="252"/>
      <c r="UA34" s="252"/>
      <c r="UB34" s="252"/>
      <c r="UC34" s="252"/>
      <c r="UD34" s="252"/>
      <c r="UE34" s="252"/>
      <c r="UF34" s="252"/>
      <c r="UG34" s="252"/>
      <c r="UH34" s="252"/>
      <c r="UI34" s="252"/>
      <c r="UJ34" s="252"/>
      <c r="UK34" s="252"/>
      <c r="UL34" s="252"/>
      <c r="UM34" s="252"/>
      <c r="UN34" s="252"/>
      <c r="UO34" s="252"/>
      <c r="UP34" s="252"/>
      <c r="UQ34" s="252"/>
      <c r="UR34" s="252"/>
      <c r="US34" s="252"/>
      <c r="UT34" s="252"/>
      <c r="UU34" s="252"/>
      <c r="UV34" s="252"/>
      <c r="UW34" s="252"/>
      <c r="UX34" s="252"/>
      <c r="UY34" s="252"/>
      <c r="UZ34" s="252"/>
      <c r="VA34" s="252"/>
      <c r="VB34" s="252"/>
      <c r="VC34" s="252"/>
      <c r="VD34" s="252"/>
      <c r="VE34" s="252"/>
      <c r="VF34" s="252"/>
      <c r="VG34" s="252"/>
      <c r="VH34" s="252"/>
      <c r="VI34" s="252"/>
      <c r="VJ34" s="252"/>
      <c r="VK34" s="252"/>
      <c r="VL34" s="252"/>
      <c r="VM34" s="252"/>
      <c r="VN34" s="252"/>
      <c r="VO34" s="252"/>
      <c r="VP34" s="252"/>
      <c r="VQ34" s="252"/>
      <c r="VR34" s="252"/>
      <c r="VS34" s="252"/>
      <c r="VT34" s="252"/>
      <c r="VU34" s="252"/>
      <c r="VV34" s="252"/>
      <c r="VW34" s="252"/>
      <c r="VX34" s="252"/>
      <c r="VY34" s="252"/>
      <c r="VZ34" s="252"/>
      <c r="WA34" s="252"/>
      <c r="WB34" s="252"/>
      <c r="WC34" s="252"/>
      <c r="WD34" s="252"/>
      <c r="WE34" s="252"/>
      <c r="WF34" s="252"/>
      <c r="WG34" s="252"/>
      <c r="WH34" s="252"/>
      <c r="WI34" s="252"/>
      <c r="WJ34" s="252"/>
      <c r="WK34" s="252"/>
      <c r="WL34" s="252"/>
      <c r="WM34" s="252"/>
      <c r="WN34" s="252"/>
      <c r="WO34" s="252"/>
      <c r="WP34" s="252"/>
      <c r="WQ34" s="252"/>
      <c r="WR34" s="252"/>
      <c r="WS34" s="252"/>
      <c r="WT34" s="252"/>
      <c r="WU34" s="252"/>
      <c r="WV34" s="252"/>
      <c r="WW34" s="252"/>
      <c r="WX34" s="252"/>
      <c r="WY34" s="252"/>
      <c r="WZ34" s="252"/>
      <c r="XA34" s="252"/>
      <c r="XB34" s="252"/>
      <c r="XC34" s="252"/>
      <c r="XD34" s="252"/>
      <c r="XE34" s="252"/>
      <c r="XF34" s="252"/>
      <c r="XG34" s="252"/>
      <c r="XH34" s="252"/>
      <c r="XI34" s="252"/>
      <c r="XJ34" s="252"/>
      <c r="XK34" s="252"/>
      <c r="XL34" s="252"/>
      <c r="XM34" s="252"/>
      <c r="XN34" s="252"/>
      <c r="XO34" s="252"/>
      <c r="XP34" s="252"/>
      <c r="XQ34" s="252"/>
      <c r="XR34" s="252"/>
      <c r="XS34" s="252"/>
      <c r="XT34" s="252"/>
      <c r="XU34" s="252"/>
      <c r="XV34" s="252"/>
      <c r="XW34" s="252"/>
      <c r="XX34" s="252"/>
      <c r="XY34" s="252"/>
      <c r="XZ34" s="252"/>
      <c r="YA34" s="252"/>
      <c r="YB34" s="252"/>
      <c r="YC34" s="252"/>
      <c r="YD34" s="252"/>
      <c r="YE34" s="252"/>
      <c r="YF34" s="252"/>
      <c r="YG34" s="252"/>
      <c r="YH34" s="252"/>
      <c r="YI34" s="252"/>
      <c r="YJ34" s="252"/>
      <c r="YK34" s="252"/>
      <c r="YL34" s="252"/>
      <c r="YM34" s="252"/>
      <c r="YN34" s="252"/>
      <c r="YO34" s="252"/>
      <c r="YP34" s="252"/>
      <c r="YQ34" s="252"/>
      <c r="YR34" s="252"/>
      <c r="YS34" s="252"/>
      <c r="YT34" s="252"/>
      <c r="YU34" s="252"/>
      <c r="YV34" s="252"/>
      <c r="YW34" s="252"/>
      <c r="YX34" s="252"/>
      <c r="YY34" s="252"/>
      <c r="YZ34" s="252"/>
      <c r="ZA34" s="252"/>
      <c r="ZB34" s="252"/>
      <c r="ZC34" s="252"/>
      <c r="ZD34" s="252"/>
      <c r="ZE34" s="252"/>
      <c r="ZF34" s="252"/>
      <c r="ZG34" s="252"/>
      <c r="ZH34" s="252"/>
      <c r="ZI34" s="252"/>
      <c r="ZJ34" s="252"/>
      <c r="ZK34" s="252"/>
      <c r="ZL34" s="252"/>
      <c r="ZM34" s="252"/>
      <c r="ZN34" s="252"/>
      <c r="ZO34" s="252"/>
      <c r="ZP34" s="252"/>
      <c r="ZQ34" s="252"/>
      <c r="ZR34" s="252"/>
      <c r="ZS34" s="252"/>
      <c r="ZT34" s="252"/>
      <c r="ZU34" s="252"/>
      <c r="ZV34" s="252"/>
      <c r="ZW34" s="252"/>
      <c r="ZX34" s="252"/>
      <c r="ZY34" s="252"/>
      <c r="ZZ34" s="252"/>
      <c r="AAA34" s="252"/>
      <c r="AAB34" s="252"/>
      <c r="AAC34" s="252"/>
      <c r="AAD34" s="252"/>
      <c r="AAE34" s="252"/>
      <c r="AAF34" s="252"/>
      <c r="AAG34" s="252"/>
      <c r="AAH34" s="252"/>
      <c r="AAI34" s="252"/>
      <c r="AAJ34" s="252"/>
      <c r="AAK34" s="252"/>
      <c r="AAL34" s="252"/>
      <c r="AAM34" s="252"/>
      <c r="AAN34" s="252"/>
      <c r="AAO34" s="252"/>
      <c r="AAP34" s="252"/>
      <c r="AAQ34" s="252"/>
      <c r="AAR34" s="252"/>
      <c r="AAS34" s="252"/>
      <c r="AAT34" s="252"/>
      <c r="AAU34" s="252"/>
      <c r="AAV34" s="252"/>
      <c r="AAW34" s="252"/>
      <c r="AAX34" s="252"/>
      <c r="AAY34" s="252"/>
      <c r="AAZ34" s="252"/>
      <c r="ABA34" s="252"/>
      <c r="ABB34" s="252"/>
      <c r="ABC34" s="252"/>
      <c r="ABD34" s="252"/>
      <c r="ABE34" s="252"/>
      <c r="ABF34" s="252"/>
      <c r="ABG34" s="252"/>
      <c r="ABH34" s="252"/>
      <c r="ABI34" s="252"/>
      <c r="ABJ34" s="252"/>
      <c r="ABK34" s="252"/>
      <c r="ABL34" s="252"/>
      <c r="ABM34" s="252"/>
      <c r="ABN34" s="252"/>
      <c r="ABO34" s="252"/>
      <c r="ABP34" s="252"/>
      <c r="ABQ34" s="252"/>
      <c r="ABR34" s="252"/>
      <c r="ABS34" s="252"/>
      <c r="ABT34" s="252"/>
      <c r="ABU34" s="252"/>
      <c r="ABV34" s="252"/>
      <c r="ABW34" s="252"/>
      <c r="ABX34" s="252"/>
      <c r="ABY34" s="252"/>
      <c r="ABZ34" s="252"/>
      <c r="ACA34" s="252"/>
      <c r="ACB34" s="252"/>
      <c r="ACC34" s="252"/>
      <c r="ACD34" s="252"/>
      <c r="ACE34" s="252"/>
      <c r="ACF34" s="252"/>
      <c r="ACG34" s="252"/>
      <c r="ACH34" s="252"/>
      <c r="ACI34" s="252"/>
      <c r="ACJ34" s="252"/>
      <c r="ACK34" s="252"/>
      <c r="ACL34" s="252"/>
      <c r="ACM34" s="252"/>
      <c r="ACN34" s="252"/>
      <c r="ACO34" s="252"/>
      <c r="ACP34" s="252"/>
      <c r="ACQ34" s="252"/>
      <c r="ACR34" s="252"/>
      <c r="ACS34" s="252"/>
      <c r="ACT34" s="252"/>
      <c r="ACU34" s="252"/>
      <c r="ACV34" s="252"/>
      <c r="ACW34" s="252"/>
      <c r="ACX34" s="252"/>
      <c r="ACY34" s="252"/>
      <c r="ACZ34" s="252"/>
      <c r="ADA34" s="252"/>
      <c r="ADB34" s="252"/>
      <c r="ADC34" s="252"/>
      <c r="ADD34" s="252"/>
      <c r="ADE34" s="252"/>
      <c r="ADF34" s="252"/>
      <c r="ADG34" s="252"/>
      <c r="ADH34" s="252"/>
      <c r="ADI34" s="252"/>
      <c r="ADJ34" s="252"/>
      <c r="ADK34" s="252"/>
      <c r="ADL34" s="252"/>
      <c r="ADM34" s="252"/>
      <c r="ADN34" s="252"/>
      <c r="ADO34" s="252"/>
      <c r="ADP34" s="252"/>
      <c r="ADQ34" s="252"/>
      <c r="ADR34" s="252"/>
      <c r="ADS34" s="252"/>
      <c r="ADT34" s="252"/>
      <c r="ADU34" s="252"/>
      <c r="ADV34" s="252"/>
      <c r="ADW34" s="252"/>
      <c r="ADX34" s="252"/>
      <c r="ADY34" s="252"/>
      <c r="ADZ34" s="252"/>
      <c r="AEA34" s="252"/>
      <c r="AEB34" s="252"/>
      <c r="AEC34" s="252"/>
      <c r="AED34" s="252"/>
      <c r="AEE34" s="252"/>
      <c r="AEF34" s="252"/>
      <c r="AEG34" s="252"/>
      <c r="AEH34" s="252"/>
      <c r="AEI34" s="252"/>
      <c r="AEJ34" s="252"/>
      <c r="AEK34" s="252"/>
      <c r="AEL34" s="252"/>
      <c r="AEM34" s="252"/>
      <c r="AEN34" s="252"/>
      <c r="AEO34" s="252"/>
      <c r="AEP34" s="252"/>
      <c r="AEQ34" s="252"/>
      <c r="AER34" s="252"/>
      <c r="AES34" s="252"/>
      <c r="AET34" s="252"/>
      <c r="AEU34" s="252"/>
      <c r="AEV34" s="252"/>
      <c r="AEW34" s="252"/>
      <c r="AEX34" s="252"/>
      <c r="AEY34" s="252"/>
      <c r="AEZ34" s="252"/>
      <c r="AFA34" s="252"/>
      <c r="AFB34" s="252"/>
      <c r="AFC34" s="252"/>
      <c r="AFD34" s="252"/>
      <c r="AFE34" s="252"/>
      <c r="AFF34" s="252"/>
      <c r="AFG34" s="252"/>
      <c r="AFH34" s="252"/>
      <c r="AFI34" s="252"/>
      <c r="AFJ34" s="252"/>
      <c r="AFK34" s="252"/>
      <c r="AFL34" s="252"/>
      <c r="AFM34" s="252"/>
      <c r="AFN34" s="252"/>
      <c r="AFO34" s="252"/>
      <c r="AFP34" s="252"/>
      <c r="AFQ34" s="252"/>
      <c r="AFR34" s="252"/>
      <c r="AFS34" s="252"/>
      <c r="AFT34" s="252"/>
      <c r="AFU34" s="252"/>
      <c r="AFV34" s="252"/>
      <c r="AFW34" s="252"/>
      <c r="AFX34" s="252"/>
      <c r="AFY34" s="252"/>
      <c r="AFZ34" s="252"/>
      <c r="AGA34" s="252"/>
      <c r="AGB34" s="252"/>
      <c r="AGC34" s="252"/>
      <c r="AGD34" s="252"/>
      <c r="AGE34" s="252"/>
      <c r="AGF34" s="252"/>
      <c r="AGG34" s="252"/>
      <c r="AGH34" s="252"/>
      <c r="AGI34" s="252"/>
      <c r="AGJ34" s="252"/>
      <c r="AGK34" s="252"/>
      <c r="AGL34" s="252"/>
      <c r="AGM34" s="252"/>
      <c r="AGN34" s="252"/>
      <c r="AGO34" s="252"/>
      <c r="AGP34" s="252"/>
      <c r="AGQ34" s="252"/>
      <c r="AGR34" s="252"/>
      <c r="AGS34" s="252"/>
      <c r="AGT34" s="252"/>
      <c r="AGU34" s="252"/>
      <c r="AGV34" s="252"/>
      <c r="AGW34" s="252"/>
      <c r="AGX34" s="252"/>
      <c r="AGY34" s="252"/>
      <c r="AGZ34" s="252"/>
      <c r="AHA34" s="252"/>
      <c r="AHB34" s="252"/>
      <c r="AHC34" s="252"/>
      <c r="AHD34" s="252"/>
      <c r="AHE34" s="252"/>
      <c r="AHF34" s="252"/>
      <c r="AHG34" s="252"/>
      <c r="AHH34" s="252"/>
      <c r="AHI34" s="252"/>
      <c r="AHJ34" s="252"/>
      <c r="AHK34" s="252"/>
      <c r="AHL34" s="252"/>
      <c r="AHM34" s="252"/>
      <c r="AHN34" s="252"/>
      <c r="AHO34" s="252"/>
      <c r="AHP34" s="252"/>
      <c r="AHQ34" s="252"/>
      <c r="AHR34" s="252"/>
      <c r="AHS34" s="252"/>
      <c r="AHT34" s="252"/>
      <c r="AHU34" s="252"/>
      <c r="AHV34" s="252"/>
      <c r="AHW34" s="252"/>
      <c r="AHX34" s="252"/>
      <c r="AHY34" s="252"/>
      <c r="AHZ34" s="252"/>
      <c r="AIA34" s="252"/>
      <c r="AIB34" s="252"/>
      <c r="AIC34" s="252"/>
      <c r="AID34" s="252"/>
      <c r="AIE34" s="252"/>
      <c r="AIF34" s="252"/>
      <c r="AIG34" s="252"/>
      <c r="AIH34" s="252"/>
      <c r="AII34" s="252"/>
      <c r="AIJ34" s="252"/>
      <c r="AIK34" s="252"/>
      <c r="AIL34" s="252"/>
      <c r="AIM34" s="252"/>
      <c r="AIN34" s="252"/>
      <c r="AIO34" s="252"/>
      <c r="AIP34" s="252"/>
      <c r="AIQ34" s="252"/>
      <c r="AIR34" s="252"/>
      <c r="AIS34" s="252"/>
      <c r="AIT34" s="252"/>
      <c r="AIU34" s="252"/>
      <c r="AIV34" s="252"/>
      <c r="AIW34" s="252"/>
      <c r="AIX34" s="252"/>
      <c r="AIY34" s="252"/>
      <c r="AIZ34" s="252"/>
      <c r="AJA34" s="252"/>
      <c r="AJB34" s="252"/>
      <c r="AJC34" s="252"/>
      <c r="AJD34" s="252"/>
      <c r="AJE34" s="252"/>
      <c r="AJF34" s="252"/>
      <c r="AJG34" s="252"/>
      <c r="AJH34" s="252"/>
      <c r="AJI34" s="252"/>
      <c r="AJJ34" s="252"/>
      <c r="AJK34" s="252"/>
      <c r="AJL34" s="252"/>
      <c r="AJM34" s="252"/>
      <c r="AJN34" s="252"/>
      <c r="AJO34" s="252"/>
      <c r="AJP34" s="252"/>
      <c r="AJQ34" s="252"/>
      <c r="AJR34" s="252"/>
      <c r="AJS34" s="252"/>
      <c r="AJT34" s="252"/>
      <c r="AJU34" s="252"/>
      <c r="AJV34" s="252"/>
      <c r="AJW34" s="252"/>
      <c r="AJX34" s="252"/>
      <c r="AJY34" s="252"/>
      <c r="AJZ34" s="252"/>
      <c r="AKA34" s="252"/>
      <c r="AKB34" s="252"/>
      <c r="AKC34" s="252"/>
      <c r="AKD34" s="252"/>
      <c r="AKE34" s="252"/>
      <c r="AKF34" s="252"/>
      <c r="AKG34" s="252"/>
      <c r="AKH34" s="252"/>
      <c r="AKI34" s="252"/>
      <c r="AKJ34" s="252"/>
      <c r="AKK34" s="252"/>
      <c r="AKL34" s="252"/>
      <c r="AKM34" s="252"/>
      <c r="AKN34" s="252"/>
      <c r="AKO34" s="252"/>
      <c r="AKP34" s="252"/>
      <c r="AKQ34" s="252"/>
      <c r="AKR34" s="252"/>
      <c r="AKS34" s="252"/>
      <c r="AKT34" s="252"/>
      <c r="AKU34" s="252"/>
      <c r="AKV34" s="252"/>
      <c r="AKW34" s="252"/>
      <c r="AKX34" s="252"/>
      <c r="AKY34" s="252"/>
      <c r="AKZ34" s="252"/>
      <c r="ALA34" s="252"/>
      <c r="ALB34" s="252"/>
      <c r="ALC34" s="252"/>
      <c r="ALD34" s="252"/>
      <c r="ALE34" s="252"/>
      <c r="ALF34" s="252"/>
      <c r="ALG34" s="252"/>
      <c r="ALH34" s="252"/>
      <c r="ALI34" s="252"/>
      <c r="ALJ34" s="252"/>
      <c r="ALK34" s="252"/>
      <c r="ALL34" s="252"/>
      <c r="ALM34" s="252"/>
      <c r="ALN34" s="252"/>
      <c r="ALO34" s="252"/>
      <c r="ALP34" s="252"/>
      <c r="ALQ34" s="252"/>
      <c r="ALR34" s="252"/>
      <c r="ALS34" s="252"/>
    </row>
    <row r="35" spans="1:1007" s="3" customFormat="1" x14ac:dyDescent="0.2">
      <c r="A35" s="369" t="s">
        <v>291</v>
      </c>
      <c r="B35" s="380">
        <v>1.9</v>
      </c>
      <c r="C35" s="380">
        <v>1.9</v>
      </c>
      <c r="D35" s="380"/>
      <c r="E35" s="729"/>
      <c r="F35" s="730"/>
      <c r="G35" s="730"/>
      <c r="H35" s="730"/>
      <c r="I35" s="730"/>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2"/>
      <c r="BP35" s="252"/>
      <c r="BQ35" s="252"/>
      <c r="BR35" s="252"/>
      <c r="BS35" s="252"/>
      <c r="BT35" s="252"/>
      <c r="BU35" s="252"/>
      <c r="BV35" s="252"/>
      <c r="BW35" s="252"/>
      <c r="BX35" s="252"/>
      <c r="BY35" s="252"/>
      <c r="BZ35" s="252"/>
      <c r="CA35" s="252"/>
      <c r="CB35" s="252"/>
      <c r="CC35" s="252"/>
      <c r="CD35" s="252"/>
      <c r="CE35" s="252"/>
      <c r="CF35" s="252"/>
      <c r="CG35" s="252"/>
      <c r="CH35" s="252"/>
      <c r="CI35" s="252"/>
      <c r="CJ35" s="252"/>
      <c r="CK35" s="252"/>
      <c r="CL35" s="252"/>
      <c r="CM35" s="252"/>
      <c r="CN35" s="252"/>
      <c r="CO35" s="252"/>
      <c r="CP35" s="252"/>
      <c r="CQ35" s="252"/>
      <c r="CR35" s="252"/>
      <c r="CS35" s="252"/>
      <c r="CT35" s="252"/>
      <c r="CU35" s="252"/>
      <c r="CV35" s="252"/>
      <c r="CW35" s="252"/>
      <c r="CX35" s="252"/>
      <c r="CY35" s="252"/>
      <c r="CZ35" s="252"/>
      <c r="DA35" s="252"/>
      <c r="DB35" s="252"/>
      <c r="DC35" s="252"/>
      <c r="DD35" s="252"/>
      <c r="DE35" s="252"/>
      <c r="DF35" s="252"/>
      <c r="DG35" s="252"/>
      <c r="DH35" s="252"/>
      <c r="DI35" s="252"/>
      <c r="DJ35" s="252"/>
      <c r="DK35" s="252"/>
      <c r="DL35" s="252"/>
      <c r="DM35" s="252"/>
      <c r="DN35" s="252"/>
      <c r="DO35" s="252"/>
      <c r="DP35" s="252"/>
      <c r="DQ35" s="252"/>
      <c r="DR35" s="252"/>
      <c r="DS35" s="252"/>
      <c r="DT35" s="252"/>
      <c r="DU35" s="252"/>
      <c r="DV35" s="252"/>
      <c r="DW35" s="252"/>
      <c r="DX35" s="252"/>
      <c r="DY35" s="252"/>
      <c r="DZ35" s="252"/>
      <c r="EA35" s="252"/>
      <c r="EB35" s="252"/>
      <c r="EC35" s="252"/>
      <c r="ED35" s="252"/>
      <c r="EE35" s="252"/>
      <c r="EF35" s="252"/>
      <c r="EG35" s="252"/>
      <c r="EH35" s="252"/>
      <c r="EI35" s="252"/>
      <c r="EJ35" s="252"/>
      <c r="EK35" s="252"/>
      <c r="EL35" s="252"/>
      <c r="EM35" s="252"/>
      <c r="EN35" s="252"/>
      <c r="EO35" s="252"/>
      <c r="EP35" s="252"/>
      <c r="EQ35" s="252"/>
      <c r="ER35" s="252"/>
      <c r="ES35" s="252"/>
      <c r="ET35" s="252"/>
      <c r="EU35" s="252"/>
      <c r="EV35" s="252"/>
      <c r="EW35" s="252"/>
      <c r="EX35" s="252"/>
      <c r="EY35" s="252"/>
      <c r="EZ35" s="252"/>
      <c r="FA35" s="252"/>
      <c r="FB35" s="252"/>
      <c r="FC35" s="252"/>
      <c r="FD35" s="252"/>
      <c r="FE35" s="252"/>
      <c r="FF35" s="252"/>
      <c r="FG35" s="252"/>
      <c r="FH35" s="252"/>
      <c r="FI35" s="252"/>
      <c r="FJ35" s="252"/>
      <c r="FK35" s="252"/>
      <c r="FL35" s="252"/>
      <c r="FM35" s="252"/>
      <c r="FN35" s="252"/>
      <c r="FO35" s="252"/>
      <c r="FP35" s="252"/>
      <c r="FQ35" s="252"/>
      <c r="FR35" s="252"/>
      <c r="FS35" s="252"/>
      <c r="FT35" s="252"/>
      <c r="FU35" s="252"/>
      <c r="FV35" s="252"/>
      <c r="FW35" s="252"/>
      <c r="FX35" s="252"/>
      <c r="FY35" s="252"/>
      <c r="FZ35" s="252"/>
      <c r="GA35" s="252"/>
      <c r="GB35" s="252"/>
      <c r="GC35" s="252"/>
      <c r="GD35" s="252"/>
      <c r="GE35" s="252"/>
      <c r="GF35" s="252"/>
      <c r="GG35" s="252"/>
      <c r="GH35" s="252"/>
      <c r="GI35" s="252"/>
      <c r="GJ35" s="252"/>
      <c r="GK35" s="252"/>
      <c r="GL35" s="252"/>
      <c r="GM35" s="252"/>
      <c r="GN35" s="252"/>
      <c r="GO35" s="252"/>
      <c r="GP35" s="252"/>
      <c r="GQ35" s="252"/>
      <c r="GR35" s="252"/>
      <c r="GS35" s="252"/>
      <c r="GT35" s="252"/>
      <c r="GU35" s="252"/>
      <c r="GV35" s="252"/>
      <c r="GW35" s="252"/>
      <c r="GX35" s="252"/>
      <c r="GY35" s="252"/>
      <c r="GZ35" s="252"/>
      <c r="HA35" s="252"/>
      <c r="HB35" s="252"/>
      <c r="HC35" s="252"/>
      <c r="HD35" s="252"/>
      <c r="HE35" s="252"/>
      <c r="HF35" s="252"/>
      <c r="HG35" s="252"/>
      <c r="HH35" s="252"/>
      <c r="HI35" s="252"/>
      <c r="HJ35" s="252"/>
      <c r="HK35" s="252"/>
      <c r="HL35" s="252"/>
      <c r="HM35" s="252"/>
      <c r="HN35" s="252"/>
      <c r="HO35" s="252"/>
      <c r="HP35" s="252"/>
      <c r="HQ35" s="252"/>
      <c r="HR35" s="252"/>
      <c r="HS35" s="252"/>
      <c r="HT35" s="252"/>
      <c r="HU35" s="252"/>
      <c r="HV35" s="252"/>
      <c r="HW35" s="252"/>
      <c r="HX35" s="252"/>
      <c r="HY35" s="252"/>
      <c r="HZ35" s="252"/>
      <c r="IA35" s="252"/>
      <c r="IB35" s="252"/>
      <c r="IC35" s="252"/>
      <c r="ID35" s="252"/>
      <c r="IE35" s="252"/>
      <c r="IF35" s="252"/>
      <c r="IG35" s="252"/>
      <c r="IH35" s="252"/>
      <c r="II35" s="252"/>
      <c r="IJ35" s="252"/>
      <c r="IK35" s="252"/>
      <c r="IL35" s="252"/>
      <c r="IM35" s="252"/>
      <c r="IN35" s="252"/>
      <c r="IO35" s="252"/>
      <c r="IP35" s="252"/>
      <c r="IQ35" s="252"/>
      <c r="IR35" s="252"/>
      <c r="IS35" s="252"/>
      <c r="IT35" s="252"/>
      <c r="IU35" s="252"/>
      <c r="IV35" s="252"/>
      <c r="IW35" s="252"/>
      <c r="IX35" s="252"/>
      <c r="IY35" s="252"/>
      <c r="IZ35" s="252"/>
      <c r="JA35" s="252"/>
      <c r="JB35" s="252"/>
      <c r="JC35" s="252"/>
      <c r="JD35" s="252"/>
      <c r="JE35" s="252"/>
      <c r="JF35" s="252"/>
      <c r="JG35" s="252"/>
      <c r="JH35" s="252"/>
      <c r="JI35" s="252"/>
      <c r="JJ35" s="252"/>
      <c r="JK35" s="252"/>
      <c r="JL35" s="252"/>
      <c r="JM35" s="252"/>
      <c r="JN35" s="252"/>
      <c r="JO35" s="252"/>
      <c r="JP35" s="252"/>
      <c r="JQ35" s="252"/>
      <c r="JR35" s="252"/>
      <c r="JS35" s="252"/>
      <c r="JT35" s="252"/>
      <c r="JU35" s="252"/>
      <c r="JV35" s="252"/>
      <c r="JW35" s="252"/>
      <c r="JX35" s="252"/>
      <c r="JY35" s="252"/>
      <c r="JZ35" s="252"/>
      <c r="KA35" s="252"/>
      <c r="KB35" s="252"/>
      <c r="KC35" s="252"/>
      <c r="KD35" s="252"/>
      <c r="KE35" s="252"/>
      <c r="KF35" s="252"/>
      <c r="KG35" s="252"/>
      <c r="KH35" s="252"/>
      <c r="KI35" s="252"/>
      <c r="KJ35" s="252"/>
      <c r="KK35" s="252"/>
      <c r="KL35" s="252"/>
      <c r="KM35" s="252"/>
      <c r="KN35" s="252"/>
      <c r="KO35" s="252"/>
      <c r="KP35" s="252"/>
      <c r="KQ35" s="252"/>
      <c r="KR35" s="252"/>
      <c r="KS35" s="252"/>
      <c r="KT35" s="252"/>
      <c r="KU35" s="252"/>
      <c r="KV35" s="252"/>
      <c r="KW35" s="252"/>
      <c r="KX35" s="252"/>
      <c r="KY35" s="252"/>
      <c r="KZ35" s="252"/>
      <c r="LA35" s="252"/>
      <c r="LB35" s="252"/>
      <c r="LC35" s="252"/>
      <c r="LD35" s="252"/>
      <c r="LE35" s="252"/>
      <c r="LF35" s="252"/>
      <c r="LG35" s="252"/>
      <c r="LH35" s="252"/>
      <c r="LI35" s="252"/>
      <c r="LJ35" s="252"/>
      <c r="LK35" s="252"/>
      <c r="LL35" s="252"/>
      <c r="LM35" s="252"/>
      <c r="LN35" s="252"/>
      <c r="LO35" s="252"/>
      <c r="LP35" s="252"/>
      <c r="LQ35" s="252"/>
      <c r="LR35" s="252"/>
      <c r="LS35" s="252"/>
      <c r="LT35" s="252"/>
      <c r="LU35" s="252"/>
      <c r="LV35" s="252"/>
      <c r="LW35" s="252"/>
      <c r="LX35" s="252"/>
      <c r="LY35" s="252"/>
      <c r="LZ35" s="252"/>
      <c r="MA35" s="252"/>
      <c r="MB35" s="252"/>
      <c r="MC35" s="252"/>
      <c r="MD35" s="252"/>
      <c r="ME35" s="252"/>
      <c r="MF35" s="252"/>
      <c r="MG35" s="252"/>
      <c r="MH35" s="252"/>
      <c r="MI35" s="252"/>
      <c r="MJ35" s="252"/>
      <c r="MK35" s="252"/>
      <c r="ML35" s="252"/>
      <c r="MM35" s="252"/>
      <c r="MN35" s="252"/>
      <c r="MO35" s="252"/>
      <c r="MP35" s="252"/>
      <c r="MQ35" s="252"/>
      <c r="MR35" s="252"/>
      <c r="MS35" s="252"/>
      <c r="MT35" s="252"/>
      <c r="MU35" s="252"/>
      <c r="MV35" s="252"/>
      <c r="MW35" s="252"/>
      <c r="MX35" s="252"/>
      <c r="MY35" s="252"/>
      <c r="MZ35" s="252"/>
      <c r="NA35" s="252"/>
      <c r="NB35" s="252"/>
      <c r="NC35" s="252"/>
      <c r="ND35" s="252"/>
      <c r="NE35" s="252"/>
      <c r="NF35" s="252"/>
      <c r="NG35" s="252"/>
      <c r="NH35" s="252"/>
      <c r="NI35" s="252"/>
      <c r="NJ35" s="252"/>
      <c r="NK35" s="252"/>
      <c r="NL35" s="252"/>
      <c r="NM35" s="252"/>
      <c r="NN35" s="252"/>
      <c r="NO35" s="252"/>
      <c r="NP35" s="252"/>
      <c r="NQ35" s="252"/>
      <c r="NR35" s="252"/>
      <c r="NS35" s="252"/>
      <c r="NT35" s="252"/>
      <c r="NU35" s="252"/>
      <c r="NV35" s="252"/>
      <c r="NW35" s="252"/>
      <c r="NX35" s="252"/>
      <c r="NY35" s="252"/>
      <c r="NZ35" s="252"/>
      <c r="OA35" s="252"/>
      <c r="OB35" s="252"/>
      <c r="OC35" s="252"/>
      <c r="OD35" s="252"/>
      <c r="OE35" s="252"/>
      <c r="OF35" s="252"/>
      <c r="OG35" s="252"/>
      <c r="OH35" s="252"/>
      <c r="OI35" s="252"/>
      <c r="OJ35" s="252"/>
      <c r="OK35" s="252"/>
      <c r="OL35" s="252"/>
      <c r="OM35" s="252"/>
      <c r="ON35" s="252"/>
      <c r="OO35" s="252"/>
      <c r="OP35" s="252"/>
      <c r="OQ35" s="252"/>
      <c r="OR35" s="252"/>
      <c r="OS35" s="252"/>
      <c r="OT35" s="252"/>
      <c r="OU35" s="252"/>
      <c r="OV35" s="252"/>
      <c r="OW35" s="252"/>
      <c r="OX35" s="252"/>
      <c r="OY35" s="252"/>
      <c r="OZ35" s="252"/>
      <c r="PA35" s="252"/>
      <c r="PB35" s="252"/>
      <c r="PC35" s="252"/>
      <c r="PD35" s="252"/>
      <c r="PE35" s="252"/>
      <c r="PF35" s="252"/>
      <c r="PG35" s="252"/>
      <c r="PH35" s="252"/>
      <c r="PI35" s="252"/>
      <c r="PJ35" s="252"/>
      <c r="PK35" s="252"/>
      <c r="PL35" s="252"/>
      <c r="PM35" s="252"/>
      <c r="PN35" s="252"/>
      <c r="PO35" s="252"/>
      <c r="PP35" s="252"/>
      <c r="PQ35" s="252"/>
      <c r="PR35" s="252"/>
      <c r="PS35" s="252"/>
      <c r="PT35" s="252"/>
      <c r="PU35" s="252"/>
      <c r="PV35" s="252"/>
      <c r="PW35" s="252"/>
      <c r="PX35" s="252"/>
      <c r="PY35" s="252"/>
      <c r="PZ35" s="252"/>
      <c r="QA35" s="252"/>
      <c r="QB35" s="252"/>
      <c r="QC35" s="252"/>
      <c r="QD35" s="252"/>
      <c r="QE35" s="252"/>
      <c r="QF35" s="252"/>
      <c r="QG35" s="252"/>
      <c r="QH35" s="252"/>
      <c r="QI35" s="252"/>
      <c r="QJ35" s="252"/>
      <c r="QK35" s="252"/>
      <c r="QL35" s="252"/>
      <c r="QM35" s="252"/>
      <c r="QN35" s="252"/>
      <c r="QO35" s="252"/>
      <c r="QP35" s="252"/>
      <c r="QQ35" s="252"/>
      <c r="QR35" s="252"/>
      <c r="QS35" s="252"/>
      <c r="QT35" s="252"/>
      <c r="QU35" s="252"/>
      <c r="QV35" s="252"/>
      <c r="QW35" s="252"/>
      <c r="QX35" s="252"/>
      <c r="QY35" s="252"/>
      <c r="QZ35" s="252"/>
      <c r="RA35" s="252"/>
      <c r="RB35" s="252"/>
      <c r="RC35" s="252"/>
      <c r="RD35" s="252"/>
      <c r="RE35" s="252"/>
      <c r="RF35" s="252"/>
      <c r="RG35" s="252"/>
      <c r="RH35" s="252"/>
      <c r="RI35" s="252"/>
      <c r="RJ35" s="252"/>
      <c r="RK35" s="252"/>
      <c r="RL35" s="252"/>
      <c r="RM35" s="252"/>
      <c r="RN35" s="252"/>
      <c r="RO35" s="252"/>
      <c r="RP35" s="252"/>
      <c r="RQ35" s="252"/>
      <c r="RR35" s="252"/>
      <c r="RS35" s="252"/>
      <c r="RT35" s="252"/>
      <c r="RU35" s="252"/>
      <c r="RV35" s="252"/>
      <c r="RW35" s="252"/>
      <c r="RX35" s="252"/>
      <c r="RY35" s="252"/>
      <c r="RZ35" s="252"/>
      <c r="SA35" s="252"/>
      <c r="SB35" s="252"/>
      <c r="SC35" s="252"/>
      <c r="SD35" s="252"/>
      <c r="SE35" s="252"/>
      <c r="SF35" s="252"/>
      <c r="SG35" s="252"/>
      <c r="SH35" s="252"/>
      <c r="SI35" s="252"/>
      <c r="SJ35" s="252"/>
      <c r="SK35" s="252"/>
      <c r="SL35" s="252"/>
      <c r="SM35" s="252"/>
      <c r="SN35" s="252"/>
      <c r="SO35" s="252"/>
      <c r="SP35" s="252"/>
      <c r="SQ35" s="252"/>
      <c r="SR35" s="252"/>
      <c r="SS35" s="252"/>
      <c r="ST35" s="252"/>
      <c r="SU35" s="252"/>
      <c r="SV35" s="252"/>
      <c r="SW35" s="252"/>
      <c r="SX35" s="252"/>
      <c r="SY35" s="252"/>
      <c r="SZ35" s="252"/>
      <c r="TA35" s="252"/>
      <c r="TB35" s="252"/>
      <c r="TC35" s="252"/>
      <c r="TD35" s="252"/>
      <c r="TE35" s="252"/>
      <c r="TF35" s="252"/>
      <c r="TG35" s="252"/>
      <c r="TH35" s="252"/>
      <c r="TI35" s="252"/>
      <c r="TJ35" s="252"/>
      <c r="TK35" s="252"/>
      <c r="TL35" s="252"/>
      <c r="TM35" s="252"/>
      <c r="TN35" s="252"/>
      <c r="TO35" s="252"/>
      <c r="TP35" s="252"/>
      <c r="TQ35" s="252"/>
      <c r="TR35" s="252"/>
      <c r="TS35" s="252"/>
      <c r="TT35" s="252"/>
      <c r="TU35" s="252"/>
      <c r="TV35" s="252"/>
      <c r="TW35" s="252"/>
      <c r="TX35" s="252"/>
      <c r="TY35" s="252"/>
      <c r="TZ35" s="252"/>
      <c r="UA35" s="252"/>
      <c r="UB35" s="252"/>
      <c r="UC35" s="252"/>
      <c r="UD35" s="252"/>
      <c r="UE35" s="252"/>
      <c r="UF35" s="252"/>
      <c r="UG35" s="252"/>
      <c r="UH35" s="252"/>
      <c r="UI35" s="252"/>
      <c r="UJ35" s="252"/>
      <c r="UK35" s="252"/>
      <c r="UL35" s="252"/>
      <c r="UM35" s="252"/>
      <c r="UN35" s="252"/>
      <c r="UO35" s="252"/>
      <c r="UP35" s="252"/>
      <c r="UQ35" s="252"/>
      <c r="UR35" s="252"/>
      <c r="US35" s="252"/>
      <c r="UT35" s="252"/>
      <c r="UU35" s="252"/>
      <c r="UV35" s="252"/>
      <c r="UW35" s="252"/>
      <c r="UX35" s="252"/>
      <c r="UY35" s="252"/>
      <c r="UZ35" s="252"/>
      <c r="VA35" s="252"/>
      <c r="VB35" s="252"/>
      <c r="VC35" s="252"/>
      <c r="VD35" s="252"/>
      <c r="VE35" s="252"/>
      <c r="VF35" s="252"/>
      <c r="VG35" s="252"/>
      <c r="VH35" s="252"/>
      <c r="VI35" s="252"/>
      <c r="VJ35" s="252"/>
      <c r="VK35" s="252"/>
      <c r="VL35" s="252"/>
      <c r="VM35" s="252"/>
      <c r="VN35" s="252"/>
      <c r="VO35" s="252"/>
      <c r="VP35" s="252"/>
      <c r="VQ35" s="252"/>
      <c r="VR35" s="252"/>
      <c r="VS35" s="252"/>
      <c r="VT35" s="252"/>
      <c r="VU35" s="252"/>
      <c r="VV35" s="252"/>
      <c r="VW35" s="252"/>
      <c r="VX35" s="252"/>
      <c r="VY35" s="252"/>
      <c r="VZ35" s="252"/>
      <c r="WA35" s="252"/>
      <c r="WB35" s="252"/>
      <c r="WC35" s="252"/>
      <c r="WD35" s="252"/>
      <c r="WE35" s="252"/>
      <c r="WF35" s="252"/>
      <c r="WG35" s="252"/>
      <c r="WH35" s="252"/>
      <c r="WI35" s="252"/>
      <c r="WJ35" s="252"/>
      <c r="WK35" s="252"/>
      <c r="WL35" s="252"/>
      <c r="WM35" s="252"/>
      <c r="WN35" s="252"/>
      <c r="WO35" s="252"/>
      <c r="WP35" s="252"/>
      <c r="WQ35" s="252"/>
      <c r="WR35" s="252"/>
      <c r="WS35" s="252"/>
      <c r="WT35" s="252"/>
      <c r="WU35" s="252"/>
      <c r="WV35" s="252"/>
      <c r="WW35" s="252"/>
      <c r="WX35" s="252"/>
      <c r="WY35" s="252"/>
      <c r="WZ35" s="252"/>
      <c r="XA35" s="252"/>
      <c r="XB35" s="252"/>
      <c r="XC35" s="252"/>
      <c r="XD35" s="252"/>
      <c r="XE35" s="252"/>
      <c r="XF35" s="252"/>
      <c r="XG35" s="252"/>
      <c r="XH35" s="252"/>
      <c r="XI35" s="252"/>
      <c r="XJ35" s="252"/>
      <c r="XK35" s="252"/>
      <c r="XL35" s="252"/>
      <c r="XM35" s="252"/>
      <c r="XN35" s="252"/>
      <c r="XO35" s="252"/>
      <c r="XP35" s="252"/>
      <c r="XQ35" s="252"/>
      <c r="XR35" s="252"/>
      <c r="XS35" s="252"/>
      <c r="XT35" s="252"/>
      <c r="XU35" s="252"/>
      <c r="XV35" s="252"/>
      <c r="XW35" s="252"/>
      <c r="XX35" s="252"/>
      <c r="XY35" s="252"/>
      <c r="XZ35" s="252"/>
      <c r="YA35" s="252"/>
      <c r="YB35" s="252"/>
      <c r="YC35" s="252"/>
      <c r="YD35" s="252"/>
      <c r="YE35" s="252"/>
      <c r="YF35" s="252"/>
      <c r="YG35" s="252"/>
      <c r="YH35" s="252"/>
      <c r="YI35" s="252"/>
      <c r="YJ35" s="252"/>
      <c r="YK35" s="252"/>
      <c r="YL35" s="252"/>
      <c r="YM35" s="252"/>
      <c r="YN35" s="252"/>
      <c r="YO35" s="252"/>
      <c r="YP35" s="252"/>
      <c r="YQ35" s="252"/>
      <c r="YR35" s="252"/>
      <c r="YS35" s="252"/>
      <c r="YT35" s="252"/>
      <c r="YU35" s="252"/>
      <c r="YV35" s="252"/>
      <c r="YW35" s="252"/>
      <c r="YX35" s="252"/>
      <c r="YY35" s="252"/>
      <c r="YZ35" s="252"/>
      <c r="ZA35" s="252"/>
      <c r="ZB35" s="252"/>
      <c r="ZC35" s="252"/>
      <c r="ZD35" s="252"/>
      <c r="ZE35" s="252"/>
      <c r="ZF35" s="252"/>
      <c r="ZG35" s="252"/>
      <c r="ZH35" s="252"/>
      <c r="ZI35" s="252"/>
      <c r="ZJ35" s="252"/>
      <c r="ZK35" s="252"/>
      <c r="ZL35" s="252"/>
      <c r="ZM35" s="252"/>
      <c r="ZN35" s="252"/>
      <c r="ZO35" s="252"/>
      <c r="ZP35" s="252"/>
      <c r="ZQ35" s="252"/>
      <c r="ZR35" s="252"/>
      <c r="ZS35" s="252"/>
      <c r="ZT35" s="252"/>
      <c r="ZU35" s="252"/>
      <c r="ZV35" s="252"/>
      <c r="ZW35" s="252"/>
      <c r="ZX35" s="252"/>
      <c r="ZY35" s="252"/>
      <c r="ZZ35" s="252"/>
      <c r="AAA35" s="252"/>
      <c r="AAB35" s="252"/>
      <c r="AAC35" s="252"/>
      <c r="AAD35" s="252"/>
      <c r="AAE35" s="252"/>
      <c r="AAF35" s="252"/>
      <c r="AAG35" s="252"/>
      <c r="AAH35" s="252"/>
      <c r="AAI35" s="252"/>
      <c r="AAJ35" s="252"/>
      <c r="AAK35" s="252"/>
      <c r="AAL35" s="252"/>
      <c r="AAM35" s="252"/>
      <c r="AAN35" s="252"/>
      <c r="AAO35" s="252"/>
      <c r="AAP35" s="252"/>
      <c r="AAQ35" s="252"/>
      <c r="AAR35" s="252"/>
      <c r="AAS35" s="252"/>
      <c r="AAT35" s="252"/>
      <c r="AAU35" s="252"/>
      <c r="AAV35" s="252"/>
      <c r="AAW35" s="252"/>
      <c r="AAX35" s="252"/>
      <c r="AAY35" s="252"/>
      <c r="AAZ35" s="252"/>
      <c r="ABA35" s="252"/>
      <c r="ABB35" s="252"/>
      <c r="ABC35" s="252"/>
      <c r="ABD35" s="252"/>
      <c r="ABE35" s="252"/>
      <c r="ABF35" s="252"/>
      <c r="ABG35" s="252"/>
      <c r="ABH35" s="252"/>
      <c r="ABI35" s="252"/>
      <c r="ABJ35" s="252"/>
      <c r="ABK35" s="252"/>
      <c r="ABL35" s="252"/>
      <c r="ABM35" s="252"/>
      <c r="ABN35" s="252"/>
      <c r="ABO35" s="252"/>
      <c r="ABP35" s="252"/>
      <c r="ABQ35" s="252"/>
      <c r="ABR35" s="252"/>
      <c r="ABS35" s="252"/>
      <c r="ABT35" s="252"/>
      <c r="ABU35" s="252"/>
      <c r="ABV35" s="252"/>
      <c r="ABW35" s="252"/>
      <c r="ABX35" s="252"/>
      <c r="ABY35" s="252"/>
      <c r="ABZ35" s="252"/>
      <c r="ACA35" s="252"/>
      <c r="ACB35" s="252"/>
      <c r="ACC35" s="252"/>
      <c r="ACD35" s="252"/>
      <c r="ACE35" s="252"/>
      <c r="ACF35" s="252"/>
      <c r="ACG35" s="252"/>
      <c r="ACH35" s="252"/>
      <c r="ACI35" s="252"/>
      <c r="ACJ35" s="252"/>
      <c r="ACK35" s="252"/>
      <c r="ACL35" s="252"/>
      <c r="ACM35" s="252"/>
      <c r="ACN35" s="252"/>
      <c r="ACO35" s="252"/>
      <c r="ACP35" s="252"/>
      <c r="ACQ35" s="252"/>
      <c r="ACR35" s="252"/>
      <c r="ACS35" s="252"/>
      <c r="ACT35" s="252"/>
      <c r="ACU35" s="252"/>
      <c r="ACV35" s="252"/>
      <c r="ACW35" s="252"/>
      <c r="ACX35" s="252"/>
      <c r="ACY35" s="252"/>
      <c r="ACZ35" s="252"/>
      <c r="ADA35" s="252"/>
      <c r="ADB35" s="252"/>
      <c r="ADC35" s="252"/>
      <c r="ADD35" s="252"/>
      <c r="ADE35" s="252"/>
      <c r="ADF35" s="252"/>
      <c r="ADG35" s="252"/>
      <c r="ADH35" s="252"/>
      <c r="ADI35" s="252"/>
      <c r="ADJ35" s="252"/>
      <c r="ADK35" s="252"/>
      <c r="ADL35" s="252"/>
      <c r="ADM35" s="252"/>
      <c r="ADN35" s="252"/>
      <c r="ADO35" s="252"/>
      <c r="ADP35" s="252"/>
      <c r="ADQ35" s="252"/>
      <c r="ADR35" s="252"/>
      <c r="ADS35" s="252"/>
      <c r="ADT35" s="252"/>
      <c r="ADU35" s="252"/>
      <c r="ADV35" s="252"/>
      <c r="ADW35" s="252"/>
      <c r="ADX35" s="252"/>
      <c r="ADY35" s="252"/>
      <c r="ADZ35" s="252"/>
      <c r="AEA35" s="252"/>
      <c r="AEB35" s="252"/>
      <c r="AEC35" s="252"/>
      <c r="AED35" s="252"/>
      <c r="AEE35" s="252"/>
      <c r="AEF35" s="252"/>
      <c r="AEG35" s="252"/>
      <c r="AEH35" s="252"/>
      <c r="AEI35" s="252"/>
      <c r="AEJ35" s="252"/>
      <c r="AEK35" s="252"/>
      <c r="AEL35" s="252"/>
      <c r="AEM35" s="252"/>
      <c r="AEN35" s="252"/>
      <c r="AEO35" s="252"/>
      <c r="AEP35" s="252"/>
      <c r="AEQ35" s="252"/>
      <c r="AER35" s="252"/>
      <c r="AES35" s="252"/>
      <c r="AET35" s="252"/>
      <c r="AEU35" s="252"/>
      <c r="AEV35" s="252"/>
      <c r="AEW35" s="252"/>
      <c r="AEX35" s="252"/>
      <c r="AEY35" s="252"/>
      <c r="AEZ35" s="252"/>
      <c r="AFA35" s="252"/>
      <c r="AFB35" s="252"/>
      <c r="AFC35" s="252"/>
      <c r="AFD35" s="252"/>
      <c r="AFE35" s="252"/>
      <c r="AFF35" s="252"/>
      <c r="AFG35" s="252"/>
      <c r="AFH35" s="252"/>
      <c r="AFI35" s="252"/>
      <c r="AFJ35" s="252"/>
      <c r="AFK35" s="252"/>
      <c r="AFL35" s="252"/>
      <c r="AFM35" s="252"/>
      <c r="AFN35" s="252"/>
      <c r="AFO35" s="252"/>
      <c r="AFP35" s="252"/>
      <c r="AFQ35" s="252"/>
      <c r="AFR35" s="252"/>
      <c r="AFS35" s="252"/>
      <c r="AFT35" s="252"/>
      <c r="AFU35" s="252"/>
      <c r="AFV35" s="252"/>
      <c r="AFW35" s="252"/>
      <c r="AFX35" s="252"/>
      <c r="AFY35" s="252"/>
      <c r="AFZ35" s="252"/>
      <c r="AGA35" s="252"/>
      <c r="AGB35" s="252"/>
      <c r="AGC35" s="252"/>
      <c r="AGD35" s="252"/>
      <c r="AGE35" s="252"/>
      <c r="AGF35" s="252"/>
      <c r="AGG35" s="252"/>
      <c r="AGH35" s="252"/>
      <c r="AGI35" s="252"/>
      <c r="AGJ35" s="252"/>
      <c r="AGK35" s="252"/>
      <c r="AGL35" s="252"/>
      <c r="AGM35" s="252"/>
      <c r="AGN35" s="252"/>
      <c r="AGO35" s="252"/>
      <c r="AGP35" s="252"/>
      <c r="AGQ35" s="252"/>
      <c r="AGR35" s="252"/>
      <c r="AGS35" s="252"/>
      <c r="AGT35" s="252"/>
      <c r="AGU35" s="252"/>
      <c r="AGV35" s="252"/>
      <c r="AGW35" s="252"/>
      <c r="AGX35" s="252"/>
      <c r="AGY35" s="252"/>
      <c r="AGZ35" s="252"/>
      <c r="AHA35" s="252"/>
      <c r="AHB35" s="252"/>
      <c r="AHC35" s="252"/>
      <c r="AHD35" s="252"/>
      <c r="AHE35" s="252"/>
      <c r="AHF35" s="252"/>
      <c r="AHG35" s="252"/>
      <c r="AHH35" s="252"/>
      <c r="AHI35" s="252"/>
      <c r="AHJ35" s="252"/>
      <c r="AHK35" s="252"/>
      <c r="AHL35" s="252"/>
      <c r="AHM35" s="252"/>
      <c r="AHN35" s="252"/>
      <c r="AHO35" s="252"/>
      <c r="AHP35" s="252"/>
      <c r="AHQ35" s="252"/>
      <c r="AHR35" s="252"/>
      <c r="AHS35" s="252"/>
      <c r="AHT35" s="252"/>
      <c r="AHU35" s="252"/>
      <c r="AHV35" s="252"/>
      <c r="AHW35" s="252"/>
      <c r="AHX35" s="252"/>
      <c r="AHY35" s="252"/>
      <c r="AHZ35" s="252"/>
      <c r="AIA35" s="252"/>
      <c r="AIB35" s="252"/>
      <c r="AIC35" s="252"/>
      <c r="AID35" s="252"/>
      <c r="AIE35" s="252"/>
      <c r="AIF35" s="252"/>
      <c r="AIG35" s="252"/>
      <c r="AIH35" s="252"/>
      <c r="AII35" s="252"/>
      <c r="AIJ35" s="252"/>
      <c r="AIK35" s="252"/>
      <c r="AIL35" s="252"/>
      <c r="AIM35" s="252"/>
      <c r="AIN35" s="252"/>
      <c r="AIO35" s="252"/>
      <c r="AIP35" s="252"/>
      <c r="AIQ35" s="252"/>
      <c r="AIR35" s="252"/>
      <c r="AIS35" s="252"/>
      <c r="AIT35" s="252"/>
      <c r="AIU35" s="252"/>
      <c r="AIV35" s="252"/>
      <c r="AIW35" s="252"/>
      <c r="AIX35" s="252"/>
      <c r="AIY35" s="252"/>
      <c r="AIZ35" s="252"/>
      <c r="AJA35" s="252"/>
      <c r="AJB35" s="252"/>
      <c r="AJC35" s="252"/>
      <c r="AJD35" s="252"/>
      <c r="AJE35" s="252"/>
      <c r="AJF35" s="252"/>
      <c r="AJG35" s="252"/>
      <c r="AJH35" s="252"/>
      <c r="AJI35" s="252"/>
      <c r="AJJ35" s="252"/>
      <c r="AJK35" s="252"/>
      <c r="AJL35" s="252"/>
      <c r="AJM35" s="252"/>
      <c r="AJN35" s="252"/>
      <c r="AJO35" s="252"/>
      <c r="AJP35" s="252"/>
      <c r="AJQ35" s="252"/>
      <c r="AJR35" s="252"/>
      <c r="AJS35" s="252"/>
      <c r="AJT35" s="252"/>
      <c r="AJU35" s="252"/>
      <c r="AJV35" s="252"/>
      <c r="AJW35" s="252"/>
      <c r="AJX35" s="252"/>
      <c r="AJY35" s="252"/>
      <c r="AJZ35" s="252"/>
      <c r="AKA35" s="252"/>
      <c r="AKB35" s="252"/>
      <c r="AKC35" s="252"/>
      <c r="AKD35" s="252"/>
      <c r="AKE35" s="252"/>
      <c r="AKF35" s="252"/>
      <c r="AKG35" s="252"/>
      <c r="AKH35" s="252"/>
      <c r="AKI35" s="252"/>
      <c r="AKJ35" s="252"/>
      <c r="AKK35" s="252"/>
      <c r="AKL35" s="252"/>
      <c r="AKM35" s="252"/>
      <c r="AKN35" s="252"/>
      <c r="AKO35" s="252"/>
      <c r="AKP35" s="252"/>
      <c r="AKQ35" s="252"/>
      <c r="AKR35" s="252"/>
      <c r="AKS35" s="252"/>
      <c r="AKT35" s="252"/>
      <c r="AKU35" s="252"/>
      <c r="AKV35" s="252"/>
      <c r="AKW35" s="252"/>
      <c r="AKX35" s="252"/>
      <c r="AKY35" s="252"/>
      <c r="AKZ35" s="252"/>
      <c r="ALA35" s="252"/>
      <c r="ALB35" s="252"/>
      <c r="ALC35" s="252"/>
      <c r="ALD35" s="252"/>
      <c r="ALE35" s="252"/>
      <c r="ALF35" s="252"/>
      <c r="ALG35" s="252"/>
      <c r="ALH35" s="252"/>
      <c r="ALI35" s="252"/>
      <c r="ALJ35" s="252"/>
      <c r="ALK35" s="252"/>
      <c r="ALL35" s="252"/>
      <c r="ALM35" s="252"/>
      <c r="ALN35" s="252"/>
      <c r="ALO35" s="252"/>
      <c r="ALP35" s="252"/>
      <c r="ALQ35" s="252"/>
      <c r="ALR35" s="252"/>
      <c r="ALS35" s="252"/>
    </row>
    <row r="36" spans="1:1007" s="3" customFormat="1" x14ac:dyDescent="0.2">
      <c r="A36" s="369" t="s">
        <v>299</v>
      </c>
      <c r="B36" s="380"/>
      <c r="C36" s="380"/>
      <c r="D36" s="380">
        <v>1.9</v>
      </c>
      <c r="E36" s="729"/>
      <c r="F36" s="730"/>
      <c r="G36" s="730"/>
      <c r="H36" s="730"/>
      <c r="I36" s="730"/>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c r="BD36" s="252"/>
      <c r="BE36" s="252"/>
      <c r="BF36" s="252"/>
      <c r="BG36" s="252"/>
      <c r="BH36" s="252"/>
      <c r="BI36" s="252"/>
      <c r="BJ36" s="252"/>
      <c r="BK36" s="252"/>
      <c r="BL36" s="252"/>
      <c r="BM36" s="252"/>
      <c r="BN36" s="252"/>
      <c r="BO36" s="252"/>
      <c r="BP36" s="252"/>
      <c r="BQ36" s="252"/>
      <c r="BR36" s="252"/>
      <c r="BS36" s="252"/>
      <c r="BT36" s="252"/>
      <c r="BU36" s="252"/>
      <c r="BV36" s="252"/>
      <c r="BW36" s="252"/>
      <c r="BX36" s="252"/>
      <c r="BY36" s="252"/>
      <c r="BZ36" s="252"/>
      <c r="CA36" s="252"/>
      <c r="CB36" s="252"/>
      <c r="CC36" s="252"/>
      <c r="CD36" s="252"/>
      <c r="CE36" s="252"/>
      <c r="CF36" s="252"/>
      <c r="CG36" s="252"/>
      <c r="CH36" s="252"/>
      <c r="CI36" s="252"/>
      <c r="CJ36" s="252"/>
      <c r="CK36" s="252"/>
      <c r="CL36" s="252"/>
      <c r="CM36" s="252"/>
      <c r="CN36" s="252"/>
      <c r="CO36" s="252"/>
      <c r="CP36" s="252"/>
      <c r="CQ36" s="252"/>
      <c r="CR36" s="252"/>
      <c r="CS36" s="252"/>
      <c r="CT36" s="252"/>
      <c r="CU36" s="252"/>
      <c r="CV36" s="252"/>
      <c r="CW36" s="252"/>
      <c r="CX36" s="252"/>
      <c r="CY36" s="252"/>
      <c r="CZ36" s="252"/>
      <c r="DA36" s="252"/>
      <c r="DB36" s="252"/>
      <c r="DC36" s="252"/>
      <c r="DD36" s="252"/>
      <c r="DE36" s="252"/>
      <c r="DF36" s="252"/>
      <c r="DG36" s="252"/>
      <c r="DH36" s="252"/>
      <c r="DI36" s="252"/>
      <c r="DJ36" s="252"/>
      <c r="DK36" s="252"/>
      <c r="DL36" s="252"/>
      <c r="DM36" s="252"/>
      <c r="DN36" s="252"/>
      <c r="DO36" s="252"/>
      <c r="DP36" s="252"/>
      <c r="DQ36" s="252"/>
      <c r="DR36" s="252"/>
      <c r="DS36" s="252"/>
      <c r="DT36" s="252"/>
      <c r="DU36" s="252"/>
      <c r="DV36" s="252"/>
      <c r="DW36" s="252"/>
      <c r="DX36" s="252"/>
      <c r="DY36" s="252"/>
      <c r="DZ36" s="252"/>
      <c r="EA36" s="252"/>
      <c r="EB36" s="252"/>
      <c r="EC36" s="252"/>
      <c r="ED36" s="252"/>
      <c r="EE36" s="252"/>
      <c r="EF36" s="252"/>
      <c r="EG36" s="252"/>
      <c r="EH36" s="252"/>
      <c r="EI36" s="252"/>
      <c r="EJ36" s="252"/>
      <c r="EK36" s="252"/>
      <c r="EL36" s="252"/>
      <c r="EM36" s="252"/>
      <c r="EN36" s="252"/>
      <c r="EO36" s="252"/>
      <c r="EP36" s="252"/>
      <c r="EQ36" s="252"/>
      <c r="ER36" s="252"/>
      <c r="ES36" s="252"/>
      <c r="ET36" s="252"/>
      <c r="EU36" s="252"/>
      <c r="EV36" s="252"/>
      <c r="EW36" s="252"/>
      <c r="EX36" s="252"/>
      <c r="EY36" s="252"/>
      <c r="EZ36" s="252"/>
      <c r="FA36" s="252"/>
      <c r="FB36" s="252"/>
      <c r="FC36" s="252"/>
      <c r="FD36" s="252"/>
      <c r="FE36" s="252"/>
      <c r="FF36" s="252"/>
      <c r="FG36" s="252"/>
      <c r="FH36" s="252"/>
      <c r="FI36" s="252"/>
      <c r="FJ36" s="252"/>
      <c r="FK36" s="252"/>
      <c r="FL36" s="252"/>
      <c r="FM36" s="252"/>
      <c r="FN36" s="252"/>
      <c r="FO36" s="252"/>
      <c r="FP36" s="252"/>
      <c r="FQ36" s="252"/>
      <c r="FR36" s="252"/>
      <c r="FS36" s="252"/>
      <c r="FT36" s="252"/>
      <c r="FU36" s="252"/>
      <c r="FV36" s="252"/>
      <c r="FW36" s="252"/>
      <c r="FX36" s="252"/>
      <c r="FY36" s="252"/>
      <c r="FZ36" s="252"/>
      <c r="GA36" s="252"/>
      <c r="GB36" s="252"/>
      <c r="GC36" s="252"/>
      <c r="GD36" s="252"/>
      <c r="GE36" s="252"/>
      <c r="GF36" s="252"/>
      <c r="GG36" s="252"/>
      <c r="GH36" s="252"/>
      <c r="GI36" s="252"/>
      <c r="GJ36" s="252"/>
      <c r="GK36" s="252"/>
      <c r="GL36" s="252"/>
      <c r="GM36" s="252"/>
      <c r="GN36" s="252"/>
      <c r="GO36" s="252"/>
      <c r="GP36" s="252"/>
      <c r="GQ36" s="252"/>
      <c r="GR36" s="252"/>
      <c r="GS36" s="252"/>
      <c r="GT36" s="252"/>
      <c r="GU36" s="252"/>
      <c r="GV36" s="252"/>
      <c r="GW36" s="252"/>
      <c r="GX36" s="252"/>
      <c r="GY36" s="252"/>
      <c r="GZ36" s="252"/>
      <c r="HA36" s="252"/>
      <c r="HB36" s="252"/>
      <c r="HC36" s="252"/>
      <c r="HD36" s="252"/>
      <c r="HE36" s="252"/>
      <c r="HF36" s="252"/>
      <c r="HG36" s="252"/>
      <c r="HH36" s="252"/>
      <c r="HI36" s="252"/>
      <c r="HJ36" s="252"/>
      <c r="HK36" s="252"/>
      <c r="HL36" s="252"/>
      <c r="HM36" s="252"/>
      <c r="HN36" s="252"/>
      <c r="HO36" s="252"/>
      <c r="HP36" s="252"/>
      <c r="HQ36" s="252"/>
      <c r="HR36" s="252"/>
      <c r="HS36" s="252"/>
      <c r="HT36" s="252"/>
      <c r="HU36" s="252"/>
      <c r="HV36" s="252"/>
      <c r="HW36" s="252"/>
      <c r="HX36" s="252"/>
      <c r="HY36" s="252"/>
      <c r="HZ36" s="252"/>
      <c r="IA36" s="252"/>
      <c r="IB36" s="252"/>
      <c r="IC36" s="252"/>
      <c r="ID36" s="252"/>
      <c r="IE36" s="252"/>
      <c r="IF36" s="252"/>
      <c r="IG36" s="252"/>
      <c r="IH36" s="252"/>
      <c r="II36" s="252"/>
      <c r="IJ36" s="252"/>
      <c r="IK36" s="252"/>
      <c r="IL36" s="252"/>
      <c r="IM36" s="252"/>
      <c r="IN36" s="252"/>
      <c r="IO36" s="252"/>
      <c r="IP36" s="252"/>
      <c r="IQ36" s="252"/>
      <c r="IR36" s="252"/>
      <c r="IS36" s="252"/>
      <c r="IT36" s="252"/>
      <c r="IU36" s="252"/>
      <c r="IV36" s="252"/>
      <c r="IW36" s="252"/>
      <c r="IX36" s="252"/>
      <c r="IY36" s="252"/>
      <c r="IZ36" s="252"/>
      <c r="JA36" s="252"/>
      <c r="JB36" s="252"/>
      <c r="JC36" s="252"/>
      <c r="JD36" s="252"/>
      <c r="JE36" s="252"/>
      <c r="JF36" s="252"/>
      <c r="JG36" s="252"/>
      <c r="JH36" s="252"/>
      <c r="JI36" s="252"/>
      <c r="JJ36" s="252"/>
      <c r="JK36" s="252"/>
      <c r="JL36" s="252"/>
      <c r="JM36" s="252"/>
      <c r="JN36" s="252"/>
      <c r="JO36" s="252"/>
      <c r="JP36" s="252"/>
      <c r="JQ36" s="252"/>
      <c r="JR36" s="252"/>
      <c r="JS36" s="252"/>
      <c r="JT36" s="252"/>
      <c r="JU36" s="252"/>
      <c r="JV36" s="252"/>
      <c r="JW36" s="252"/>
      <c r="JX36" s="252"/>
      <c r="JY36" s="252"/>
      <c r="JZ36" s="252"/>
      <c r="KA36" s="252"/>
      <c r="KB36" s="252"/>
      <c r="KC36" s="252"/>
      <c r="KD36" s="252"/>
      <c r="KE36" s="252"/>
      <c r="KF36" s="252"/>
      <c r="KG36" s="252"/>
      <c r="KH36" s="252"/>
      <c r="KI36" s="252"/>
      <c r="KJ36" s="252"/>
      <c r="KK36" s="252"/>
      <c r="KL36" s="252"/>
      <c r="KM36" s="252"/>
      <c r="KN36" s="252"/>
      <c r="KO36" s="252"/>
      <c r="KP36" s="252"/>
      <c r="KQ36" s="252"/>
      <c r="KR36" s="252"/>
      <c r="KS36" s="252"/>
      <c r="KT36" s="252"/>
      <c r="KU36" s="252"/>
      <c r="KV36" s="252"/>
      <c r="KW36" s="252"/>
      <c r="KX36" s="252"/>
      <c r="KY36" s="252"/>
      <c r="KZ36" s="252"/>
      <c r="LA36" s="252"/>
      <c r="LB36" s="252"/>
      <c r="LC36" s="252"/>
      <c r="LD36" s="252"/>
      <c r="LE36" s="252"/>
      <c r="LF36" s="252"/>
      <c r="LG36" s="252"/>
      <c r="LH36" s="252"/>
      <c r="LI36" s="252"/>
      <c r="LJ36" s="252"/>
      <c r="LK36" s="252"/>
      <c r="LL36" s="252"/>
      <c r="LM36" s="252"/>
      <c r="LN36" s="252"/>
      <c r="LO36" s="252"/>
      <c r="LP36" s="252"/>
      <c r="LQ36" s="252"/>
      <c r="LR36" s="252"/>
      <c r="LS36" s="252"/>
      <c r="LT36" s="252"/>
      <c r="LU36" s="252"/>
      <c r="LV36" s="252"/>
      <c r="LW36" s="252"/>
      <c r="LX36" s="252"/>
      <c r="LY36" s="252"/>
      <c r="LZ36" s="252"/>
      <c r="MA36" s="252"/>
      <c r="MB36" s="252"/>
      <c r="MC36" s="252"/>
      <c r="MD36" s="252"/>
      <c r="ME36" s="252"/>
      <c r="MF36" s="252"/>
      <c r="MG36" s="252"/>
      <c r="MH36" s="252"/>
      <c r="MI36" s="252"/>
      <c r="MJ36" s="252"/>
      <c r="MK36" s="252"/>
      <c r="ML36" s="252"/>
      <c r="MM36" s="252"/>
      <c r="MN36" s="252"/>
      <c r="MO36" s="252"/>
      <c r="MP36" s="252"/>
      <c r="MQ36" s="252"/>
      <c r="MR36" s="252"/>
      <c r="MS36" s="252"/>
      <c r="MT36" s="252"/>
      <c r="MU36" s="252"/>
      <c r="MV36" s="252"/>
      <c r="MW36" s="252"/>
      <c r="MX36" s="252"/>
      <c r="MY36" s="252"/>
      <c r="MZ36" s="252"/>
      <c r="NA36" s="252"/>
      <c r="NB36" s="252"/>
      <c r="NC36" s="252"/>
      <c r="ND36" s="252"/>
      <c r="NE36" s="252"/>
      <c r="NF36" s="252"/>
      <c r="NG36" s="252"/>
      <c r="NH36" s="252"/>
      <c r="NI36" s="252"/>
      <c r="NJ36" s="252"/>
      <c r="NK36" s="252"/>
      <c r="NL36" s="252"/>
      <c r="NM36" s="252"/>
      <c r="NN36" s="252"/>
      <c r="NO36" s="252"/>
      <c r="NP36" s="252"/>
      <c r="NQ36" s="252"/>
      <c r="NR36" s="252"/>
      <c r="NS36" s="252"/>
      <c r="NT36" s="252"/>
      <c r="NU36" s="252"/>
      <c r="NV36" s="252"/>
      <c r="NW36" s="252"/>
      <c r="NX36" s="252"/>
      <c r="NY36" s="252"/>
      <c r="NZ36" s="252"/>
      <c r="OA36" s="252"/>
      <c r="OB36" s="252"/>
      <c r="OC36" s="252"/>
      <c r="OD36" s="252"/>
      <c r="OE36" s="252"/>
      <c r="OF36" s="252"/>
      <c r="OG36" s="252"/>
      <c r="OH36" s="252"/>
      <c r="OI36" s="252"/>
      <c r="OJ36" s="252"/>
      <c r="OK36" s="252"/>
      <c r="OL36" s="252"/>
      <c r="OM36" s="252"/>
      <c r="ON36" s="252"/>
      <c r="OO36" s="252"/>
      <c r="OP36" s="252"/>
      <c r="OQ36" s="252"/>
      <c r="OR36" s="252"/>
      <c r="OS36" s="252"/>
      <c r="OT36" s="252"/>
      <c r="OU36" s="252"/>
      <c r="OV36" s="252"/>
      <c r="OW36" s="252"/>
      <c r="OX36" s="252"/>
      <c r="OY36" s="252"/>
      <c r="OZ36" s="252"/>
      <c r="PA36" s="252"/>
      <c r="PB36" s="252"/>
      <c r="PC36" s="252"/>
      <c r="PD36" s="252"/>
      <c r="PE36" s="252"/>
      <c r="PF36" s="252"/>
      <c r="PG36" s="252"/>
      <c r="PH36" s="252"/>
      <c r="PI36" s="252"/>
      <c r="PJ36" s="252"/>
      <c r="PK36" s="252"/>
      <c r="PL36" s="252"/>
      <c r="PM36" s="252"/>
      <c r="PN36" s="252"/>
      <c r="PO36" s="252"/>
      <c r="PP36" s="252"/>
      <c r="PQ36" s="252"/>
      <c r="PR36" s="252"/>
      <c r="PS36" s="252"/>
      <c r="PT36" s="252"/>
      <c r="PU36" s="252"/>
      <c r="PV36" s="252"/>
      <c r="PW36" s="252"/>
      <c r="PX36" s="252"/>
      <c r="PY36" s="252"/>
      <c r="PZ36" s="252"/>
      <c r="QA36" s="252"/>
      <c r="QB36" s="252"/>
      <c r="QC36" s="252"/>
      <c r="QD36" s="252"/>
      <c r="QE36" s="252"/>
      <c r="QF36" s="252"/>
      <c r="QG36" s="252"/>
      <c r="QH36" s="252"/>
      <c r="QI36" s="252"/>
      <c r="QJ36" s="252"/>
      <c r="QK36" s="252"/>
      <c r="QL36" s="252"/>
      <c r="QM36" s="252"/>
      <c r="QN36" s="252"/>
      <c r="QO36" s="252"/>
      <c r="QP36" s="252"/>
      <c r="QQ36" s="252"/>
      <c r="QR36" s="252"/>
      <c r="QS36" s="252"/>
      <c r="QT36" s="252"/>
      <c r="QU36" s="252"/>
      <c r="QV36" s="252"/>
      <c r="QW36" s="252"/>
      <c r="QX36" s="252"/>
      <c r="QY36" s="252"/>
      <c r="QZ36" s="252"/>
      <c r="RA36" s="252"/>
      <c r="RB36" s="252"/>
      <c r="RC36" s="252"/>
      <c r="RD36" s="252"/>
      <c r="RE36" s="252"/>
      <c r="RF36" s="252"/>
      <c r="RG36" s="252"/>
      <c r="RH36" s="252"/>
      <c r="RI36" s="252"/>
      <c r="RJ36" s="252"/>
      <c r="RK36" s="252"/>
      <c r="RL36" s="252"/>
      <c r="RM36" s="252"/>
      <c r="RN36" s="252"/>
      <c r="RO36" s="252"/>
      <c r="RP36" s="252"/>
      <c r="RQ36" s="252"/>
      <c r="RR36" s="252"/>
      <c r="RS36" s="252"/>
      <c r="RT36" s="252"/>
      <c r="RU36" s="252"/>
      <c r="RV36" s="252"/>
      <c r="RW36" s="252"/>
      <c r="RX36" s="252"/>
      <c r="RY36" s="252"/>
      <c r="RZ36" s="252"/>
      <c r="SA36" s="252"/>
      <c r="SB36" s="252"/>
      <c r="SC36" s="252"/>
      <c r="SD36" s="252"/>
      <c r="SE36" s="252"/>
      <c r="SF36" s="252"/>
      <c r="SG36" s="252"/>
      <c r="SH36" s="252"/>
      <c r="SI36" s="252"/>
      <c r="SJ36" s="252"/>
      <c r="SK36" s="252"/>
      <c r="SL36" s="252"/>
      <c r="SM36" s="252"/>
      <c r="SN36" s="252"/>
      <c r="SO36" s="252"/>
      <c r="SP36" s="252"/>
      <c r="SQ36" s="252"/>
      <c r="SR36" s="252"/>
      <c r="SS36" s="252"/>
      <c r="ST36" s="252"/>
      <c r="SU36" s="252"/>
      <c r="SV36" s="252"/>
      <c r="SW36" s="252"/>
      <c r="SX36" s="252"/>
      <c r="SY36" s="252"/>
      <c r="SZ36" s="252"/>
      <c r="TA36" s="252"/>
      <c r="TB36" s="252"/>
      <c r="TC36" s="252"/>
      <c r="TD36" s="252"/>
      <c r="TE36" s="252"/>
      <c r="TF36" s="252"/>
      <c r="TG36" s="252"/>
      <c r="TH36" s="252"/>
      <c r="TI36" s="252"/>
      <c r="TJ36" s="252"/>
      <c r="TK36" s="252"/>
      <c r="TL36" s="252"/>
      <c r="TM36" s="252"/>
      <c r="TN36" s="252"/>
      <c r="TO36" s="252"/>
      <c r="TP36" s="252"/>
      <c r="TQ36" s="252"/>
      <c r="TR36" s="252"/>
      <c r="TS36" s="252"/>
      <c r="TT36" s="252"/>
      <c r="TU36" s="252"/>
      <c r="TV36" s="252"/>
      <c r="TW36" s="252"/>
      <c r="TX36" s="252"/>
      <c r="TY36" s="252"/>
      <c r="TZ36" s="252"/>
      <c r="UA36" s="252"/>
      <c r="UB36" s="252"/>
      <c r="UC36" s="252"/>
      <c r="UD36" s="252"/>
      <c r="UE36" s="252"/>
      <c r="UF36" s="252"/>
      <c r="UG36" s="252"/>
      <c r="UH36" s="252"/>
      <c r="UI36" s="252"/>
      <c r="UJ36" s="252"/>
      <c r="UK36" s="252"/>
      <c r="UL36" s="252"/>
      <c r="UM36" s="252"/>
      <c r="UN36" s="252"/>
      <c r="UO36" s="252"/>
      <c r="UP36" s="252"/>
      <c r="UQ36" s="252"/>
      <c r="UR36" s="252"/>
      <c r="US36" s="252"/>
      <c r="UT36" s="252"/>
      <c r="UU36" s="252"/>
      <c r="UV36" s="252"/>
      <c r="UW36" s="252"/>
      <c r="UX36" s="252"/>
      <c r="UY36" s="252"/>
      <c r="UZ36" s="252"/>
      <c r="VA36" s="252"/>
      <c r="VB36" s="252"/>
      <c r="VC36" s="252"/>
      <c r="VD36" s="252"/>
      <c r="VE36" s="252"/>
      <c r="VF36" s="252"/>
      <c r="VG36" s="252"/>
      <c r="VH36" s="252"/>
      <c r="VI36" s="252"/>
      <c r="VJ36" s="252"/>
      <c r="VK36" s="252"/>
      <c r="VL36" s="252"/>
      <c r="VM36" s="252"/>
      <c r="VN36" s="252"/>
      <c r="VO36" s="252"/>
      <c r="VP36" s="252"/>
      <c r="VQ36" s="252"/>
      <c r="VR36" s="252"/>
      <c r="VS36" s="252"/>
      <c r="VT36" s="252"/>
      <c r="VU36" s="252"/>
      <c r="VV36" s="252"/>
      <c r="VW36" s="252"/>
      <c r="VX36" s="252"/>
      <c r="VY36" s="252"/>
      <c r="VZ36" s="252"/>
      <c r="WA36" s="252"/>
      <c r="WB36" s="252"/>
      <c r="WC36" s="252"/>
      <c r="WD36" s="252"/>
      <c r="WE36" s="252"/>
      <c r="WF36" s="252"/>
      <c r="WG36" s="252"/>
      <c r="WH36" s="252"/>
      <c r="WI36" s="252"/>
      <c r="WJ36" s="252"/>
      <c r="WK36" s="252"/>
      <c r="WL36" s="252"/>
      <c r="WM36" s="252"/>
      <c r="WN36" s="252"/>
      <c r="WO36" s="252"/>
      <c r="WP36" s="252"/>
      <c r="WQ36" s="252"/>
      <c r="WR36" s="252"/>
      <c r="WS36" s="252"/>
      <c r="WT36" s="252"/>
      <c r="WU36" s="252"/>
      <c r="WV36" s="252"/>
      <c r="WW36" s="252"/>
      <c r="WX36" s="252"/>
      <c r="WY36" s="252"/>
      <c r="WZ36" s="252"/>
      <c r="XA36" s="252"/>
      <c r="XB36" s="252"/>
      <c r="XC36" s="252"/>
      <c r="XD36" s="252"/>
      <c r="XE36" s="252"/>
      <c r="XF36" s="252"/>
      <c r="XG36" s="252"/>
      <c r="XH36" s="252"/>
      <c r="XI36" s="252"/>
      <c r="XJ36" s="252"/>
      <c r="XK36" s="252"/>
      <c r="XL36" s="252"/>
      <c r="XM36" s="252"/>
      <c r="XN36" s="252"/>
      <c r="XO36" s="252"/>
      <c r="XP36" s="252"/>
      <c r="XQ36" s="252"/>
      <c r="XR36" s="252"/>
      <c r="XS36" s="252"/>
      <c r="XT36" s="252"/>
      <c r="XU36" s="252"/>
      <c r="XV36" s="252"/>
      <c r="XW36" s="252"/>
      <c r="XX36" s="252"/>
      <c r="XY36" s="252"/>
      <c r="XZ36" s="252"/>
      <c r="YA36" s="252"/>
      <c r="YB36" s="252"/>
      <c r="YC36" s="252"/>
      <c r="YD36" s="252"/>
      <c r="YE36" s="252"/>
      <c r="YF36" s="252"/>
      <c r="YG36" s="252"/>
      <c r="YH36" s="252"/>
      <c r="YI36" s="252"/>
      <c r="YJ36" s="252"/>
      <c r="YK36" s="252"/>
      <c r="YL36" s="252"/>
      <c r="YM36" s="252"/>
      <c r="YN36" s="252"/>
      <c r="YO36" s="252"/>
      <c r="YP36" s="252"/>
      <c r="YQ36" s="252"/>
      <c r="YR36" s="252"/>
      <c r="YS36" s="252"/>
      <c r="YT36" s="252"/>
      <c r="YU36" s="252"/>
      <c r="YV36" s="252"/>
      <c r="YW36" s="252"/>
      <c r="YX36" s="252"/>
      <c r="YY36" s="252"/>
      <c r="YZ36" s="252"/>
      <c r="ZA36" s="252"/>
      <c r="ZB36" s="252"/>
      <c r="ZC36" s="252"/>
      <c r="ZD36" s="252"/>
      <c r="ZE36" s="252"/>
      <c r="ZF36" s="252"/>
      <c r="ZG36" s="252"/>
      <c r="ZH36" s="252"/>
      <c r="ZI36" s="252"/>
      <c r="ZJ36" s="252"/>
      <c r="ZK36" s="252"/>
      <c r="ZL36" s="252"/>
      <c r="ZM36" s="252"/>
      <c r="ZN36" s="252"/>
      <c r="ZO36" s="252"/>
      <c r="ZP36" s="252"/>
      <c r="ZQ36" s="252"/>
      <c r="ZR36" s="252"/>
      <c r="ZS36" s="252"/>
      <c r="ZT36" s="252"/>
      <c r="ZU36" s="252"/>
      <c r="ZV36" s="252"/>
      <c r="ZW36" s="252"/>
      <c r="ZX36" s="252"/>
      <c r="ZY36" s="252"/>
      <c r="ZZ36" s="252"/>
      <c r="AAA36" s="252"/>
      <c r="AAB36" s="252"/>
      <c r="AAC36" s="252"/>
      <c r="AAD36" s="252"/>
      <c r="AAE36" s="252"/>
      <c r="AAF36" s="252"/>
      <c r="AAG36" s="252"/>
      <c r="AAH36" s="252"/>
      <c r="AAI36" s="252"/>
      <c r="AAJ36" s="252"/>
      <c r="AAK36" s="252"/>
      <c r="AAL36" s="252"/>
      <c r="AAM36" s="252"/>
      <c r="AAN36" s="252"/>
      <c r="AAO36" s="252"/>
      <c r="AAP36" s="252"/>
      <c r="AAQ36" s="252"/>
      <c r="AAR36" s="252"/>
      <c r="AAS36" s="252"/>
      <c r="AAT36" s="252"/>
      <c r="AAU36" s="252"/>
      <c r="AAV36" s="252"/>
      <c r="AAW36" s="252"/>
      <c r="AAX36" s="252"/>
      <c r="AAY36" s="252"/>
      <c r="AAZ36" s="252"/>
      <c r="ABA36" s="252"/>
      <c r="ABB36" s="252"/>
      <c r="ABC36" s="252"/>
      <c r="ABD36" s="252"/>
      <c r="ABE36" s="252"/>
      <c r="ABF36" s="252"/>
      <c r="ABG36" s="252"/>
      <c r="ABH36" s="252"/>
      <c r="ABI36" s="252"/>
      <c r="ABJ36" s="252"/>
      <c r="ABK36" s="252"/>
      <c r="ABL36" s="252"/>
      <c r="ABM36" s="252"/>
      <c r="ABN36" s="252"/>
      <c r="ABO36" s="252"/>
      <c r="ABP36" s="252"/>
      <c r="ABQ36" s="252"/>
      <c r="ABR36" s="252"/>
      <c r="ABS36" s="252"/>
      <c r="ABT36" s="252"/>
      <c r="ABU36" s="252"/>
      <c r="ABV36" s="252"/>
      <c r="ABW36" s="252"/>
      <c r="ABX36" s="252"/>
      <c r="ABY36" s="252"/>
      <c r="ABZ36" s="252"/>
      <c r="ACA36" s="252"/>
      <c r="ACB36" s="252"/>
      <c r="ACC36" s="252"/>
      <c r="ACD36" s="252"/>
      <c r="ACE36" s="252"/>
      <c r="ACF36" s="252"/>
      <c r="ACG36" s="252"/>
      <c r="ACH36" s="252"/>
      <c r="ACI36" s="252"/>
      <c r="ACJ36" s="252"/>
      <c r="ACK36" s="252"/>
      <c r="ACL36" s="252"/>
      <c r="ACM36" s="252"/>
      <c r="ACN36" s="252"/>
      <c r="ACO36" s="252"/>
      <c r="ACP36" s="252"/>
      <c r="ACQ36" s="252"/>
      <c r="ACR36" s="252"/>
      <c r="ACS36" s="252"/>
      <c r="ACT36" s="252"/>
      <c r="ACU36" s="252"/>
      <c r="ACV36" s="252"/>
      <c r="ACW36" s="252"/>
      <c r="ACX36" s="252"/>
      <c r="ACY36" s="252"/>
      <c r="ACZ36" s="252"/>
      <c r="ADA36" s="252"/>
      <c r="ADB36" s="252"/>
      <c r="ADC36" s="252"/>
      <c r="ADD36" s="252"/>
      <c r="ADE36" s="252"/>
      <c r="ADF36" s="252"/>
      <c r="ADG36" s="252"/>
      <c r="ADH36" s="252"/>
      <c r="ADI36" s="252"/>
      <c r="ADJ36" s="252"/>
      <c r="ADK36" s="252"/>
      <c r="ADL36" s="252"/>
      <c r="ADM36" s="252"/>
      <c r="ADN36" s="252"/>
      <c r="ADO36" s="252"/>
      <c r="ADP36" s="252"/>
      <c r="ADQ36" s="252"/>
      <c r="ADR36" s="252"/>
      <c r="ADS36" s="252"/>
      <c r="ADT36" s="252"/>
      <c r="ADU36" s="252"/>
      <c r="ADV36" s="252"/>
      <c r="ADW36" s="252"/>
      <c r="ADX36" s="252"/>
      <c r="ADY36" s="252"/>
      <c r="ADZ36" s="252"/>
      <c r="AEA36" s="252"/>
      <c r="AEB36" s="252"/>
      <c r="AEC36" s="252"/>
      <c r="AED36" s="252"/>
      <c r="AEE36" s="252"/>
      <c r="AEF36" s="252"/>
      <c r="AEG36" s="252"/>
      <c r="AEH36" s="252"/>
      <c r="AEI36" s="252"/>
      <c r="AEJ36" s="252"/>
      <c r="AEK36" s="252"/>
      <c r="AEL36" s="252"/>
      <c r="AEM36" s="252"/>
      <c r="AEN36" s="252"/>
      <c r="AEO36" s="252"/>
      <c r="AEP36" s="252"/>
      <c r="AEQ36" s="252"/>
      <c r="AER36" s="252"/>
      <c r="AES36" s="252"/>
      <c r="AET36" s="252"/>
      <c r="AEU36" s="252"/>
      <c r="AEV36" s="252"/>
      <c r="AEW36" s="252"/>
      <c r="AEX36" s="252"/>
      <c r="AEY36" s="252"/>
      <c r="AEZ36" s="252"/>
      <c r="AFA36" s="252"/>
      <c r="AFB36" s="252"/>
      <c r="AFC36" s="252"/>
      <c r="AFD36" s="252"/>
      <c r="AFE36" s="252"/>
      <c r="AFF36" s="252"/>
      <c r="AFG36" s="252"/>
      <c r="AFH36" s="252"/>
      <c r="AFI36" s="252"/>
      <c r="AFJ36" s="252"/>
      <c r="AFK36" s="252"/>
      <c r="AFL36" s="252"/>
      <c r="AFM36" s="252"/>
      <c r="AFN36" s="252"/>
      <c r="AFO36" s="252"/>
      <c r="AFP36" s="252"/>
      <c r="AFQ36" s="252"/>
      <c r="AFR36" s="252"/>
      <c r="AFS36" s="252"/>
      <c r="AFT36" s="252"/>
      <c r="AFU36" s="252"/>
      <c r="AFV36" s="252"/>
      <c r="AFW36" s="252"/>
      <c r="AFX36" s="252"/>
      <c r="AFY36" s="252"/>
      <c r="AFZ36" s="252"/>
      <c r="AGA36" s="252"/>
      <c r="AGB36" s="252"/>
      <c r="AGC36" s="252"/>
      <c r="AGD36" s="252"/>
      <c r="AGE36" s="252"/>
      <c r="AGF36" s="252"/>
      <c r="AGG36" s="252"/>
      <c r="AGH36" s="252"/>
      <c r="AGI36" s="252"/>
      <c r="AGJ36" s="252"/>
      <c r="AGK36" s="252"/>
      <c r="AGL36" s="252"/>
      <c r="AGM36" s="252"/>
      <c r="AGN36" s="252"/>
      <c r="AGO36" s="252"/>
      <c r="AGP36" s="252"/>
      <c r="AGQ36" s="252"/>
      <c r="AGR36" s="252"/>
      <c r="AGS36" s="252"/>
      <c r="AGT36" s="252"/>
      <c r="AGU36" s="252"/>
      <c r="AGV36" s="252"/>
      <c r="AGW36" s="252"/>
      <c r="AGX36" s="252"/>
      <c r="AGY36" s="252"/>
      <c r="AGZ36" s="252"/>
      <c r="AHA36" s="252"/>
      <c r="AHB36" s="252"/>
      <c r="AHC36" s="252"/>
      <c r="AHD36" s="252"/>
      <c r="AHE36" s="252"/>
      <c r="AHF36" s="252"/>
      <c r="AHG36" s="252"/>
      <c r="AHH36" s="252"/>
      <c r="AHI36" s="252"/>
      <c r="AHJ36" s="252"/>
      <c r="AHK36" s="252"/>
      <c r="AHL36" s="252"/>
      <c r="AHM36" s="252"/>
      <c r="AHN36" s="252"/>
      <c r="AHO36" s="252"/>
      <c r="AHP36" s="252"/>
      <c r="AHQ36" s="252"/>
      <c r="AHR36" s="252"/>
      <c r="AHS36" s="252"/>
      <c r="AHT36" s="252"/>
      <c r="AHU36" s="252"/>
      <c r="AHV36" s="252"/>
      <c r="AHW36" s="252"/>
      <c r="AHX36" s="252"/>
      <c r="AHY36" s="252"/>
      <c r="AHZ36" s="252"/>
      <c r="AIA36" s="252"/>
      <c r="AIB36" s="252"/>
      <c r="AIC36" s="252"/>
      <c r="AID36" s="252"/>
      <c r="AIE36" s="252"/>
      <c r="AIF36" s="252"/>
      <c r="AIG36" s="252"/>
      <c r="AIH36" s="252"/>
      <c r="AII36" s="252"/>
      <c r="AIJ36" s="252"/>
      <c r="AIK36" s="252"/>
      <c r="AIL36" s="252"/>
      <c r="AIM36" s="252"/>
      <c r="AIN36" s="252"/>
      <c r="AIO36" s="252"/>
      <c r="AIP36" s="252"/>
      <c r="AIQ36" s="252"/>
      <c r="AIR36" s="252"/>
      <c r="AIS36" s="252"/>
      <c r="AIT36" s="252"/>
      <c r="AIU36" s="252"/>
      <c r="AIV36" s="252"/>
      <c r="AIW36" s="252"/>
      <c r="AIX36" s="252"/>
      <c r="AIY36" s="252"/>
      <c r="AIZ36" s="252"/>
      <c r="AJA36" s="252"/>
      <c r="AJB36" s="252"/>
      <c r="AJC36" s="252"/>
      <c r="AJD36" s="252"/>
      <c r="AJE36" s="252"/>
      <c r="AJF36" s="252"/>
      <c r="AJG36" s="252"/>
      <c r="AJH36" s="252"/>
      <c r="AJI36" s="252"/>
      <c r="AJJ36" s="252"/>
      <c r="AJK36" s="252"/>
      <c r="AJL36" s="252"/>
      <c r="AJM36" s="252"/>
      <c r="AJN36" s="252"/>
      <c r="AJO36" s="252"/>
      <c r="AJP36" s="252"/>
      <c r="AJQ36" s="252"/>
      <c r="AJR36" s="252"/>
      <c r="AJS36" s="252"/>
      <c r="AJT36" s="252"/>
      <c r="AJU36" s="252"/>
      <c r="AJV36" s="252"/>
      <c r="AJW36" s="252"/>
      <c r="AJX36" s="252"/>
      <c r="AJY36" s="252"/>
      <c r="AJZ36" s="252"/>
      <c r="AKA36" s="252"/>
      <c r="AKB36" s="252"/>
      <c r="AKC36" s="252"/>
      <c r="AKD36" s="252"/>
      <c r="AKE36" s="252"/>
      <c r="AKF36" s="252"/>
      <c r="AKG36" s="252"/>
      <c r="AKH36" s="252"/>
      <c r="AKI36" s="252"/>
      <c r="AKJ36" s="252"/>
      <c r="AKK36" s="252"/>
      <c r="AKL36" s="252"/>
      <c r="AKM36" s="252"/>
      <c r="AKN36" s="252"/>
      <c r="AKO36" s="252"/>
      <c r="AKP36" s="252"/>
      <c r="AKQ36" s="252"/>
      <c r="AKR36" s="252"/>
      <c r="AKS36" s="252"/>
      <c r="AKT36" s="252"/>
      <c r="AKU36" s="252"/>
      <c r="AKV36" s="252"/>
      <c r="AKW36" s="252"/>
      <c r="AKX36" s="252"/>
      <c r="AKY36" s="252"/>
      <c r="AKZ36" s="252"/>
      <c r="ALA36" s="252"/>
      <c r="ALB36" s="252"/>
      <c r="ALC36" s="252"/>
      <c r="ALD36" s="252"/>
      <c r="ALE36" s="252"/>
      <c r="ALF36" s="252"/>
      <c r="ALG36" s="252"/>
      <c r="ALH36" s="252"/>
      <c r="ALI36" s="252"/>
      <c r="ALJ36" s="252"/>
      <c r="ALK36" s="252"/>
      <c r="ALL36" s="252"/>
      <c r="ALM36" s="252"/>
      <c r="ALN36" s="252"/>
      <c r="ALO36" s="252"/>
      <c r="ALP36" s="252"/>
      <c r="ALQ36" s="252"/>
      <c r="ALR36" s="252"/>
      <c r="ALS36" s="252"/>
    </row>
    <row r="37" spans="1:1007" x14ac:dyDescent="0.2">
      <c r="A37" s="369" t="s">
        <v>300</v>
      </c>
      <c r="B37" s="382"/>
      <c r="C37" s="380"/>
      <c r="D37" s="380">
        <v>1.9</v>
      </c>
      <c r="E37" s="729"/>
      <c r="F37" s="730"/>
      <c r="G37" s="730"/>
      <c r="H37" s="730"/>
      <c r="I37" s="730"/>
    </row>
    <row r="38" spans="1:1007" s="3" customFormat="1" x14ac:dyDescent="0.2">
      <c r="A38" s="749" t="s">
        <v>529</v>
      </c>
      <c r="B38" s="380"/>
      <c r="C38" s="380"/>
      <c r="D38" s="380"/>
      <c r="E38" s="740">
        <v>1.9</v>
      </c>
      <c r="F38" s="730"/>
      <c r="G38" s="730"/>
      <c r="H38" s="730"/>
      <c r="I38" s="730"/>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252"/>
      <c r="BD38" s="252"/>
      <c r="BE38" s="252"/>
      <c r="BF38" s="252"/>
      <c r="BG38" s="252"/>
      <c r="BH38" s="252"/>
      <c r="BI38" s="252"/>
      <c r="BJ38" s="252"/>
      <c r="BK38" s="252"/>
      <c r="BL38" s="252"/>
      <c r="BM38" s="252"/>
      <c r="BN38" s="252"/>
      <c r="BO38" s="252"/>
      <c r="BP38" s="252"/>
      <c r="BQ38" s="252"/>
      <c r="BR38" s="252"/>
      <c r="BS38" s="252"/>
      <c r="BT38" s="252"/>
      <c r="BU38" s="252"/>
      <c r="BV38" s="252"/>
      <c r="BW38" s="252"/>
      <c r="BX38" s="252"/>
      <c r="BY38" s="252"/>
      <c r="BZ38" s="252"/>
      <c r="CA38" s="252"/>
      <c r="CB38" s="252"/>
      <c r="CC38" s="252"/>
      <c r="CD38" s="252"/>
      <c r="CE38" s="252"/>
      <c r="CF38" s="252"/>
      <c r="CG38" s="252"/>
      <c r="CH38" s="252"/>
      <c r="CI38" s="252"/>
      <c r="CJ38" s="252"/>
      <c r="CK38" s="252"/>
      <c r="CL38" s="252"/>
      <c r="CM38" s="252"/>
      <c r="CN38" s="252"/>
      <c r="CO38" s="252"/>
      <c r="CP38" s="252"/>
      <c r="CQ38" s="252"/>
      <c r="CR38" s="252"/>
      <c r="CS38" s="252"/>
      <c r="CT38" s="252"/>
      <c r="CU38" s="252"/>
      <c r="CV38" s="252"/>
      <c r="CW38" s="252"/>
      <c r="CX38" s="252"/>
      <c r="CY38" s="252"/>
      <c r="CZ38" s="252"/>
      <c r="DA38" s="252"/>
      <c r="DB38" s="252"/>
      <c r="DC38" s="252"/>
      <c r="DD38" s="252"/>
      <c r="DE38" s="252"/>
      <c r="DF38" s="252"/>
      <c r="DG38" s="252"/>
      <c r="DH38" s="252"/>
      <c r="DI38" s="252"/>
      <c r="DJ38" s="252"/>
      <c r="DK38" s="252"/>
      <c r="DL38" s="252"/>
      <c r="DM38" s="252"/>
      <c r="DN38" s="252"/>
      <c r="DO38" s="252"/>
      <c r="DP38" s="252"/>
      <c r="DQ38" s="252"/>
      <c r="DR38" s="252"/>
      <c r="DS38" s="252"/>
      <c r="DT38" s="252"/>
      <c r="DU38" s="252"/>
      <c r="DV38" s="252"/>
      <c r="DW38" s="252"/>
      <c r="DX38" s="252"/>
      <c r="DY38" s="252"/>
      <c r="DZ38" s="252"/>
      <c r="EA38" s="252"/>
      <c r="EB38" s="252"/>
      <c r="EC38" s="252"/>
      <c r="ED38" s="252"/>
      <c r="EE38" s="252"/>
      <c r="EF38" s="252"/>
      <c r="EG38" s="252"/>
      <c r="EH38" s="252"/>
      <c r="EI38" s="252"/>
      <c r="EJ38" s="252"/>
      <c r="EK38" s="252"/>
      <c r="EL38" s="252"/>
      <c r="EM38" s="252"/>
      <c r="EN38" s="252"/>
      <c r="EO38" s="252"/>
      <c r="EP38" s="252"/>
      <c r="EQ38" s="252"/>
      <c r="ER38" s="252"/>
      <c r="ES38" s="252"/>
      <c r="ET38" s="252"/>
      <c r="EU38" s="252"/>
      <c r="EV38" s="252"/>
      <c r="EW38" s="252"/>
      <c r="EX38" s="252"/>
      <c r="EY38" s="252"/>
      <c r="EZ38" s="252"/>
      <c r="FA38" s="252"/>
      <c r="FB38" s="252"/>
      <c r="FC38" s="252"/>
      <c r="FD38" s="252"/>
      <c r="FE38" s="252"/>
      <c r="FF38" s="252"/>
      <c r="FG38" s="252"/>
      <c r="FH38" s="252"/>
      <c r="FI38" s="252"/>
      <c r="FJ38" s="252"/>
      <c r="FK38" s="252"/>
      <c r="FL38" s="252"/>
      <c r="FM38" s="252"/>
      <c r="FN38" s="252"/>
      <c r="FO38" s="252"/>
      <c r="FP38" s="252"/>
      <c r="FQ38" s="252"/>
      <c r="FR38" s="252"/>
      <c r="FS38" s="252"/>
      <c r="FT38" s="252"/>
      <c r="FU38" s="252"/>
      <c r="FV38" s="252"/>
      <c r="FW38" s="252"/>
      <c r="FX38" s="252"/>
      <c r="FY38" s="252"/>
      <c r="FZ38" s="252"/>
      <c r="GA38" s="252"/>
      <c r="GB38" s="252"/>
      <c r="GC38" s="252"/>
      <c r="GD38" s="252"/>
      <c r="GE38" s="252"/>
      <c r="GF38" s="252"/>
      <c r="GG38" s="252"/>
      <c r="GH38" s="252"/>
      <c r="GI38" s="252"/>
      <c r="GJ38" s="252"/>
      <c r="GK38" s="252"/>
      <c r="GL38" s="252"/>
      <c r="GM38" s="252"/>
      <c r="GN38" s="252"/>
      <c r="GO38" s="252"/>
      <c r="GP38" s="252"/>
      <c r="GQ38" s="252"/>
      <c r="GR38" s="252"/>
      <c r="GS38" s="252"/>
      <c r="GT38" s="252"/>
      <c r="GU38" s="252"/>
      <c r="GV38" s="252"/>
      <c r="GW38" s="252"/>
      <c r="GX38" s="252"/>
      <c r="GY38" s="252"/>
      <c r="GZ38" s="252"/>
      <c r="HA38" s="252"/>
      <c r="HB38" s="252"/>
      <c r="HC38" s="252"/>
      <c r="HD38" s="252"/>
      <c r="HE38" s="252"/>
      <c r="HF38" s="252"/>
      <c r="HG38" s="252"/>
      <c r="HH38" s="252"/>
      <c r="HI38" s="252"/>
      <c r="HJ38" s="252"/>
      <c r="HK38" s="252"/>
      <c r="HL38" s="252"/>
      <c r="HM38" s="252"/>
      <c r="HN38" s="252"/>
      <c r="HO38" s="252"/>
      <c r="HP38" s="252"/>
      <c r="HQ38" s="252"/>
      <c r="HR38" s="252"/>
      <c r="HS38" s="252"/>
      <c r="HT38" s="252"/>
      <c r="HU38" s="252"/>
      <c r="HV38" s="252"/>
      <c r="HW38" s="252"/>
      <c r="HX38" s="252"/>
      <c r="HY38" s="252"/>
      <c r="HZ38" s="252"/>
      <c r="IA38" s="252"/>
      <c r="IB38" s="252"/>
      <c r="IC38" s="252"/>
      <c r="ID38" s="252"/>
      <c r="IE38" s="252"/>
      <c r="IF38" s="252"/>
      <c r="IG38" s="252"/>
      <c r="IH38" s="252"/>
      <c r="II38" s="252"/>
      <c r="IJ38" s="252"/>
      <c r="IK38" s="252"/>
      <c r="IL38" s="252"/>
      <c r="IM38" s="252"/>
      <c r="IN38" s="252"/>
      <c r="IO38" s="252"/>
      <c r="IP38" s="252"/>
      <c r="IQ38" s="252"/>
      <c r="IR38" s="252"/>
      <c r="IS38" s="252"/>
      <c r="IT38" s="252"/>
      <c r="IU38" s="252"/>
      <c r="IV38" s="252"/>
      <c r="IW38" s="252"/>
      <c r="IX38" s="252"/>
      <c r="IY38" s="252"/>
      <c r="IZ38" s="252"/>
      <c r="JA38" s="252"/>
      <c r="JB38" s="252"/>
      <c r="JC38" s="252"/>
      <c r="JD38" s="252"/>
      <c r="JE38" s="252"/>
      <c r="JF38" s="252"/>
      <c r="JG38" s="252"/>
      <c r="JH38" s="252"/>
      <c r="JI38" s="252"/>
      <c r="JJ38" s="252"/>
      <c r="JK38" s="252"/>
      <c r="JL38" s="252"/>
      <c r="JM38" s="252"/>
      <c r="JN38" s="252"/>
      <c r="JO38" s="252"/>
      <c r="JP38" s="252"/>
      <c r="JQ38" s="252"/>
      <c r="JR38" s="252"/>
      <c r="JS38" s="252"/>
      <c r="JT38" s="252"/>
      <c r="JU38" s="252"/>
      <c r="JV38" s="252"/>
      <c r="JW38" s="252"/>
      <c r="JX38" s="252"/>
      <c r="JY38" s="252"/>
      <c r="JZ38" s="252"/>
      <c r="KA38" s="252"/>
      <c r="KB38" s="252"/>
      <c r="KC38" s="252"/>
      <c r="KD38" s="252"/>
      <c r="KE38" s="252"/>
      <c r="KF38" s="252"/>
      <c r="KG38" s="252"/>
      <c r="KH38" s="252"/>
      <c r="KI38" s="252"/>
      <c r="KJ38" s="252"/>
      <c r="KK38" s="252"/>
      <c r="KL38" s="252"/>
      <c r="KM38" s="252"/>
      <c r="KN38" s="252"/>
      <c r="KO38" s="252"/>
      <c r="KP38" s="252"/>
      <c r="KQ38" s="252"/>
      <c r="KR38" s="252"/>
      <c r="KS38" s="252"/>
      <c r="KT38" s="252"/>
      <c r="KU38" s="252"/>
      <c r="KV38" s="252"/>
      <c r="KW38" s="252"/>
      <c r="KX38" s="252"/>
      <c r="KY38" s="252"/>
      <c r="KZ38" s="252"/>
      <c r="LA38" s="252"/>
      <c r="LB38" s="252"/>
      <c r="LC38" s="252"/>
      <c r="LD38" s="252"/>
      <c r="LE38" s="252"/>
      <c r="LF38" s="252"/>
      <c r="LG38" s="252"/>
      <c r="LH38" s="252"/>
      <c r="LI38" s="252"/>
      <c r="LJ38" s="252"/>
      <c r="LK38" s="252"/>
      <c r="LL38" s="252"/>
      <c r="LM38" s="252"/>
      <c r="LN38" s="252"/>
      <c r="LO38" s="252"/>
      <c r="LP38" s="252"/>
      <c r="LQ38" s="252"/>
      <c r="LR38" s="252"/>
      <c r="LS38" s="252"/>
      <c r="LT38" s="252"/>
      <c r="LU38" s="252"/>
      <c r="LV38" s="252"/>
      <c r="LW38" s="252"/>
      <c r="LX38" s="252"/>
      <c r="LY38" s="252"/>
      <c r="LZ38" s="252"/>
      <c r="MA38" s="252"/>
      <c r="MB38" s="252"/>
      <c r="MC38" s="252"/>
      <c r="MD38" s="252"/>
      <c r="ME38" s="252"/>
      <c r="MF38" s="252"/>
      <c r="MG38" s="252"/>
      <c r="MH38" s="252"/>
      <c r="MI38" s="252"/>
      <c r="MJ38" s="252"/>
      <c r="MK38" s="252"/>
      <c r="ML38" s="252"/>
      <c r="MM38" s="252"/>
      <c r="MN38" s="252"/>
      <c r="MO38" s="252"/>
      <c r="MP38" s="252"/>
      <c r="MQ38" s="252"/>
      <c r="MR38" s="252"/>
      <c r="MS38" s="252"/>
      <c r="MT38" s="252"/>
      <c r="MU38" s="252"/>
      <c r="MV38" s="252"/>
      <c r="MW38" s="252"/>
      <c r="MX38" s="252"/>
      <c r="MY38" s="252"/>
      <c r="MZ38" s="252"/>
      <c r="NA38" s="252"/>
      <c r="NB38" s="252"/>
      <c r="NC38" s="252"/>
      <c r="ND38" s="252"/>
      <c r="NE38" s="252"/>
      <c r="NF38" s="252"/>
      <c r="NG38" s="252"/>
      <c r="NH38" s="252"/>
      <c r="NI38" s="252"/>
      <c r="NJ38" s="252"/>
      <c r="NK38" s="252"/>
      <c r="NL38" s="252"/>
      <c r="NM38" s="252"/>
      <c r="NN38" s="252"/>
      <c r="NO38" s="252"/>
      <c r="NP38" s="252"/>
      <c r="NQ38" s="252"/>
      <c r="NR38" s="252"/>
      <c r="NS38" s="252"/>
      <c r="NT38" s="252"/>
      <c r="NU38" s="252"/>
      <c r="NV38" s="252"/>
      <c r="NW38" s="252"/>
      <c r="NX38" s="252"/>
      <c r="NY38" s="252"/>
      <c r="NZ38" s="252"/>
      <c r="OA38" s="252"/>
      <c r="OB38" s="252"/>
      <c r="OC38" s="252"/>
      <c r="OD38" s="252"/>
      <c r="OE38" s="252"/>
      <c r="OF38" s="252"/>
      <c r="OG38" s="252"/>
      <c r="OH38" s="252"/>
      <c r="OI38" s="252"/>
      <c r="OJ38" s="252"/>
      <c r="OK38" s="252"/>
      <c r="OL38" s="252"/>
      <c r="OM38" s="252"/>
      <c r="ON38" s="252"/>
      <c r="OO38" s="252"/>
      <c r="OP38" s="252"/>
      <c r="OQ38" s="252"/>
      <c r="OR38" s="252"/>
      <c r="OS38" s="252"/>
      <c r="OT38" s="252"/>
      <c r="OU38" s="252"/>
      <c r="OV38" s="252"/>
      <c r="OW38" s="252"/>
      <c r="OX38" s="252"/>
      <c r="OY38" s="252"/>
      <c r="OZ38" s="252"/>
      <c r="PA38" s="252"/>
      <c r="PB38" s="252"/>
      <c r="PC38" s="252"/>
      <c r="PD38" s="252"/>
      <c r="PE38" s="252"/>
      <c r="PF38" s="252"/>
      <c r="PG38" s="252"/>
      <c r="PH38" s="252"/>
      <c r="PI38" s="252"/>
      <c r="PJ38" s="252"/>
      <c r="PK38" s="252"/>
      <c r="PL38" s="252"/>
      <c r="PM38" s="252"/>
      <c r="PN38" s="252"/>
      <c r="PO38" s="252"/>
      <c r="PP38" s="252"/>
      <c r="PQ38" s="252"/>
      <c r="PR38" s="252"/>
      <c r="PS38" s="252"/>
      <c r="PT38" s="252"/>
      <c r="PU38" s="252"/>
      <c r="PV38" s="252"/>
      <c r="PW38" s="252"/>
      <c r="PX38" s="252"/>
      <c r="PY38" s="252"/>
      <c r="PZ38" s="252"/>
      <c r="QA38" s="252"/>
      <c r="QB38" s="252"/>
      <c r="QC38" s="252"/>
      <c r="QD38" s="252"/>
      <c r="QE38" s="252"/>
      <c r="QF38" s="252"/>
      <c r="QG38" s="252"/>
      <c r="QH38" s="252"/>
      <c r="QI38" s="252"/>
      <c r="QJ38" s="252"/>
      <c r="QK38" s="252"/>
      <c r="QL38" s="252"/>
      <c r="QM38" s="252"/>
      <c r="QN38" s="252"/>
      <c r="QO38" s="252"/>
      <c r="QP38" s="252"/>
      <c r="QQ38" s="252"/>
      <c r="QR38" s="252"/>
      <c r="QS38" s="252"/>
      <c r="QT38" s="252"/>
      <c r="QU38" s="252"/>
      <c r="QV38" s="252"/>
      <c r="QW38" s="252"/>
      <c r="QX38" s="252"/>
      <c r="QY38" s="252"/>
      <c r="QZ38" s="252"/>
      <c r="RA38" s="252"/>
      <c r="RB38" s="252"/>
      <c r="RC38" s="252"/>
      <c r="RD38" s="252"/>
      <c r="RE38" s="252"/>
      <c r="RF38" s="252"/>
      <c r="RG38" s="252"/>
      <c r="RH38" s="252"/>
      <c r="RI38" s="252"/>
      <c r="RJ38" s="252"/>
      <c r="RK38" s="252"/>
      <c r="RL38" s="252"/>
      <c r="RM38" s="252"/>
      <c r="RN38" s="252"/>
      <c r="RO38" s="252"/>
      <c r="RP38" s="252"/>
      <c r="RQ38" s="252"/>
      <c r="RR38" s="252"/>
      <c r="RS38" s="252"/>
      <c r="RT38" s="252"/>
      <c r="RU38" s="252"/>
      <c r="RV38" s="252"/>
      <c r="RW38" s="252"/>
      <c r="RX38" s="252"/>
      <c r="RY38" s="252"/>
      <c r="RZ38" s="252"/>
      <c r="SA38" s="252"/>
      <c r="SB38" s="252"/>
      <c r="SC38" s="252"/>
      <c r="SD38" s="252"/>
      <c r="SE38" s="252"/>
      <c r="SF38" s="252"/>
      <c r="SG38" s="252"/>
      <c r="SH38" s="252"/>
      <c r="SI38" s="252"/>
      <c r="SJ38" s="252"/>
      <c r="SK38" s="252"/>
      <c r="SL38" s="252"/>
      <c r="SM38" s="252"/>
      <c r="SN38" s="252"/>
      <c r="SO38" s="252"/>
      <c r="SP38" s="252"/>
      <c r="SQ38" s="252"/>
      <c r="SR38" s="252"/>
      <c r="SS38" s="252"/>
      <c r="ST38" s="252"/>
      <c r="SU38" s="252"/>
      <c r="SV38" s="252"/>
      <c r="SW38" s="252"/>
      <c r="SX38" s="252"/>
      <c r="SY38" s="252"/>
      <c r="SZ38" s="252"/>
      <c r="TA38" s="252"/>
      <c r="TB38" s="252"/>
      <c r="TC38" s="252"/>
      <c r="TD38" s="252"/>
      <c r="TE38" s="252"/>
      <c r="TF38" s="252"/>
      <c r="TG38" s="252"/>
      <c r="TH38" s="252"/>
      <c r="TI38" s="252"/>
      <c r="TJ38" s="252"/>
      <c r="TK38" s="252"/>
      <c r="TL38" s="252"/>
      <c r="TM38" s="252"/>
      <c r="TN38" s="252"/>
      <c r="TO38" s="252"/>
      <c r="TP38" s="252"/>
      <c r="TQ38" s="252"/>
      <c r="TR38" s="252"/>
      <c r="TS38" s="252"/>
      <c r="TT38" s="252"/>
      <c r="TU38" s="252"/>
      <c r="TV38" s="252"/>
      <c r="TW38" s="252"/>
      <c r="TX38" s="252"/>
      <c r="TY38" s="252"/>
      <c r="TZ38" s="252"/>
      <c r="UA38" s="252"/>
      <c r="UB38" s="252"/>
      <c r="UC38" s="252"/>
      <c r="UD38" s="252"/>
      <c r="UE38" s="252"/>
      <c r="UF38" s="252"/>
      <c r="UG38" s="252"/>
      <c r="UH38" s="252"/>
      <c r="UI38" s="252"/>
      <c r="UJ38" s="252"/>
      <c r="UK38" s="252"/>
      <c r="UL38" s="252"/>
      <c r="UM38" s="252"/>
      <c r="UN38" s="252"/>
      <c r="UO38" s="252"/>
      <c r="UP38" s="252"/>
      <c r="UQ38" s="252"/>
      <c r="UR38" s="252"/>
      <c r="US38" s="252"/>
      <c r="UT38" s="252"/>
      <c r="UU38" s="252"/>
      <c r="UV38" s="252"/>
      <c r="UW38" s="252"/>
      <c r="UX38" s="252"/>
      <c r="UY38" s="252"/>
      <c r="UZ38" s="252"/>
      <c r="VA38" s="252"/>
      <c r="VB38" s="252"/>
      <c r="VC38" s="252"/>
      <c r="VD38" s="252"/>
      <c r="VE38" s="252"/>
      <c r="VF38" s="252"/>
      <c r="VG38" s="252"/>
      <c r="VH38" s="252"/>
      <c r="VI38" s="252"/>
      <c r="VJ38" s="252"/>
      <c r="VK38" s="252"/>
      <c r="VL38" s="252"/>
      <c r="VM38" s="252"/>
      <c r="VN38" s="252"/>
      <c r="VO38" s="252"/>
      <c r="VP38" s="252"/>
      <c r="VQ38" s="252"/>
      <c r="VR38" s="252"/>
      <c r="VS38" s="252"/>
      <c r="VT38" s="252"/>
      <c r="VU38" s="252"/>
      <c r="VV38" s="252"/>
      <c r="VW38" s="252"/>
      <c r="VX38" s="252"/>
      <c r="VY38" s="252"/>
      <c r="VZ38" s="252"/>
      <c r="WA38" s="252"/>
      <c r="WB38" s="252"/>
      <c r="WC38" s="252"/>
      <c r="WD38" s="252"/>
      <c r="WE38" s="252"/>
      <c r="WF38" s="252"/>
      <c r="WG38" s="252"/>
      <c r="WH38" s="252"/>
      <c r="WI38" s="252"/>
      <c r="WJ38" s="252"/>
      <c r="WK38" s="252"/>
      <c r="WL38" s="252"/>
      <c r="WM38" s="252"/>
      <c r="WN38" s="252"/>
      <c r="WO38" s="252"/>
      <c r="WP38" s="252"/>
      <c r="WQ38" s="252"/>
      <c r="WR38" s="252"/>
      <c r="WS38" s="252"/>
      <c r="WT38" s="252"/>
      <c r="WU38" s="252"/>
      <c r="WV38" s="252"/>
      <c r="WW38" s="252"/>
      <c r="WX38" s="252"/>
      <c r="WY38" s="252"/>
      <c r="WZ38" s="252"/>
      <c r="XA38" s="252"/>
      <c r="XB38" s="252"/>
      <c r="XC38" s="252"/>
      <c r="XD38" s="252"/>
      <c r="XE38" s="252"/>
      <c r="XF38" s="252"/>
      <c r="XG38" s="252"/>
      <c r="XH38" s="252"/>
      <c r="XI38" s="252"/>
      <c r="XJ38" s="252"/>
      <c r="XK38" s="252"/>
      <c r="XL38" s="252"/>
      <c r="XM38" s="252"/>
      <c r="XN38" s="252"/>
      <c r="XO38" s="252"/>
      <c r="XP38" s="252"/>
      <c r="XQ38" s="252"/>
      <c r="XR38" s="252"/>
      <c r="XS38" s="252"/>
      <c r="XT38" s="252"/>
      <c r="XU38" s="252"/>
      <c r="XV38" s="252"/>
      <c r="XW38" s="252"/>
      <c r="XX38" s="252"/>
      <c r="XY38" s="252"/>
      <c r="XZ38" s="252"/>
      <c r="YA38" s="252"/>
      <c r="YB38" s="252"/>
      <c r="YC38" s="252"/>
      <c r="YD38" s="252"/>
      <c r="YE38" s="252"/>
      <c r="YF38" s="252"/>
      <c r="YG38" s="252"/>
      <c r="YH38" s="252"/>
      <c r="YI38" s="252"/>
      <c r="YJ38" s="252"/>
      <c r="YK38" s="252"/>
      <c r="YL38" s="252"/>
      <c r="YM38" s="252"/>
      <c r="YN38" s="252"/>
      <c r="YO38" s="252"/>
      <c r="YP38" s="252"/>
      <c r="YQ38" s="252"/>
      <c r="YR38" s="252"/>
      <c r="YS38" s="252"/>
      <c r="YT38" s="252"/>
      <c r="YU38" s="252"/>
      <c r="YV38" s="252"/>
      <c r="YW38" s="252"/>
      <c r="YX38" s="252"/>
      <c r="YY38" s="252"/>
      <c r="YZ38" s="252"/>
      <c r="ZA38" s="252"/>
      <c r="ZB38" s="252"/>
      <c r="ZC38" s="252"/>
      <c r="ZD38" s="252"/>
      <c r="ZE38" s="252"/>
      <c r="ZF38" s="252"/>
      <c r="ZG38" s="252"/>
      <c r="ZH38" s="252"/>
      <c r="ZI38" s="252"/>
      <c r="ZJ38" s="252"/>
      <c r="ZK38" s="252"/>
      <c r="ZL38" s="252"/>
      <c r="ZM38" s="252"/>
      <c r="ZN38" s="252"/>
      <c r="ZO38" s="252"/>
      <c r="ZP38" s="252"/>
      <c r="ZQ38" s="252"/>
      <c r="ZR38" s="252"/>
      <c r="ZS38" s="252"/>
      <c r="ZT38" s="252"/>
      <c r="ZU38" s="252"/>
      <c r="ZV38" s="252"/>
      <c r="ZW38" s="252"/>
      <c r="ZX38" s="252"/>
      <c r="ZY38" s="252"/>
      <c r="ZZ38" s="252"/>
      <c r="AAA38" s="252"/>
      <c r="AAB38" s="252"/>
      <c r="AAC38" s="252"/>
      <c r="AAD38" s="252"/>
      <c r="AAE38" s="252"/>
      <c r="AAF38" s="252"/>
      <c r="AAG38" s="252"/>
      <c r="AAH38" s="252"/>
      <c r="AAI38" s="252"/>
      <c r="AAJ38" s="252"/>
      <c r="AAK38" s="252"/>
      <c r="AAL38" s="252"/>
      <c r="AAM38" s="252"/>
      <c r="AAN38" s="252"/>
      <c r="AAO38" s="252"/>
      <c r="AAP38" s="252"/>
      <c r="AAQ38" s="252"/>
      <c r="AAR38" s="252"/>
      <c r="AAS38" s="252"/>
      <c r="AAT38" s="252"/>
      <c r="AAU38" s="252"/>
      <c r="AAV38" s="252"/>
      <c r="AAW38" s="252"/>
      <c r="AAX38" s="252"/>
      <c r="AAY38" s="252"/>
      <c r="AAZ38" s="252"/>
      <c r="ABA38" s="252"/>
      <c r="ABB38" s="252"/>
      <c r="ABC38" s="252"/>
      <c r="ABD38" s="252"/>
      <c r="ABE38" s="252"/>
      <c r="ABF38" s="252"/>
      <c r="ABG38" s="252"/>
      <c r="ABH38" s="252"/>
      <c r="ABI38" s="252"/>
      <c r="ABJ38" s="252"/>
      <c r="ABK38" s="252"/>
      <c r="ABL38" s="252"/>
      <c r="ABM38" s="252"/>
      <c r="ABN38" s="252"/>
      <c r="ABO38" s="252"/>
      <c r="ABP38" s="252"/>
      <c r="ABQ38" s="252"/>
      <c r="ABR38" s="252"/>
      <c r="ABS38" s="252"/>
      <c r="ABT38" s="252"/>
      <c r="ABU38" s="252"/>
      <c r="ABV38" s="252"/>
      <c r="ABW38" s="252"/>
      <c r="ABX38" s="252"/>
      <c r="ABY38" s="252"/>
      <c r="ABZ38" s="252"/>
      <c r="ACA38" s="252"/>
      <c r="ACB38" s="252"/>
      <c r="ACC38" s="252"/>
      <c r="ACD38" s="252"/>
      <c r="ACE38" s="252"/>
      <c r="ACF38" s="252"/>
      <c r="ACG38" s="252"/>
      <c r="ACH38" s="252"/>
      <c r="ACI38" s="252"/>
      <c r="ACJ38" s="252"/>
      <c r="ACK38" s="252"/>
      <c r="ACL38" s="252"/>
      <c r="ACM38" s="252"/>
      <c r="ACN38" s="252"/>
      <c r="ACO38" s="252"/>
      <c r="ACP38" s="252"/>
      <c r="ACQ38" s="252"/>
      <c r="ACR38" s="252"/>
      <c r="ACS38" s="252"/>
      <c r="ACT38" s="252"/>
      <c r="ACU38" s="252"/>
      <c r="ACV38" s="252"/>
      <c r="ACW38" s="252"/>
      <c r="ACX38" s="252"/>
      <c r="ACY38" s="252"/>
      <c r="ACZ38" s="252"/>
      <c r="ADA38" s="252"/>
      <c r="ADB38" s="252"/>
      <c r="ADC38" s="252"/>
      <c r="ADD38" s="252"/>
      <c r="ADE38" s="252"/>
      <c r="ADF38" s="252"/>
      <c r="ADG38" s="252"/>
      <c r="ADH38" s="252"/>
      <c r="ADI38" s="252"/>
      <c r="ADJ38" s="252"/>
      <c r="ADK38" s="252"/>
      <c r="ADL38" s="252"/>
      <c r="ADM38" s="252"/>
      <c r="ADN38" s="252"/>
      <c r="ADO38" s="252"/>
      <c r="ADP38" s="252"/>
      <c r="ADQ38" s="252"/>
      <c r="ADR38" s="252"/>
      <c r="ADS38" s="252"/>
      <c r="ADT38" s="252"/>
      <c r="ADU38" s="252"/>
      <c r="ADV38" s="252"/>
      <c r="ADW38" s="252"/>
      <c r="ADX38" s="252"/>
      <c r="ADY38" s="252"/>
      <c r="ADZ38" s="252"/>
      <c r="AEA38" s="252"/>
      <c r="AEB38" s="252"/>
      <c r="AEC38" s="252"/>
      <c r="AED38" s="252"/>
      <c r="AEE38" s="252"/>
      <c r="AEF38" s="252"/>
      <c r="AEG38" s="252"/>
      <c r="AEH38" s="252"/>
      <c r="AEI38" s="252"/>
      <c r="AEJ38" s="252"/>
      <c r="AEK38" s="252"/>
      <c r="AEL38" s="252"/>
      <c r="AEM38" s="252"/>
      <c r="AEN38" s="252"/>
      <c r="AEO38" s="252"/>
      <c r="AEP38" s="252"/>
      <c r="AEQ38" s="252"/>
      <c r="AER38" s="252"/>
      <c r="AES38" s="252"/>
      <c r="AET38" s="252"/>
      <c r="AEU38" s="252"/>
      <c r="AEV38" s="252"/>
      <c r="AEW38" s="252"/>
      <c r="AEX38" s="252"/>
      <c r="AEY38" s="252"/>
      <c r="AEZ38" s="252"/>
      <c r="AFA38" s="252"/>
      <c r="AFB38" s="252"/>
      <c r="AFC38" s="252"/>
      <c r="AFD38" s="252"/>
      <c r="AFE38" s="252"/>
      <c r="AFF38" s="252"/>
      <c r="AFG38" s="252"/>
      <c r="AFH38" s="252"/>
      <c r="AFI38" s="252"/>
      <c r="AFJ38" s="252"/>
      <c r="AFK38" s="252"/>
      <c r="AFL38" s="252"/>
      <c r="AFM38" s="252"/>
      <c r="AFN38" s="252"/>
      <c r="AFO38" s="252"/>
      <c r="AFP38" s="252"/>
      <c r="AFQ38" s="252"/>
      <c r="AFR38" s="252"/>
      <c r="AFS38" s="252"/>
      <c r="AFT38" s="252"/>
      <c r="AFU38" s="252"/>
      <c r="AFV38" s="252"/>
      <c r="AFW38" s="252"/>
      <c r="AFX38" s="252"/>
      <c r="AFY38" s="252"/>
      <c r="AFZ38" s="252"/>
      <c r="AGA38" s="252"/>
      <c r="AGB38" s="252"/>
      <c r="AGC38" s="252"/>
      <c r="AGD38" s="252"/>
      <c r="AGE38" s="252"/>
      <c r="AGF38" s="252"/>
      <c r="AGG38" s="252"/>
      <c r="AGH38" s="252"/>
      <c r="AGI38" s="252"/>
      <c r="AGJ38" s="252"/>
      <c r="AGK38" s="252"/>
      <c r="AGL38" s="252"/>
      <c r="AGM38" s="252"/>
      <c r="AGN38" s="252"/>
      <c r="AGO38" s="252"/>
      <c r="AGP38" s="252"/>
      <c r="AGQ38" s="252"/>
      <c r="AGR38" s="252"/>
      <c r="AGS38" s="252"/>
      <c r="AGT38" s="252"/>
      <c r="AGU38" s="252"/>
      <c r="AGV38" s="252"/>
      <c r="AGW38" s="252"/>
      <c r="AGX38" s="252"/>
      <c r="AGY38" s="252"/>
      <c r="AGZ38" s="252"/>
      <c r="AHA38" s="252"/>
      <c r="AHB38" s="252"/>
      <c r="AHC38" s="252"/>
      <c r="AHD38" s="252"/>
      <c r="AHE38" s="252"/>
      <c r="AHF38" s="252"/>
      <c r="AHG38" s="252"/>
      <c r="AHH38" s="252"/>
      <c r="AHI38" s="252"/>
      <c r="AHJ38" s="252"/>
      <c r="AHK38" s="252"/>
      <c r="AHL38" s="252"/>
      <c r="AHM38" s="252"/>
      <c r="AHN38" s="252"/>
      <c r="AHO38" s="252"/>
      <c r="AHP38" s="252"/>
      <c r="AHQ38" s="252"/>
      <c r="AHR38" s="252"/>
      <c r="AHS38" s="252"/>
      <c r="AHT38" s="252"/>
      <c r="AHU38" s="252"/>
      <c r="AHV38" s="252"/>
      <c r="AHW38" s="252"/>
      <c r="AHX38" s="252"/>
      <c r="AHY38" s="252"/>
      <c r="AHZ38" s="252"/>
      <c r="AIA38" s="252"/>
      <c r="AIB38" s="252"/>
      <c r="AIC38" s="252"/>
      <c r="AID38" s="252"/>
      <c r="AIE38" s="252"/>
      <c r="AIF38" s="252"/>
      <c r="AIG38" s="252"/>
      <c r="AIH38" s="252"/>
      <c r="AII38" s="252"/>
      <c r="AIJ38" s="252"/>
      <c r="AIK38" s="252"/>
      <c r="AIL38" s="252"/>
      <c r="AIM38" s="252"/>
      <c r="AIN38" s="252"/>
      <c r="AIO38" s="252"/>
      <c r="AIP38" s="252"/>
      <c r="AIQ38" s="252"/>
      <c r="AIR38" s="252"/>
      <c r="AIS38" s="252"/>
      <c r="AIT38" s="252"/>
      <c r="AIU38" s="252"/>
      <c r="AIV38" s="252"/>
      <c r="AIW38" s="252"/>
      <c r="AIX38" s="252"/>
      <c r="AIY38" s="252"/>
      <c r="AIZ38" s="252"/>
      <c r="AJA38" s="252"/>
      <c r="AJB38" s="252"/>
      <c r="AJC38" s="252"/>
      <c r="AJD38" s="252"/>
      <c r="AJE38" s="252"/>
      <c r="AJF38" s="252"/>
      <c r="AJG38" s="252"/>
      <c r="AJH38" s="252"/>
      <c r="AJI38" s="252"/>
      <c r="AJJ38" s="252"/>
      <c r="AJK38" s="252"/>
      <c r="AJL38" s="252"/>
      <c r="AJM38" s="252"/>
      <c r="AJN38" s="252"/>
      <c r="AJO38" s="252"/>
      <c r="AJP38" s="252"/>
      <c r="AJQ38" s="252"/>
      <c r="AJR38" s="252"/>
      <c r="AJS38" s="252"/>
      <c r="AJT38" s="252"/>
      <c r="AJU38" s="252"/>
      <c r="AJV38" s="252"/>
      <c r="AJW38" s="252"/>
      <c r="AJX38" s="252"/>
      <c r="AJY38" s="252"/>
      <c r="AJZ38" s="252"/>
      <c r="AKA38" s="252"/>
      <c r="AKB38" s="252"/>
      <c r="AKC38" s="252"/>
      <c r="AKD38" s="252"/>
      <c r="AKE38" s="252"/>
      <c r="AKF38" s="252"/>
      <c r="AKG38" s="252"/>
      <c r="AKH38" s="252"/>
      <c r="AKI38" s="252"/>
      <c r="AKJ38" s="252"/>
      <c r="AKK38" s="252"/>
      <c r="AKL38" s="252"/>
      <c r="AKM38" s="252"/>
      <c r="AKN38" s="252"/>
      <c r="AKO38" s="252"/>
      <c r="AKP38" s="252"/>
      <c r="AKQ38" s="252"/>
      <c r="AKR38" s="252"/>
      <c r="AKS38" s="252"/>
      <c r="AKT38" s="252"/>
      <c r="AKU38" s="252"/>
      <c r="AKV38" s="252"/>
      <c r="AKW38" s="252"/>
      <c r="AKX38" s="252"/>
      <c r="AKY38" s="252"/>
      <c r="AKZ38" s="252"/>
      <c r="ALA38" s="252"/>
      <c r="ALB38" s="252"/>
      <c r="ALC38" s="252"/>
      <c r="ALD38" s="252"/>
      <c r="ALE38" s="252"/>
      <c r="ALF38" s="252"/>
      <c r="ALG38" s="252"/>
      <c r="ALH38" s="252"/>
      <c r="ALI38" s="252"/>
      <c r="ALJ38" s="252"/>
      <c r="ALK38" s="252"/>
      <c r="ALL38" s="252"/>
      <c r="ALM38" s="252"/>
      <c r="ALN38" s="252"/>
      <c r="ALO38" s="252"/>
      <c r="ALP38" s="252"/>
      <c r="ALQ38" s="252"/>
      <c r="ALR38" s="252"/>
      <c r="ALS38" s="252"/>
    </row>
    <row r="39" spans="1:1007" s="3" customFormat="1" x14ac:dyDescent="0.2">
      <c r="A39" s="749" t="s">
        <v>530</v>
      </c>
      <c r="B39" s="380"/>
      <c r="C39" s="380"/>
      <c r="D39" s="380"/>
      <c r="E39" s="740">
        <v>1.9</v>
      </c>
      <c r="F39" s="730"/>
      <c r="G39" s="730"/>
      <c r="H39" s="730"/>
      <c r="I39" s="730"/>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252"/>
      <c r="AZ39" s="252"/>
      <c r="BA39" s="252"/>
      <c r="BB39" s="252"/>
      <c r="BC39" s="252"/>
      <c r="BD39" s="252"/>
      <c r="BE39" s="252"/>
      <c r="BF39" s="252"/>
      <c r="BG39" s="252"/>
      <c r="BH39" s="252"/>
      <c r="BI39" s="252"/>
      <c r="BJ39" s="252"/>
      <c r="BK39" s="252"/>
      <c r="BL39" s="252"/>
      <c r="BM39" s="252"/>
      <c r="BN39" s="252"/>
      <c r="BO39" s="252"/>
      <c r="BP39" s="252"/>
      <c r="BQ39" s="252"/>
      <c r="BR39" s="252"/>
      <c r="BS39" s="252"/>
      <c r="BT39" s="252"/>
      <c r="BU39" s="252"/>
      <c r="BV39" s="252"/>
      <c r="BW39" s="252"/>
      <c r="BX39" s="252"/>
      <c r="BY39" s="252"/>
      <c r="BZ39" s="252"/>
      <c r="CA39" s="252"/>
      <c r="CB39" s="252"/>
      <c r="CC39" s="252"/>
      <c r="CD39" s="252"/>
      <c r="CE39" s="252"/>
      <c r="CF39" s="252"/>
      <c r="CG39" s="252"/>
      <c r="CH39" s="252"/>
      <c r="CI39" s="252"/>
      <c r="CJ39" s="252"/>
      <c r="CK39" s="252"/>
      <c r="CL39" s="252"/>
      <c r="CM39" s="252"/>
      <c r="CN39" s="252"/>
      <c r="CO39" s="252"/>
      <c r="CP39" s="252"/>
      <c r="CQ39" s="252"/>
      <c r="CR39" s="252"/>
      <c r="CS39" s="252"/>
      <c r="CT39" s="252"/>
      <c r="CU39" s="252"/>
      <c r="CV39" s="252"/>
      <c r="CW39" s="252"/>
      <c r="CX39" s="252"/>
      <c r="CY39" s="252"/>
      <c r="CZ39" s="252"/>
      <c r="DA39" s="252"/>
      <c r="DB39" s="252"/>
      <c r="DC39" s="252"/>
      <c r="DD39" s="252"/>
      <c r="DE39" s="252"/>
      <c r="DF39" s="252"/>
      <c r="DG39" s="252"/>
      <c r="DH39" s="252"/>
      <c r="DI39" s="252"/>
      <c r="DJ39" s="252"/>
      <c r="DK39" s="252"/>
      <c r="DL39" s="252"/>
      <c r="DM39" s="252"/>
      <c r="DN39" s="252"/>
      <c r="DO39" s="252"/>
      <c r="DP39" s="252"/>
      <c r="DQ39" s="252"/>
      <c r="DR39" s="252"/>
      <c r="DS39" s="252"/>
      <c r="DT39" s="252"/>
      <c r="DU39" s="252"/>
      <c r="DV39" s="252"/>
      <c r="DW39" s="252"/>
      <c r="DX39" s="252"/>
      <c r="DY39" s="252"/>
      <c r="DZ39" s="252"/>
      <c r="EA39" s="252"/>
      <c r="EB39" s="252"/>
      <c r="EC39" s="252"/>
      <c r="ED39" s="252"/>
      <c r="EE39" s="252"/>
      <c r="EF39" s="252"/>
      <c r="EG39" s="252"/>
      <c r="EH39" s="252"/>
      <c r="EI39" s="252"/>
      <c r="EJ39" s="252"/>
      <c r="EK39" s="252"/>
      <c r="EL39" s="252"/>
      <c r="EM39" s="252"/>
      <c r="EN39" s="252"/>
      <c r="EO39" s="252"/>
      <c r="EP39" s="252"/>
      <c r="EQ39" s="252"/>
      <c r="ER39" s="252"/>
      <c r="ES39" s="252"/>
      <c r="ET39" s="252"/>
      <c r="EU39" s="252"/>
      <c r="EV39" s="252"/>
      <c r="EW39" s="252"/>
      <c r="EX39" s="252"/>
      <c r="EY39" s="252"/>
      <c r="EZ39" s="252"/>
      <c r="FA39" s="252"/>
      <c r="FB39" s="252"/>
      <c r="FC39" s="252"/>
      <c r="FD39" s="252"/>
      <c r="FE39" s="252"/>
      <c r="FF39" s="252"/>
      <c r="FG39" s="252"/>
      <c r="FH39" s="252"/>
      <c r="FI39" s="252"/>
      <c r="FJ39" s="252"/>
      <c r="FK39" s="252"/>
      <c r="FL39" s="252"/>
      <c r="FM39" s="252"/>
      <c r="FN39" s="252"/>
      <c r="FO39" s="252"/>
      <c r="FP39" s="252"/>
      <c r="FQ39" s="252"/>
      <c r="FR39" s="252"/>
      <c r="FS39" s="252"/>
      <c r="FT39" s="252"/>
      <c r="FU39" s="252"/>
      <c r="FV39" s="252"/>
      <c r="FW39" s="252"/>
      <c r="FX39" s="252"/>
      <c r="FY39" s="252"/>
      <c r="FZ39" s="252"/>
      <c r="GA39" s="252"/>
      <c r="GB39" s="252"/>
      <c r="GC39" s="252"/>
      <c r="GD39" s="252"/>
      <c r="GE39" s="252"/>
      <c r="GF39" s="252"/>
      <c r="GG39" s="252"/>
      <c r="GH39" s="252"/>
      <c r="GI39" s="252"/>
      <c r="GJ39" s="252"/>
      <c r="GK39" s="252"/>
      <c r="GL39" s="252"/>
      <c r="GM39" s="252"/>
      <c r="GN39" s="252"/>
      <c r="GO39" s="252"/>
      <c r="GP39" s="252"/>
      <c r="GQ39" s="252"/>
      <c r="GR39" s="252"/>
      <c r="GS39" s="252"/>
      <c r="GT39" s="252"/>
      <c r="GU39" s="252"/>
      <c r="GV39" s="252"/>
      <c r="GW39" s="252"/>
      <c r="GX39" s="252"/>
      <c r="GY39" s="252"/>
      <c r="GZ39" s="252"/>
      <c r="HA39" s="252"/>
      <c r="HB39" s="252"/>
      <c r="HC39" s="252"/>
      <c r="HD39" s="252"/>
      <c r="HE39" s="252"/>
      <c r="HF39" s="252"/>
      <c r="HG39" s="252"/>
      <c r="HH39" s="252"/>
      <c r="HI39" s="252"/>
      <c r="HJ39" s="252"/>
      <c r="HK39" s="252"/>
      <c r="HL39" s="252"/>
      <c r="HM39" s="252"/>
      <c r="HN39" s="252"/>
      <c r="HO39" s="252"/>
      <c r="HP39" s="252"/>
      <c r="HQ39" s="252"/>
      <c r="HR39" s="252"/>
      <c r="HS39" s="252"/>
      <c r="HT39" s="252"/>
      <c r="HU39" s="252"/>
      <c r="HV39" s="252"/>
      <c r="HW39" s="252"/>
      <c r="HX39" s="252"/>
      <c r="HY39" s="252"/>
      <c r="HZ39" s="252"/>
      <c r="IA39" s="252"/>
      <c r="IB39" s="252"/>
      <c r="IC39" s="252"/>
      <c r="ID39" s="252"/>
      <c r="IE39" s="252"/>
      <c r="IF39" s="252"/>
      <c r="IG39" s="252"/>
      <c r="IH39" s="252"/>
      <c r="II39" s="252"/>
      <c r="IJ39" s="252"/>
      <c r="IK39" s="252"/>
      <c r="IL39" s="252"/>
      <c r="IM39" s="252"/>
      <c r="IN39" s="252"/>
      <c r="IO39" s="252"/>
      <c r="IP39" s="252"/>
      <c r="IQ39" s="252"/>
      <c r="IR39" s="252"/>
      <c r="IS39" s="252"/>
      <c r="IT39" s="252"/>
      <c r="IU39" s="252"/>
      <c r="IV39" s="252"/>
      <c r="IW39" s="252"/>
      <c r="IX39" s="252"/>
      <c r="IY39" s="252"/>
      <c r="IZ39" s="252"/>
      <c r="JA39" s="252"/>
      <c r="JB39" s="252"/>
      <c r="JC39" s="252"/>
      <c r="JD39" s="252"/>
      <c r="JE39" s="252"/>
      <c r="JF39" s="252"/>
      <c r="JG39" s="252"/>
      <c r="JH39" s="252"/>
      <c r="JI39" s="252"/>
      <c r="JJ39" s="252"/>
      <c r="JK39" s="252"/>
      <c r="JL39" s="252"/>
      <c r="JM39" s="252"/>
      <c r="JN39" s="252"/>
      <c r="JO39" s="252"/>
      <c r="JP39" s="252"/>
      <c r="JQ39" s="252"/>
      <c r="JR39" s="252"/>
      <c r="JS39" s="252"/>
      <c r="JT39" s="252"/>
      <c r="JU39" s="252"/>
      <c r="JV39" s="252"/>
      <c r="JW39" s="252"/>
      <c r="JX39" s="252"/>
      <c r="JY39" s="252"/>
      <c r="JZ39" s="252"/>
      <c r="KA39" s="252"/>
      <c r="KB39" s="252"/>
      <c r="KC39" s="252"/>
      <c r="KD39" s="252"/>
      <c r="KE39" s="252"/>
      <c r="KF39" s="252"/>
      <c r="KG39" s="252"/>
      <c r="KH39" s="252"/>
      <c r="KI39" s="252"/>
      <c r="KJ39" s="252"/>
      <c r="KK39" s="252"/>
      <c r="KL39" s="252"/>
      <c r="KM39" s="252"/>
      <c r="KN39" s="252"/>
      <c r="KO39" s="252"/>
      <c r="KP39" s="252"/>
      <c r="KQ39" s="252"/>
      <c r="KR39" s="252"/>
      <c r="KS39" s="252"/>
      <c r="KT39" s="252"/>
      <c r="KU39" s="252"/>
      <c r="KV39" s="252"/>
      <c r="KW39" s="252"/>
      <c r="KX39" s="252"/>
      <c r="KY39" s="252"/>
      <c r="KZ39" s="252"/>
      <c r="LA39" s="252"/>
      <c r="LB39" s="252"/>
      <c r="LC39" s="252"/>
      <c r="LD39" s="252"/>
      <c r="LE39" s="252"/>
      <c r="LF39" s="252"/>
      <c r="LG39" s="252"/>
      <c r="LH39" s="252"/>
      <c r="LI39" s="252"/>
      <c r="LJ39" s="252"/>
      <c r="LK39" s="252"/>
      <c r="LL39" s="252"/>
      <c r="LM39" s="252"/>
      <c r="LN39" s="252"/>
      <c r="LO39" s="252"/>
      <c r="LP39" s="252"/>
      <c r="LQ39" s="252"/>
      <c r="LR39" s="252"/>
      <c r="LS39" s="252"/>
      <c r="LT39" s="252"/>
      <c r="LU39" s="252"/>
      <c r="LV39" s="252"/>
      <c r="LW39" s="252"/>
      <c r="LX39" s="252"/>
      <c r="LY39" s="252"/>
      <c r="LZ39" s="252"/>
      <c r="MA39" s="252"/>
      <c r="MB39" s="252"/>
      <c r="MC39" s="252"/>
      <c r="MD39" s="252"/>
      <c r="ME39" s="252"/>
      <c r="MF39" s="252"/>
      <c r="MG39" s="252"/>
      <c r="MH39" s="252"/>
      <c r="MI39" s="252"/>
      <c r="MJ39" s="252"/>
      <c r="MK39" s="252"/>
      <c r="ML39" s="252"/>
      <c r="MM39" s="252"/>
      <c r="MN39" s="252"/>
      <c r="MO39" s="252"/>
      <c r="MP39" s="252"/>
      <c r="MQ39" s="252"/>
      <c r="MR39" s="252"/>
      <c r="MS39" s="252"/>
      <c r="MT39" s="252"/>
      <c r="MU39" s="252"/>
      <c r="MV39" s="252"/>
      <c r="MW39" s="252"/>
      <c r="MX39" s="252"/>
      <c r="MY39" s="252"/>
      <c r="MZ39" s="252"/>
      <c r="NA39" s="252"/>
      <c r="NB39" s="252"/>
      <c r="NC39" s="252"/>
      <c r="ND39" s="252"/>
      <c r="NE39" s="252"/>
      <c r="NF39" s="252"/>
      <c r="NG39" s="252"/>
      <c r="NH39" s="252"/>
      <c r="NI39" s="252"/>
      <c r="NJ39" s="252"/>
      <c r="NK39" s="252"/>
      <c r="NL39" s="252"/>
      <c r="NM39" s="252"/>
      <c r="NN39" s="252"/>
      <c r="NO39" s="252"/>
      <c r="NP39" s="252"/>
      <c r="NQ39" s="252"/>
      <c r="NR39" s="252"/>
      <c r="NS39" s="252"/>
      <c r="NT39" s="252"/>
      <c r="NU39" s="252"/>
      <c r="NV39" s="252"/>
      <c r="NW39" s="252"/>
      <c r="NX39" s="252"/>
      <c r="NY39" s="252"/>
      <c r="NZ39" s="252"/>
      <c r="OA39" s="252"/>
      <c r="OB39" s="252"/>
      <c r="OC39" s="252"/>
      <c r="OD39" s="252"/>
      <c r="OE39" s="252"/>
      <c r="OF39" s="252"/>
      <c r="OG39" s="252"/>
      <c r="OH39" s="252"/>
      <c r="OI39" s="252"/>
      <c r="OJ39" s="252"/>
      <c r="OK39" s="252"/>
      <c r="OL39" s="252"/>
      <c r="OM39" s="252"/>
      <c r="ON39" s="252"/>
      <c r="OO39" s="252"/>
      <c r="OP39" s="252"/>
      <c r="OQ39" s="252"/>
      <c r="OR39" s="252"/>
      <c r="OS39" s="252"/>
      <c r="OT39" s="252"/>
      <c r="OU39" s="252"/>
      <c r="OV39" s="252"/>
      <c r="OW39" s="252"/>
      <c r="OX39" s="252"/>
      <c r="OY39" s="252"/>
      <c r="OZ39" s="252"/>
      <c r="PA39" s="252"/>
      <c r="PB39" s="252"/>
      <c r="PC39" s="252"/>
      <c r="PD39" s="252"/>
      <c r="PE39" s="252"/>
      <c r="PF39" s="252"/>
      <c r="PG39" s="252"/>
      <c r="PH39" s="252"/>
      <c r="PI39" s="252"/>
      <c r="PJ39" s="252"/>
      <c r="PK39" s="252"/>
      <c r="PL39" s="252"/>
      <c r="PM39" s="252"/>
      <c r="PN39" s="252"/>
      <c r="PO39" s="252"/>
      <c r="PP39" s="252"/>
      <c r="PQ39" s="252"/>
      <c r="PR39" s="252"/>
      <c r="PS39" s="252"/>
      <c r="PT39" s="252"/>
      <c r="PU39" s="252"/>
      <c r="PV39" s="252"/>
      <c r="PW39" s="252"/>
      <c r="PX39" s="252"/>
      <c r="PY39" s="252"/>
      <c r="PZ39" s="252"/>
      <c r="QA39" s="252"/>
      <c r="QB39" s="252"/>
      <c r="QC39" s="252"/>
      <c r="QD39" s="252"/>
      <c r="QE39" s="252"/>
      <c r="QF39" s="252"/>
      <c r="QG39" s="252"/>
      <c r="QH39" s="252"/>
      <c r="QI39" s="252"/>
      <c r="QJ39" s="252"/>
      <c r="QK39" s="252"/>
      <c r="QL39" s="252"/>
      <c r="QM39" s="252"/>
      <c r="QN39" s="252"/>
      <c r="QO39" s="252"/>
      <c r="QP39" s="252"/>
      <c r="QQ39" s="252"/>
      <c r="QR39" s="252"/>
      <c r="QS39" s="252"/>
      <c r="QT39" s="252"/>
      <c r="QU39" s="252"/>
      <c r="QV39" s="252"/>
      <c r="QW39" s="252"/>
      <c r="QX39" s="252"/>
      <c r="QY39" s="252"/>
      <c r="QZ39" s="252"/>
      <c r="RA39" s="252"/>
      <c r="RB39" s="252"/>
      <c r="RC39" s="252"/>
      <c r="RD39" s="252"/>
      <c r="RE39" s="252"/>
      <c r="RF39" s="252"/>
      <c r="RG39" s="252"/>
      <c r="RH39" s="252"/>
      <c r="RI39" s="252"/>
      <c r="RJ39" s="252"/>
      <c r="RK39" s="252"/>
      <c r="RL39" s="252"/>
      <c r="RM39" s="252"/>
      <c r="RN39" s="252"/>
      <c r="RO39" s="252"/>
      <c r="RP39" s="252"/>
      <c r="RQ39" s="252"/>
      <c r="RR39" s="252"/>
      <c r="RS39" s="252"/>
      <c r="RT39" s="252"/>
      <c r="RU39" s="252"/>
      <c r="RV39" s="252"/>
      <c r="RW39" s="252"/>
      <c r="RX39" s="252"/>
      <c r="RY39" s="252"/>
      <c r="RZ39" s="252"/>
      <c r="SA39" s="252"/>
      <c r="SB39" s="252"/>
      <c r="SC39" s="252"/>
      <c r="SD39" s="252"/>
      <c r="SE39" s="252"/>
      <c r="SF39" s="252"/>
      <c r="SG39" s="252"/>
      <c r="SH39" s="252"/>
      <c r="SI39" s="252"/>
      <c r="SJ39" s="252"/>
      <c r="SK39" s="252"/>
      <c r="SL39" s="252"/>
      <c r="SM39" s="252"/>
      <c r="SN39" s="252"/>
      <c r="SO39" s="252"/>
      <c r="SP39" s="252"/>
      <c r="SQ39" s="252"/>
      <c r="SR39" s="252"/>
      <c r="SS39" s="252"/>
      <c r="ST39" s="252"/>
      <c r="SU39" s="252"/>
      <c r="SV39" s="252"/>
      <c r="SW39" s="252"/>
      <c r="SX39" s="252"/>
      <c r="SY39" s="252"/>
      <c r="SZ39" s="252"/>
      <c r="TA39" s="252"/>
      <c r="TB39" s="252"/>
      <c r="TC39" s="252"/>
      <c r="TD39" s="252"/>
      <c r="TE39" s="252"/>
      <c r="TF39" s="252"/>
      <c r="TG39" s="252"/>
      <c r="TH39" s="252"/>
      <c r="TI39" s="252"/>
      <c r="TJ39" s="252"/>
      <c r="TK39" s="252"/>
      <c r="TL39" s="252"/>
      <c r="TM39" s="252"/>
      <c r="TN39" s="252"/>
      <c r="TO39" s="252"/>
      <c r="TP39" s="252"/>
      <c r="TQ39" s="252"/>
      <c r="TR39" s="252"/>
      <c r="TS39" s="252"/>
      <c r="TT39" s="252"/>
      <c r="TU39" s="252"/>
      <c r="TV39" s="252"/>
      <c r="TW39" s="252"/>
      <c r="TX39" s="252"/>
      <c r="TY39" s="252"/>
      <c r="TZ39" s="252"/>
      <c r="UA39" s="252"/>
      <c r="UB39" s="252"/>
      <c r="UC39" s="252"/>
      <c r="UD39" s="252"/>
      <c r="UE39" s="252"/>
      <c r="UF39" s="252"/>
      <c r="UG39" s="252"/>
      <c r="UH39" s="252"/>
      <c r="UI39" s="252"/>
      <c r="UJ39" s="252"/>
      <c r="UK39" s="252"/>
      <c r="UL39" s="252"/>
      <c r="UM39" s="252"/>
      <c r="UN39" s="252"/>
      <c r="UO39" s="252"/>
      <c r="UP39" s="252"/>
      <c r="UQ39" s="252"/>
      <c r="UR39" s="252"/>
      <c r="US39" s="252"/>
      <c r="UT39" s="252"/>
      <c r="UU39" s="252"/>
      <c r="UV39" s="252"/>
      <c r="UW39" s="252"/>
      <c r="UX39" s="252"/>
      <c r="UY39" s="252"/>
      <c r="UZ39" s="252"/>
      <c r="VA39" s="252"/>
      <c r="VB39" s="252"/>
      <c r="VC39" s="252"/>
      <c r="VD39" s="252"/>
      <c r="VE39" s="252"/>
      <c r="VF39" s="252"/>
      <c r="VG39" s="252"/>
      <c r="VH39" s="252"/>
      <c r="VI39" s="252"/>
      <c r="VJ39" s="252"/>
      <c r="VK39" s="252"/>
      <c r="VL39" s="252"/>
      <c r="VM39" s="252"/>
      <c r="VN39" s="252"/>
      <c r="VO39" s="252"/>
      <c r="VP39" s="252"/>
      <c r="VQ39" s="252"/>
      <c r="VR39" s="252"/>
      <c r="VS39" s="252"/>
      <c r="VT39" s="252"/>
      <c r="VU39" s="252"/>
      <c r="VV39" s="252"/>
      <c r="VW39" s="252"/>
      <c r="VX39" s="252"/>
      <c r="VY39" s="252"/>
      <c r="VZ39" s="252"/>
      <c r="WA39" s="252"/>
      <c r="WB39" s="252"/>
      <c r="WC39" s="252"/>
      <c r="WD39" s="252"/>
      <c r="WE39" s="252"/>
      <c r="WF39" s="252"/>
      <c r="WG39" s="252"/>
      <c r="WH39" s="252"/>
      <c r="WI39" s="252"/>
      <c r="WJ39" s="252"/>
      <c r="WK39" s="252"/>
      <c r="WL39" s="252"/>
      <c r="WM39" s="252"/>
      <c r="WN39" s="252"/>
      <c r="WO39" s="252"/>
      <c r="WP39" s="252"/>
      <c r="WQ39" s="252"/>
      <c r="WR39" s="252"/>
      <c r="WS39" s="252"/>
      <c r="WT39" s="252"/>
      <c r="WU39" s="252"/>
      <c r="WV39" s="252"/>
      <c r="WW39" s="252"/>
      <c r="WX39" s="252"/>
      <c r="WY39" s="252"/>
      <c r="WZ39" s="252"/>
      <c r="XA39" s="252"/>
      <c r="XB39" s="252"/>
      <c r="XC39" s="252"/>
      <c r="XD39" s="252"/>
      <c r="XE39" s="252"/>
      <c r="XF39" s="252"/>
      <c r="XG39" s="252"/>
      <c r="XH39" s="252"/>
      <c r="XI39" s="252"/>
      <c r="XJ39" s="252"/>
      <c r="XK39" s="252"/>
      <c r="XL39" s="252"/>
      <c r="XM39" s="252"/>
      <c r="XN39" s="252"/>
      <c r="XO39" s="252"/>
      <c r="XP39" s="252"/>
      <c r="XQ39" s="252"/>
      <c r="XR39" s="252"/>
      <c r="XS39" s="252"/>
      <c r="XT39" s="252"/>
      <c r="XU39" s="252"/>
      <c r="XV39" s="252"/>
      <c r="XW39" s="252"/>
      <c r="XX39" s="252"/>
      <c r="XY39" s="252"/>
      <c r="XZ39" s="252"/>
      <c r="YA39" s="252"/>
      <c r="YB39" s="252"/>
      <c r="YC39" s="252"/>
      <c r="YD39" s="252"/>
      <c r="YE39" s="252"/>
      <c r="YF39" s="252"/>
      <c r="YG39" s="252"/>
      <c r="YH39" s="252"/>
      <c r="YI39" s="252"/>
      <c r="YJ39" s="252"/>
      <c r="YK39" s="252"/>
      <c r="YL39" s="252"/>
      <c r="YM39" s="252"/>
      <c r="YN39" s="252"/>
      <c r="YO39" s="252"/>
      <c r="YP39" s="252"/>
      <c r="YQ39" s="252"/>
      <c r="YR39" s="252"/>
      <c r="YS39" s="252"/>
      <c r="YT39" s="252"/>
      <c r="YU39" s="252"/>
      <c r="YV39" s="252"/>
      <c r="YW39" s="252"/>
      <c r="YX39" s="252"/>
      <c r="YY39" s="252"/>
      <c r="YZ39" s="252"/>
      <c r="ZA39" s="252"/>
      <c r="ZB39" s="252"/>
      <c r="ZC39" s="252"/>
      <c r="ZD39" s="252"/>
      <c r="ZE39" s="252"/>
      <c r="ZF39" s="252"/>
      <c r="ZG39" s="252"/>
      <c r="ZH39" s="252"/>
      <c r="ZI39" s="252"/>
      <c r="ZJ39" s="252"/>
      <c r="ZK39" s="252"/>
      <c r="ZL39" s="252"/>
      <c r="ZM39" s="252"/>
      <c r="ZN39" s="252"/>
      <c r="ZO39" s="252"/>
      <c r="ZP39" s="252"/>
      <c r="ZQ39" s="252"/>
      <c r="ZR39" s="252"/>
      <c r="ZS39" s="252"/>
      <c r="ZT39" s="252"/>
      <c r="ZU39" s="252"/>
      <c r="ZV39" s="252"/>
      <c r="ZW39" s="252"/>
      <c r="ZX39" s="252"/>
      <c r="ZY39" s="252"/>
      <c r="ZZ39" s="252"/>
      <c r="AAA39" s="252"/>
      <c r="AAB39" s="252"/>
      <c r="AAC39" s="252"/>
      <c r="AAD39" s="252"/>
      <c r="AAE39" s="252"/>
      <c r="AAF39" s="252"/>
      <c r="AAG39" s="252"/>
      <c r="AAH39" s="252"/>
      <c r="AAI39" s="252"/>
      <c r="AAJ39" s="252"/>
      <c r="AAK39" s="252"/>
      <c r="AAL39" s="252"/>
      <c r="AAM39" s="252"/>
      <c r="AAN39" s="252"/>
      <c r="AAO39" s="252"/>
      <c r="AAP39" s="252"/>
      <c r="AAQ39" s="252"/>
      <c r="AAR39" s="252"/>
      <c r="AAS39" s="252"/>
      <c r="AAT39" s="252"/>
      <c r="AAU39" s="252"/>
      <c r="AAV39" s="252"/>
      <c r="AAW39" s="252"/>
      <c r="AAX39" s="252"/>
      <c r="AAY39" s="252"/>
      <c r="AAZ39" s="252"/>
      <c r="ABA39" s="252"/>
      <c r="ABB39" s="252"/>
      <c r="ABC39" s="252"/>
      <c r="ABD39" s="252"/>
      <c r="ABE39" s="252"/>
      <c r="ABF39" s="252"/>
      <c r="ABG39" s="252"/>
      <c r="ABH39" s="252"/>
      <c r="ABI39" s="252"/>
      <c r="ABJ39" s="252"/>
      <c r="ABK39" s="252"/>
      <c r="ABL39" s="252"/>
      <c r="ABM39" s="252"/>
      <c r="ABN39" s="252"/>
      <c r="ABO39" s="252"/>
      <c r="ABP39" s="252"/>
      <c r="ABQ39" s="252"/>
      <c r="ABR39" s="252"/>
      <c r="ABS39" s="252"/>
      <c r="ABT39" s="252"/>
      <c r="ABU39" s="252"/>
      <c r="ABV39" s="252"/>
      <c r="ABW39" s="252"/>
      <c r="ABX39" s="252"/>
      <c r="ABY39" s="252"/>
      <c r="ABZ39" s="252"/>
      <c r="ACA39" s="252"/>
      <c r="ACB39" s="252"/>
      <c r="ACC39" s="252"/>
      <c r="ACD39" s="252"/>
      <c r="ACE39" s="252"/>
      <c r="ACF39" s="252"/>
      <c r="ACG39" s="252"/>
      <c r="ACH39" s="252"/>
      <c r="ACI39" s="252"/>
      <c r="ACJ39" s="252"/>
      <c r="ACK39" s="252"/>
      <c r="ACL39" s="252"/>
      <c r="ACM39" s="252"/>
      <c r="ACN39" s="252"/>
      <c r="ACO39" s="252"/>
      <c r="ACP39" s="252"/>
      <c r="ACQ39" s="252"/>
      <c r="ACR39" s="252"/>
      <c r="ACS39" s="252"/>
      <c r="ACT39" s="252"/>
      <c r="ACU39" s="252"/>
      <c r="ACV39" s="252"/>
      <c r="ACW39" s="252"/>
      <c r="ACX39" s="252"/>
      <c r="ACY39" s="252"/>
      <c r="ACZ39" s="252"/>
      <c r="ADA39" s="252"/>
      <c r="ADB39" s="252"/>
      <c r="ADC39" s="252"/>
      <c r="ADD39" s="252"/>
      <c r="ADE39" s="252"/>
      <c r="ADF39" s="252"/>
      <c r="ADG39" s="252"/>
      <c r="ADH39" s="252"/>
      <c r="ADI39" s="252"/>
      <c r="ADJ39" s="252"/>
      <c r="ADK39" s="252"/>
      <c r="ADL39" s="252"/>
      <c r="ADM39" s="252"/>
      <c r="ADN39" s="252"/>
      <c r="ADO39" s="252"/>
      <c r="ADP39" s="252"/>
      <c r="ADQ39" s="252"/>
      <c r="ADR39" s="252"/>
      <c r="ADS39" s="252"/>
      <c r="ADT39" s="252"/>
      <c r="ADU39" s="252"/>
      <c r="ADV39" s="252"/>
      <c r="ADW39" s="252"/>
      <c r="ADX39" s="252"/>
      <c r="ADY39" s="252"/>
      <c r="ADZ39" s="252"/>
      <c r="AEA39" s="252"/>
      <c r="AEB39" s="252"/>
      <c r="AEC39" s="252"/>
      <c r="AED39" s="252"/>
      <c r="AEE39" s="252"/>
      <c r="AEF39" s="252"/>
      <c r="AEG39" s="252"/>
      <c r="AEH39" s="252"/>
      <c r="AEI39" s="252"/>
      <c r="AEJ39" s="252"/>
      <c r="AEK39" s="252"/>
      <c r="AEL39" s="252"/>
      <c r="AEM39" s="252"/>
      <c r="AEN39" s="252"/>
      <c r="AEO39" s="252"/>
      <c r="AEP39" s="252"/>
      <c r="AEQ39" s="252"/>
      <c r="AER39" s="252"/>
      <c r="AES39" s="252"/>
      <c r="AET39" s="252"/>
      <c r="AEU39" s="252"/>
      <c r="AEV39" s="252"/>
      <c r="AEW39" s="252"/>
      <c r="AEX39" s="252"/>
      <c r="AEY39" s="252"/>
      <c r="AEZ39" s="252"/>
      <c r="AFA39" s="252"/>
      <c r="AFB39" s="252"/>
      <c r="AFC39" s="252"/>
      <c r="AFD39" s="252"/>
      <c r="AFE39" s="252"/>
      <c r="AFF39" s="252"/>
      <c r="AFG39" s="252"/>
      <c r="AFH39" s="252"/>
      <c r="AFI39" s="252"/>
      <c r="AFJ39" s="252"/>
      <c r="AFK39" s="252"/>
      <c r="AFL39" s="252"/>
      <c r="AFM39" s="252"/>
      <c r="AFN39" s="252"/>
      <c r="AFO39" s="252"/>
      <c r="AFP39" s="252"/>
      <c r="AFQ39" s="252"/>
      <c r="AFR39" s="252"/>
      <c r="AFS39" s="252"/>
      <c r="AFT39" s="252"/>
      <c r="AFU39" s="252"/>
      <c r="AFV39" s="252"/>
      <c r="AFW39" s="252"/>
      <c r="AFX39" s="252"/>
      <c r="AFY39" s="252"/>
      <c r="AFZ39" s="252"/>
      <c r="AGA39" s="252"/>
      <c r="AGB39" s="252"/>
      <c r="AGC39" s="252"/>
      <c r="AGD39" s="252"/>
      <c r="AGE39" s="252"/>
      <c r="AGF39" s="252"/>
      <c r="AGG39" s="252"/>
      <c r="AGH39" s="252"/>
      <c r="AGI39" s="252"/>
      <c r="AGJ39" s="252"/>
      <c r="AGK39" s="252"/>
      <c r="AGL39" s="252"/>
      <c r="AGM39" s="252"/>
      <c r="AGN39" s="252"/>
      <c r="AGO39" s="252"/>
      <c r="AGP39" s="252"/>
      <c r="AGQ39" s="252"/>
      <c r="AGR39" s="252"/>
      <c r="AGS39" s="252"/>
      <c r="AGT39" s="252"/>
      <c r="AGU39" s="252"/>
      <c r="AGV39" s="252"/>
      <c r="AGW39" s="252"/>
      <c r="AGX39" s="252"/>
      <c r="AGY39" s="252"/>
      <c r="AGZ39" s="252"/>
      <c r="AHA39" s="252"/>
      <c r="AHB39" s="252"/>
      <c r="AHC39" s="252"/>
      <c r="AHD39" s="252"/>
      <c r="AHE39" s="252"/>
      <c r="AHF39" s="252"/>
      <c r="AHG39" s="252"/>
      <c r="AHH39" s="252"/>
      <c r="AHI39" s="252"/>
      <c r="AHJ39" s="252"/>
      <c r="AHK39" s="252"/>
      <c r="AHL39" s="252"/>
      <c r="AHM39" s="252"/>
      <c r="AHN39" s="252"/>
      <c r="AHO39" s="252"/>
      <c r="AHP39" s="252"/>
      <c r="AHQ39" s="252"/>
      <c r="AHR39" s="252"/>
      <c r="AHS39" s="252"/>
      <c r="AHT39" s="252"/>
      <c r="AHU39" s="252"/>
      <c r="AHV39" s="252"/>
      <c r="AHW39" s="252"/>
      <c r="AHX39" s="252"/>
      <c r="AHY39" s="252"/>
      <c r="AHZ39" s="252"/>
      <c r="AIA39" s="252"/>
      <c r="AIB39" s="252"/>
      <c r="AIC39" s="252"/>
      <c r="AID39" s="252"/>
      <c r="AIE39" s="252"/>
      <c r="AIF39" s="252"/>
      <c r="AIG39" s="252"/>
      <c r="AIH39" s="252"/>
      <c r="AII39" s="252"/>
      <c r="AIJ39" s="252"/>
      <c r="AIK39" s="252"/>
      <c r="AIL39" s="252"/>
      <c r="AIM39" s="252"/>
      <c r="AIN39" s="252"/>
      <c r="AIO39" s="252"/>
      <c r="AIP39" s="252"/>
      <c r="AIQ39" s="252"/>
      <c r="AIR39" s="252"/>
      <c r="AIS39" s="252"/>
      <c r="AIT39" s="252"/>
      <c r="AIU39" s="252"/>
      <c r="AIV39" s="252"/>
      <c r="AIW39" s="252"/>
      <c r="AIX39" s="252"/>
      <c r="AIY39" s="252"/>
      <c r="AIZ39" s="252"/>
      <c r="AJA39" s="252"/>
      <c r="AJB39" s="252"/>
      <c r="AJC39" s="252"/>
      <c r="AJD39" s="252"/>
      <c r="AJE39" s="252"/>
      <c r="AJF39" s="252"/>
      <c r="AJG39" s="252"/>
      <c r="AJH39" s="252"/>
      <c r="AJI39" s="252"/>
      <c r="AJJ39" s="252"/>
      <c r="AJK39" s="252"/>
      <c r="AJL39" s="252"/>
      <c r="AJM39" s="252"/>
      <c r="AJN39" s="252"/>
      <c r="AJO39" s="252"/>
      <c r="AJP39" s="252"/>
      <c r="AJQ39" s="252"/>
      <c r="AJR39" s="252"/>
      <c r="AJS39" s="252"/>
      <c r="AJT39" s="252"/>
      <c r="AJU39" s="252"/>
      <c r="AJV39" s="252"/>
      <c r="AJW39" s="252"/>
      <c r="AJX39" s="252"/>
      <c r="AJY39" s="252"/>
      <c r="AJZ39" s="252"/>
      <c r="AKA39" s="252"/>
      <c r="AKB39" s="252"/>
      <c r="AKC39" s="252"/>
      <c r="AKD39" s="252"/>
      <c r="AKE39" s="252"/>
      <c r="AKF39" s="252"/>
      <c r="AKG39" s="252"/>
      <c r="AKH39" s="252"/>
      <c r="AKI39" s="252"/>
      <c r="AKJ39" s="252"/>
      <c r="AKK39" s="252"/>
      <c r="AKL39" s="252"/>
      <c r="AKM39" s="252"/>
      <c r="AKN39" s="252"/>
      <c r="AKO39" s="252"/>
      <c r="AKP39" s="252"/>
      <c r="AKQ39" s="252"/>
      <c r="AKR39" s="252"/>
      <c r="AKS39" s="252"/>
      <c r="AKT39" s="252"/>
      <c r="AKU39" s="252"/>
      <c r="AKV39" s="252"/>
      <c r="AKW39" s="252"/>
      <c r="AKX39" s="252"/>
      <c r="AKY39" s="252"/>
      <c r="AKZ39" s="252"/>
      <c r="ALA39" s="252"/>
      <c r="ALB39" s="252"/>
      <c r="ALC39" s="252"/>
      <c r="ALD39" s="252"/>
      <c r="ALE39" s="252"/>
      <c r="ALF39" s="252"/>
      <c r="ALG39" s="252"/>
      <c r="ALH39" s="252"/>
      <c r="ALI39" s="252"/>
      <c r="ALJ39" s="252"/>
      <c r="ALK39" s="252"/>
      <c r="ALL39" s="252"/>
      <c r="ALM39" s="252"/>
      <c r="ALN39" s="252"/>
      <c r="ALO39" s="252"/>
      <c r="ALP39" s="252"/>
      <c r="ALQ39" s="252"/>
      <c r="ALR39" s="252"/>
      <c r="ALS39" s="252"/>
    </row>
    <row r="40" spans="1:1007" x14ac:dyDescent="0.2">
      <c r="A40" s="749" t="s">
        <v>292</v>
      </c>
      <c r="B40" s="380">
        <v>1.9</v>
      </c>
      <c r="C40" s="380">
        <v>1.9</v>
      </c>
      <c r="D40" s="380">
        <v>1.9</v>
      </c>
      <c r="E40" s="740">
        <v>1.9</v>
      </c>
      <c r="F40" s="730"/>
      <c r="G40" s="730"/>
      <c r="H40" s="730"/>
      <c r="I40" s="730"/>
    </row>
    <row r="41" spans="1:1007" ht="13.5" thickBot="1" x14ac:dyDescent="0.25">
      <c r="A41" s="356"/>
      <c r="B41" s="376"/>
      <c r="C41" s="376"/>
      <c r="D41" s="253"/>
    </row>
    <row r="42" spans="1:1007" ht="15" thickBot="1" x14ac:dyDescent="0.25">
      <c r="A42" s="359" t="s">
        <v>303</v>
      </c>
      <c r="B42" s="377" t="s">
        <v>304</v>
      </c>
      <c r="C42" s="377" t="s">
        <v>278</v>
      </c>
      <c r="D42" s="353" t="s">
        <v>279</v>
      </c>
      <c r="E42" s="741" t="s">
        <v>526</v>
      </c>
      <c r="F42" s="741" t="s">
        <v>532</v>
      </c>
      <c r="G42" s="741" t="s">
        <v>533</v>
      </c>
      <c r="H42" s="741" t="s">
        <v>534</v>
      </c>
      <c r="I42" s="741" t="s">
        <v>535</v>
      </c>
      <c r="ALS42"/>
    </row>
    <row r="43" spans="1:1007" x14ac:dyDescent="0.2">
      <c r="A43" s="369" t="s">
        <v>288</v>
      </c>
      <c r="B43" s="380">
        <v>32000</v>
      </c>
      <c r="C43" s="387"/>
      <c r="D43" s="380"/>
      <c r="E43" s="735"/>
      <c r="F43" s="735"/>
      <c r="G43" s="735"/>
      <c r="H43" s="735"/>
      <c r="I43" s="735"/>
      <c r="ALS43"/>
    </row>
    <row r="44" spans="1:1007" s="3" customFormat="1" x14ac:dyDescent="0.2">
      <c r="A44" s="749" t="s">
        <v>293</v>
      </c>
      <c r="B44" s="380"/>
      <c r="C44" s="382">
        <v>17000</v>
      </c>
      <c r="D44" s="380">
        <v>13000</v>
      </c>
      <c r="E44" s="740">
        <v>18000</v>
      </c>
      <c r="F44" s="730"/>
      <c r="G44" s="730"/>
      <c r="H44" s="730"/>
      <c r="I44" s="730"/>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252"/>
      <c r="BD44" s="252"/>
      <c r="BE44" s="252"/>
      <c r="BF44" s="252"/>
      <c r="BG44" s="252"/>
      <c r="BH44" s="252"/>
      <c r="BI44" s="252"/>
      <c r="BJ44" s="252"/>
      <c r="BK44" s="252"/>
      <c r="BL44" s="252"/>
      <c r="BM44" s="252"/>
      <c r="BN44" s="252"/>
      <c r="BO44" s="252"/>
      <c r="BP44" s="252"/>
      <c r="BQ44" s="252"/>
      <c r="BR44" s="252"/>
      <c r="BS44" s="252"/>
      <c r="BT44" s="252"/>
      <c r="BU44" s="252"/>
      <c r="BV44" s="252"/>
      <c r="BW44" s="252"/>
      <c r="BX44" s="252"/>
      <c r="BY44" s="252"/>
      <c r="BZ44" s="252"/>
      <c r="CA44" s="252"/>
      <c r="CB44" s="252"/>
      <c r="CC44" s="252"/>
      <c r="CD44" s="252"/>
      <c r="CE44" s="252"/>
      <c r="CF44" s="252"/>
      <c r="CG44" s="252"/>
      <c r="CH44" s="252"/>
      <c r="CI44" s="252"/>
      <c r="CJ44" s="252"/>
      <c r="CK44" s="252"/>
      <c r="CL44" s="252"/>
      <c r="CM44" s="252"/>
      <c r="CN44" s="252"/>
      <c r="CO44" s="252"/>
      <c r="CP44" s="252"/>
      <c r="CQ44" s="252"/>
      <c r="CR44" s="252"/>
      <c r="CS44" s="252"/>
      <c r="CT44" s="252"/>
      <c r="CU44" s="252"/>
      <c r="CV44" s="252"/>
      <c r="CW44" s="252"/>
      <c r="CX44" s="252"/>
      <c r="CY44" s="252"/>
      <c r="CZ44" s="252"/>
      <c r="DA44" s="252"/>
      <c r="DB44" s="252"/>
      <c r="DC44" s="252"/>
      <c r="DD44" s="252"/>
      <c r="DE44" s="252"/>
      <c r="DF44" s="252"/>
      <c r="DG44" s="252"/>
      <c r="DH44" s="252"/>
      <c r="DI44" s="252"/>
      <c r="DJ44" s="252"/>
      <c r="DK44" s="252"/>
      <c r="DL44" s="252"/>
      <c r="DM44" s="252"/>
      <c r="DN44" s="252"/>
      <c r="DO44" s="252"/>
      <c r="DP44" s="252"/>
      <c r="DQ44" s="252"/>
      <c r="DR44" s="252"/>
      <c r="DS44" s="252"/>
      <c r="DT44" s="252"/>
      <c r="DU44" s="252"/>
      <c r="DV44" s="252"/>
      <c r="DW44" s="252"/>
      <c r="DX44" s="252"/>
      <c r="DY44" s="252"/>
      <c r="DZ44" s="252"/>
      <c r="EA44" s="252"/>
      <c r="EB44" s="252"/>
      <c r="EC44" s="252"/>
      <c r="ED44" s="252"/>
      <c r="EE44" s="252"/>
      <c r="EF44" s="252"/>
      <c r="EG44" s="252"/>
      <c r="EH44" s="252"/>
      <c r="EI44" s="252"/>
      <c r="EJ44" s="252"/>
      <c r="EK44" s="252"/>
      <c r="EL44" s="252"/>
      <c r="EM44" s="252"/>
      <c r="EN44" s="252"/>
      <c r="EO44" s="252"/>
      <c r="EP44" s="252"/>
      <c r="EQ44" s="252"/>
      <c r="ER44" s="252"/>
      <c r="ES44" s="252"/>
      <c r="ET44" s="252"/>
      <c r="EU44" s="252"/>
      <c r="EV44" s="252"/>
      <c r="EW44" s="252"/>
      <c r="EX44" s="252"/>
      <c r="EY44" s="252"/>
      <c r="EZ44" s="252"/>
      <c r="FA44" s="252"/>
      <c r="FB44" s="252"/>
      <c r="FC44" s="252"/>
      <c r="FD44" s="252"/>
      <c r="FE44" s="252"/>
      <c r="FF44" s="252"/>
      <c r="FG44" s="252"/>
      <c r="FH44" s="252"/>
      <c r="FI44" s="252"/>
      <c r="FJ44" s="252"/>
      <c r="FK44" s="252"/>
      <c r="FL44" s="252"/>
      <c r="FM44" s="252"/>
      <c r="FN44" s="252"/>
      <c r="FO44" s="252"/>
      <c r="FP44" s="252"/>
      <c r="FQ44" s="252"/>
      <c r="FR44" s="252"/>
      <c r="FS44" s="252"/>
      <c r="FT44" s="252"/>
      <c r="FU44" s="252"/>
      <c r="FV44" s="252"/>
      <c r="FW44" s="252"/>
      <c r="FX44" s="252"/>
      <c r="FY44" s="252"/>
      <c r="FZ44" s="252"/>
      <c r="GA44" s="252"/>
      <c r="GB44" s="252"/>
      <c r="GC44" s="252"/>
      <c r="GD44" s="252"/>
      <c r="GE44" s="252"/>
      <c r="GF44" s="252"/>
      <c r="GG44" s="252"/>
      <c r="GH44" s="252"/>
      <c r="GI44" s="252"/>
      <c r="GJ44" s="252"/>
      <c r="GK44" s="252"/>
      <c r="GL44" s="252"/>
      <c r="GM44" s="252"/>
      <c r="GN44" s="252"/>
      <c r="GO44" s="252"/>
      <c r="GP44" s="252"/>
      <c r="GQ44" s="252"/>
      <c r="GR44" s="252"/>
      <c r="GS44" s="252"/>
      <c r="GT44" s="252"/>
      <c r="GU44" s="252"/>
      <c r="GV44" s="252"/>
      <c r="GW44" s="252"/>
      <c r="GX44" s="252"/>
      <c r="GY44" s="252"/>
      <c r="GZ44" s="252"/>
      <c r="HA44" s="252"/>
      <c r="HB44" s="252"/>
      <c r="HC44" s="252"/>
      <c r="HD44" s="252"/>
      <c r="HE44" s="252"/>
      <c r="HF44" s="252"/>
      <c r="HG44" s="252"/>
      <c r="HH44" s="252"/>
      <c r="HI44" s="252"/>
      <c r="HJ44" s="252"/>
      <c r="HK44" s="252"/>
      <c r="HL44" s="252"/>
      <c r="HM44" s="252"/>
      <c r="HN44" s="252"/>
      <c r="HO44" s="252"/>
      <c r="HP44" s="252"/>
      <c r="HQ44" s="252"/>
      <c r="HR44" s="252"/>
      <c r="HS44" s="252"/>
      <c r="HT44" s="252"/>
      <c r="HU44" s="252"/>
      <c r="HV44" s="252"/>
      <c r="HW44" s="252"/>
      <c r="HX44" s="252"/>
      <c r="HY44" s="252"/>
      <c r="HZ44" s="252"/>
      <c r="IA44" s="252"/>
      <c r="IB44" s="252"/>
      <c r="IC44" s="252"/>
      <c r="ID44" s="252"/>
      <c r="IE44" s="252"/>
      <c r="IF44" s="252"/>
      <c r="IG44" s="252"/>
      <c r="IH44" s="252"/>
      <c r="II44" s="252"/>
      <c r="IJ44" s="252"/>
      <c r="IK44" s="252"/>
      <c r="IL44" s="252"/>
      <c r="IM44" s="252"/>
      <c r="IN44" s="252"/>
      <c r="IO44" s="252"/>
      <c r="IP44" s="252"/>
      <c r="IQ44" s="252"/>
      <c r="IR44" s="252"/>
      <c r="IS44" s="252"/>
      <c r="IT44" s="252"/>
      <c r="IU44" s="252"/>
      <c r="IV44" s="252"/>
      <c r="IW44" s="252"/>
      <c r="IX44" s="252"/>
      <c r="IY44" s="252"/>
      <c r="IZ44" s="252"/>
      <c r="JA44" s="252"/>
      <c r="JB44" s="252"/>
      <c r="JC44" s="252"/>
      <c r="JD44" s="252"/>
      <c r="JE44" s="252"/>
      <c r="JF44" s="252"/>
      <c r="JG44" s="252"/>
      <c r="JH44" s="252"/>
      <c r="JI44" s="252"/>
      <c r="JJ44" s="252"/>
      <c r="JK44" s="252"/>
      <c r="JL44" s="252"/>
      <c r="JM44" s="252"/>
      <c r="JN44" s="252"/>
      <c r="JO44" s="252"/>
      <c r="JP44" s="252"/>
      <c r="JQ44" s="252"/>
      <c r="JR44" s="252"/>
      <c r="JS44" s="252"/>
      <c r="JT44" s="252"/>
      <c r="JU44" s="252"/>
      <c r="JV44" s="252"/>
      <c r="JW44" s="252"/>
      <c r="JX44" s="252"/>
      <c r="JY44" s="252"/>
      <c r="JZ44" s="252"/>
      <c r="KA44" s="252"/>
      <c r="KB44" s="252"/>
      <c r="KC44" s="252"/>
      <c r="KD44" s="252"/>
      <c r="KE44" s="252"/>
      <c r="KF44" s="252"/>
      <c r="KG44" s="252"/>
      <c r="KH44" s="252"/>
      <c r="KI44" s="252"/>
      <c r="KJ44" s="252"/>
      <c r="KK44" s="252"/>
      <c r="KL44" s="252"/>
      <c r="KM44" s="252"/>
      <c r="KN44" s="252"/>
      <c r="KO44" s="252"/>
      <c r="KP44" s="252"/>
      <c r="KQ44" s="252"/>
      <c r="KR44" s="252"/>
      <c r="KS44" s="252"/>
      <c r="KT44" s="252"/>
      <c r="KU44" s="252"/>
      <c r="KV44" s="252"/>
      <c r="KW44" s="252"/>
      <c r="KX44" s="252"/>
      <c r="KY44" s="252"/>
      <c r="KZ44" s="252"/>
      <c r="LA44" s="252"/>
      <c r="LB44" s="252"/>
      <c r="LC44" s="252"/>
      <c r="LD44" s="252"/>
      <c r="LE44" s="252"/>
      <c r="LF44" s="252"/>
      <c r="LG44" s="252"/>
      <c r="LH44" s="252"/>
      <c r="LI44" s="252"/>
      <c r="LJ44" s="252"/>
      <c r="LK44" s="252"/>
      <c r="LL44" s="252"/>
      <c r="LM44" s="252"/>
      <c r="LN44" s="252"/>
      <c r="LO44" s="252"/>
      <c r="LP44" s="252"/>
      <c r="LQ44" s="252"/>
      <c r="LR44" s="252"/>
      <c r="LS44" s="252"/>
      <c r="LT44" s="252"/>
      <c r="LU44" s="252"/>
      <c r="LV44" s="252"/>
      <c r="LW44" s="252"/>
      <c r="LX44" s="252"/>
      <c r="LY44" s="252"/>
      <c r="LZ44" s="252"/>
      <c r="MA44" s="252"/>
      <c r="MB44" s="252"/>
      <c r="MC44" s="252"/>
      <c r="MD44" s="252"/>
      <c r="ME44" s="252"/>
      <c r="MF44" s="252"/>
      <c r="MG44" s="252"/>
      <c r="MH44" s="252"/>
      <c r="MI44" s="252"/>
      <c r="MJ44" s="252"/>
      <c r="MK44" s="252"/>
      <c r="ML44" s="252"/>
      <c r="MM44" s="252"/>
      <c r="MN44" s="252"/>
      <c r="MO44" s="252"/>
      <c r="MP44" s="252"/>
      <c r="MQ44" s="252"/>
      <c r="MR44" s="252"/>
      <c r="MS44" s="252"/>
      <c r="MT44" s="252"/>
      <c r="MU44" s="252"/>
      <c r="MV44" s="252"/>
      <c r="MW44" s="252"/>
      <c r="MX44" s="252"/>
      <c r="MY44" s="252"/>
      <c r="MZ44" s="252"/>
      <c r="NA44" s="252"/>
      <c r="NB44" s="252"/>
      <c r="NC44" s="252"/>
      <c r="ND44" s="252"/>
      <c r="NE44" s="252"/>
      <c r="NF44" s="252"/>
      <c r="NG44" s="252"/>
      <c r="NH44" s="252"/>
      <c r="NI44" s="252"/>
      <c r="NJ44" s="252"/>
      <c r="NK44" s="252"/>
      <c r="NL44" s="252"/>
      <c r="NM44" s="252"/>
      <c r="NN44" s="252"/>
      <c r="NO44" s="252"/>
      <c r="NP44" s="252"/>
      <c r="NQ44" s="252"/>
      <c r="NR44" s="252"/>
      <c r="NS44" s="252"/>
      <c r="NT44" s="252"/>
      <c r="NU44" s="252"/>
      <c r="NV44" s="252"/>
      <c r="NW44" s="252"/>
      <c r="NX44" s="252"/>
      <c r="NY44" s="252"/>
      <c r="NZ44" s="252"/>
      <c r="OA44" s="252"/>
      <c r="OB44" s="252"/>
      <c r="OC44" s="252"/>
      <c r="OD44" s="252"/>
      <c r="OE44" s="252"/>
      <c r="OF44" s="252"/>
      <c r="OG44" s="252"/>
      <c r="OH44" s="252"/>
      <c r="OI44" s="252"/>
      <c r="OJ44" s="252"/>
      <c r="OK44" s="252"/>
      <c r="OL44" s="252"/>
      <c r="OM44" s="252"/>
      <c r="ON44" s="252"/>
      <c r="OO44" s="252"/>
      <c r="OP44" s="252"/>
      <c r="OQ44" s="252"/>
      <c r="OR44" s="252"/>
      <c r="OS44" s="252"/>
      <c r="OT44" s="252"/>
      <c r="OU44" s="252"/>
      <c r="OV44" s="252"/>
      <c r="OW44" s="252"/>
      <c r="OX44" s="252"/>
      <c r="OY44" s="252"/>
      <c r="OZ44" s="252"/>
      <c r="PA44" s="252"/>
      <c r="PB44" s="252"/>
      <c r="PC44" s="252"/>
      <c r="PD44" s="252"/>
      <c r="PE44" s="252"/>
      <c r="PF44" s="252"/>
      <c r="PG44" s="252"/>
      <c r="PH44" s="252"/>
      <c r="PI44" s="252"/>
      <c r="PJ44" s="252"/>
      <c r="PK44" s="252"/>
      <c r="PL44" s="252"/>
      <c r="PM44" s="252"/>
      <c r="PN44" s="252"/>
      <c r="PO44" s="252"/>
      <c r="PP44" s="252"/>
      <c r="PQ44" s="252"/>
      <c r="PR44" s="252"/>
      <c r="PS44" s="252"/>
      <c r="PT44" s="252"/>
      <c r="PU44" s="252"/>
      <c r="PV44" s="252"/>
      <c r="PW44" s="252"/>
      <c r="PX44" s="252"/>
      <c r="PY44" s="252"/>
      <c r="PZ44" s="252"/>
      <c r="QA44" s="252"/>
      <c r="QB44" s="252"/>
      <c r="QC44" s="252"/>
      <c r="QD44" s="252"/>
      <c r="QE44" s="252"/>
      <c r="QF44" s="252"/>
      <c r="QG44" s="252"/>
      <c r="QH44" s="252"/>
      <c r="QI44" s="252"/>
      <c r="QJ44" s="252"/>
      <c r="QK44" s="252"/>
      <c r="QL44" s="252"/>
      <c r="QM44" s="252"/>
      <c r="QN44" s="252"/>
      <c r="QO44" s="252"/>
      <c r="QP44" s="252"/>
      <c r="QQ44" s="252"/>
      <c r="QR44" s="252"/>
      <c r="QS44" s="252"/>
      <c r="QT44" s="252"/>
      <c r="QU44" s="252"/>
      <c r="QV44" s="252"/>
      <c r="QW44" s="252"/>
      <c r="QX44" s="252"/>
      <c r="QY44" s="252"/>
      <c r="QZ44" s="252"/>
      <c r="RA44" s="252"/>
      <c r="RB44" s="252"/>
      <c r="RC44" s="252"/>
      <c r="RD44" s="252"/>
      <c r="RE44" s="252"/>
      <c r="RF44" s="252"/>
      <c r="RG44" s="252"/>
      <c r="RH44" s="252"/>
      <c r="RI44" s="252"/>
      <c r="RJ44" s="252"/>
      <c r="RK44" s="252"/>
      <c r="RL44" s="252"/>
      <c r="RM44" s="252"/>
      <c r="RN44" s="252"/>
      <c r="RO44" s="252"/>
      <c r="RP44" s="252"/>
      <c r="RQ44" s="252"/>
      <c r="RR44" s="252"/>
      <c r="RS44" s="252"/>
      <c r="RT44" s="252"/>
      <c r="RU44" s="252"/>
      <c r="RV44" s="252"/>
      <c r="RW44" s="252"/>
      <c r="RX44" s="252"/>
      <c r="RY44" s="252"/>
      <c r="RZ44" s="252"/>
      <c r="SA44" s="252"/>
      <c r="SB44" s="252"/>
      <c r="SC44" s="252"/>
      <c r="SD44" s="252"/>
      <c r="SE44" s="252"/>
      <c r="SF44" s="252"/>
      <c r="SG44" s="252"/>
      <c r="SH44" s="252"/>
      <c r="SI44" s="252"/>
      <c r="SJ44" s="252"/>
      <c r="SK44" s="252"/>
      <c r="SL44" s="252"/>
      <c r="SM44" s="252"/>
      <c r="SN44" s="252"/>
      <c r="SO44" s="252"/>
      <c r="SP44" s="252"/>
      <c r="SQ44" s="252"/>
      <c r="SR44" s="252"/>
      <c r="SS44" s="252"/>
      <c r="ST44" s="252"/>
      <c r="SU44" s="252"/>
      <c r="SV44" s="252"/>
      <c r="SW44" s="252"/>
      <c r="SX44" s="252"/>
      <c r="SY44" s="252"/>
      <c r="SZ44" s="252"/>
      <c r="TA44" s="252"/>
      <c r="TB44" s="252"/>
      <c r="TC44" s="252"/>
      <c r="TD44" s="252"/>
      <c r="TE44" s="252"/>
      <c r="TF44" s="252"/>
      <c r="TG44" s="252"/>
      <c r="TH44" s="252"/>
      <c r="TI44" s="252"/>
      <c r="TJ44" s="252"/>
      <c r="TK44" s="252"/>
      <c r="TL44" s="252"/>
      <c r="TM44" s="252"/>
      <c r="TN44" s="252"/>
      <c r="TO44" s="252"/>
      <c r="TP44" s="252"/>
      <c r="TQ44" s="252"/>
      <c r="TR44" s="252"/>
      <c r="TS44" s="252"/>
      <c r="TT44" s="252"/>
      <c r="TU44" s="252"/>
      <c r="TV44" s="252"/>
      <c r="TW44" s="252"/>
      <c r="TX44" s="252"/>
      <c r="TY44" s="252"/>
      <c r="TZ44" s="252"/>
      <c r="UA44" s="252"/>
      <c r="UB44" s="252"/>
      <c r="UC44" s="252"/>
      <c r="UD44" s="252"/>
      <c r="UE44" s="252"/>
      <c r="UF44" s="252"/>
      <c r="UG44" s="252"/>
      <c r="UH44" s="252"/>
      <c r="UI44" s="252"/>
      <c r="UJ44" s="252"/>
      <c r="UK44" s="252"/>
      <c r="UL44" s="252"/>
      <c r="UM44" s="252"/>
      <c r="UN44" s="252"/>
      <c r="UO44" s="252"/>
      <c r="UP44" s="252"/>
      <c r="UQ44" s="252"/>
      <c r="UR44" s="252"/>
      <c r="US44" s="252"/>
      <c r="UT44" s="252"/>
      <c r="UU44" s="252"/>
      <c r="UV44" s="252"/>
      <c r="UW44" s="252"/>
      <c r="UX44" s="252"/>
      <c r="UY44" s="252"/>
      <c r="UZ44" s="252"/>
      <c r="VA44" s="252"/>
      <c r="VB44" s="252"/>
      <c r="VC44" s="252"/>
      <c r="VD44" s="252"/>
      <c r="VE44" s="252"/>
      <c r="VF44" s="252"/>
      <c r="VG44" s="252"/>
      <c r="VH44" s="252"/>
      <c r="VI44" s="252"/>
      <c r="VJ44" s="252"/>
      <c r="VK44" s="252"/>
      <c r="VL44" s="252"/>
      <c r="VM44" s="252"/>
      <c r="VN44" s="252"/>
      <c r="VO44" s="252"/>
      <c r="VP44" s="252"/>
      <c r="VQ44" s="252"/>
      <c r="VR44" s="252"/>
      <c r="VS44" s="252"/>
      <c r="VT44" s="252"/>
      <c r="VU44" s="252"/>
      <c r="VV44" s="252"/>
      <c r="VW44" s="252"/>
      <c r="VX44" s="252"/>
      <c r="VY44" s="252"/>
      <c r="VZ44" s="252"/>
      <c r="WA44" s="252"/>
      <c r="WB44" s="252"/>
      <c r="WC44" s="252"/>
      <c r="WD44" s="252"/>
      <c r="WE44" s="252"/>
      <c r="WF44" s="252"/>
      <c r="WG44" s="252"/>
      <c r="WH44" s="252"/>
      <c r="WI44" s="252"/>
      <c r="WJ44" s="252"/>
      <c r="WK44" s="252"/>
      <c r="WL44" s="252"/>
      <c r="WM44" s="252"/>
      <c r="WN44" s="252"/>
      <c r="WO44" s="252"/>
      <c r="WP44" s="252"/>
      <c r="WQ44" s="252"/>
      <c r="WR44" s="252"/>
      <c r="WS44" s="252"/>
      <c r="WT44" s="252"/>
      <c r="WU44" s="252"/>
      <c r="WV44" s="252"/>
      <c r="WW44" s="252"/>
      <c r="WX44" s="252"/>
      <c r="WY44" s="252"/>
      <c r="WZ44" s="252"/>
      <c r="XA44" s="252"/>
      <c r="XB44" s="252"/>
      <c r="XC44" s="252"/>
      <c r="XD44" s="252"/>
      <c r="XE44" s="252"/>
      <c r="XF44" s="252"/>
      <c r="XG44" s="252"/>
      <c r="XH44" s="252"/>
      <c r="XI44" s="252"/>
      <c r="XJ44" s="252"/>
      <c r="XK44" s="252"/>
      <c r="XL44" s="252"/>
      <c r="XM44" s="252"/>
      <c r="XN44" s="252"/>
      <c r="XO44" s="252"/>
      <c r="XP44" s="252"/>
      <c r="XQ44" s="252"/>
      <c r="XR44" s="252"/>
      <c r="XS44" s="252"/>
      <c r="XT44" s="252"/>
      <c r="XU44" s="252"/>
      <c r="XV44" s="252"/>
      <c r="XW44" s="252"/>
      <c r="XX44" s="252"/>
      <c r="XY44" s="252"/>
      <c r="XZ44" s="252"/>
      <c r="YA44" s="252"/>
      <c r="YB44" s="252"/>
      <c r="YC44" s="252"/>
      <c r="YD44" s="252"/>
      <c r="YE44" s="252"/>
      <c r="YF44" s="252"/>
      <c r="YG44" s="252"/>
      <c r="YH44" s="252"/>
      <c r="YI44" s="252"/>
      <c r="YJ44" s="252"/>
      <c r="YK44" s="252"/>
      <c r="YL44" s="252"/>
      <c r="YM44" s="252"/>
      <c r="YN44" s="252"/>
      <c r="YO44" s="252"/>
      <c r="YP44" s="252"/>
      <c r="YQ44" s="252"/>
      <c r="YR44" s="252"/>
      <c r="YS44" s="252"/>
      <c r="YT44" s="252"/>
      <c r="YU44" s="252"/>
      <c r="YV44" s="252"/>
      <c r="YW44" s="252"/>
      <c r="YX44" s="252"/>
      <c r="YY44" s="252"/>
      <c r="YZ44" s="252"/>
      <c r="ZA44" s="252"/>
      <c r="ZB44" s="252"/>
      <c r="ZC44" s="252"/>
      <c r="ZD44" s="252"/>
      <c r="ZE44" s="252"/>
      <c r="ZF44" s="252"/>
      <c r="ZG44" s="252"/>
      <c r="ZH44" s="252"/>
      <c r="ZI44" s="252"/>
      <c r="ZJ44" s="252"/>
      <c r="ZK44" s="252"/>
      <c r="ZL44" s="252"/>
      <c r="ZM44" s="252"/>
      <c r="ZN44" s="252"/>
      <c r="ZO44" s="252"/>
      <c r="ZP44" s="252"/>
      <c r="ZQ44" s="252"/>
      <c r="ZR44" s="252"/>
      <c r="ZS44" s="252"/>
      <c r="ZT44" s="252"/>
      <c r="ZU44" s="252"/>
      <c r="ZV44" s="252"/>
      <c r="ZW44" s="252"/>
      <c r="ZX44" s="252"/>
      <c r="ZY44" s="252"/>
      <c r="ZZ44" s="252"/>
      <c r="AAA44" s="252"/>
      <c r="AAB44" s="252"/>
      <c r="AAC44" s="252"/>
      <c r="AAD44" s="252"/>
      <c r="AAE44" s="252"/>
      <c r="AAF44" s="252"/>
      <c r="AAG44" s="252"/>
      <c r="AAH44" s="252"/>
      <c r="AAI44" s="252"/>
      <c r="AAJ44" s="252"/>
      <c r="AAK44" s="252"/>
      <c r="AAL44" s="252"/>
      <c r="AAM44" s="252"/>
      <c r="AAN44" s="252"/>
      <c r="AAO44" s="252"/>
      <c r="AAP44" s="252"/>
      <c r="AAQ44" s="252"/>
      <c r="AAR44" s="252"/>
      <c r="AAS44" s="252"/>
      <c r="AAT44" s="252"/>
      <c r="AAU44" s="252"/>
      <c r="AAV44" s="252"/>
      <c r="AAW44" s="252"/>
      <c r="AAX44" s="252"/>
      <c r="AAY44" s="252"/>
      <c r="AAZ44" s="252"/>
      <c r="ABA44" s="252"/>
      <c r="ABB44" s="252"/>
      <c r="ABC44" s="252"/>
      <c r="ABD44" s="252"/>
      <c r="ABE44" s="252"/>
      <c r="ABF44" s="252"/>
      <c r="ABG44" s="252"/>
      <c r="ABH44" s="252"/>
      <c r="ABI44" s="252"/>
      <c r="ABJ44" s="252"/>
      <c r="ABK44" s="252"/>
      <c r="ABL44" s="252"/>
      <c r="ABM44" s="252"/>
      <c r="ABN44" s="252"/>
      <c r="ABO44" s="252"/>
      <c r="ABP44" s="252"/>
      <c r="ABQ44" s="252"/>
      <c r="ABR44" s="252"/>
      <c r="ABS44" s="252"/>
      <c r="ABT44" s="252"/>
      <c r="ABU44" s="252"/>
      <c r="ABV44" s="252"/>
      <c r="ABW44" s="252"/>
      <c r="ABX44" s="252"/>
      <c r="ABY44" s="252"/>
      <c r="ABZ44" s="252"/>
      <c r="ACA44" s="252"/>
      <c r="ACB44" s="252"/>
      <c r="ACC44" s="252"/>
      <c r="ACD44" s="252"/>
      <c r="ACE44" s="252"/>
      <c r="ACF44" s="252"/>
      <c r="ACG44" s="252"/>
      <c r="ACH44" s="252"/>
      <c r="ACI44" s="252"/>
      <c r="ACJ44" s="252"/>
      <c r="ACK44" s="252"/>
      <c r="ACL44" s="252"/>
      <c r="ACM44" s="252"/>
      <c r="ACN44" s="252"/>
      <c r="ACO44" s="252"/>
      <c r="ACP44" s="252"/>
      <c r="ACQ44" s="252"/>
      <c r="ACR44" s="252"/>
      <c r="ACS44" s="252"/>
      <c r="ACT44" s="252"/>
      <c r="ACU44" s="252"/>
      <c r="ACV44" s="252"/>
      <c r="ACW44" s="252"/>
      <c r="ACX44" s="252"/>
      <c r="ACY44" s="252"/>
      <c r="ACZ44" s="252"/>
      <c r="ADA44" s="252"/>
      <c r="ADB44" s="252"/>
      <c r="ADC44" s="252"/>
      <c r="ADD44" s="252"/>
      <c r="ADE44" s="252"/>
      <c r="ADF44" s="252"/>
      <c r="ADG44" s="252"/>
      <c r="ADH44" s="252"/>
      <c r="ADI44" s="252"/>
      <c r="ADJ44" s="252"/>
      <c r="ADK44" s="252"/>
      <c r="ADL44" s="252"/>
      <c r="ADM44" s="252"/>
      <c r="ADN44" s="252"/>
      <c r="ADO44" s="252"/>
      <c r="ADP44" s="252"/>
      <c r="ADQ44" s="252"/>
      <c r="ADR44" s="252"/>
      <c r="ADS44" s="252"/>
      <c r="ADT44" s="252"/>
      <c r="ADU44" s="252"/>
      <c r="ADV44" s="252"/>
      <c r="ADW44" s="252"/>
      <c r="ADX44" s="252"/>
      <c r="ADY44" s="252"/>
      <c r="ADZ44" s="252"/>
      <c r="AEA44" s="252"/>
      <c r="AEB44" s="252"/>
      <c r="AEC44" s="252"/>
      <c r="AED44" s="252"/>
      <c r="AEE44" s="252"/>
      <c r="AEF44" s="252"/>
      <c r="AEG44" s="252"/>
      <c r="AEH44" s="252"/>
      <c r="AEI44" s="252"/>
      <c r="AEJ44" s="252"/>
      <c r="AEK44" s="252"/>
      <c r="AEL44" s="252"/>
      <c r="AEM44" s="252"/>
      <c r="AEN44" s="252"/>
      <c r="AEO44" s="252"/>
      <c r="AEP44" s="252"/>
      <c r="AEQ44" s="252"/>
      <c r="AER44" s="252"/>
      <c r="AES44" s="252"/>
      <c r="AET44" s="252"/>
      <c r="AEU44" s="252"/>
      <c r="AEV44" s="252"/>
      <c r="AEW44" s="252"/>
      <c r="AEX44" s="252"/>
      <c r="AEY44" s="252"/>
      <c r="AEZ44" s="252"/>
      <c r="AFA44" s="252"/>
      <c r="AFB44" s="252"/>
      <c r="AFC44" s="252"/>
      <c r="AFD44" s="252"/>
      <c r="AFE44" s="252"/>
      <c r="AFF44" s="252"/>
      <c r="AFG44" s="252"/>
      <c r="AFH44" s="252"/>
      <c r="AFI44" s="252"/>
      <c r="AFJ44" s="252"/>
      <c r="AFK44" s="252"/>
      <c r="AFL44" s="252"/>
      <c r="AFM44" s="252"/>
      <c r="AFN44" s="252"/>
      <c r="AFO44" s="252"/>
      <c r="AFP44" s="252"/>
      <c r="AFQ44" s="252"/>
      <c r="AFR44" s="252"/>
      <c r="AFS44" s="252"/>
      <c r="AFT44" s="252"/>
      <c r="AFU44" s="252"/>
      <c r="AFV44" s="252"/>
      <c r="AFW44" s="252"/>
      <c r="AFX44" s="252"/>
      <c r="AFY44" s="252"/>
      <c r="AFZ44" s="252"/>
      <c r="AGA44" s="252"/>
      <c r="AGB44" s="252"/>
      <c r="AGC44" s="252"/>
      <c r="AGD44" s="252"/>
      <c r="AGE44" s="252"/>
      <c r="AGF44" s="252"/>
      <c r="AGG44" s="252"/>
      <c r="AGH44" s="252"/>
      <c r="AGI44" s="252"/>
      <c r="AGJ44" s="252"/>
      <c r="AGK44" s="252"/>
      <c r="AGL44" s="252"/>
      <c r="AGM44" s="252"/>
      <c r="AGN44" s="252"/>
      <c r="AGO44" s="252"/>
      <c r="AGP44" s="252"/>
      <c r="AGQ44" s="252"/>
      <c r="AGR44" s="252"/>
      <c r="AGS44" s="252"/>
      <c r="AGT44" s="252"/>
      <c r="AGU44" s="252"/>
      <c r="AGV44" s="252"/>
      <c r="AGW44" s="252"/>
      <c r="AGX44" s="252"/>
      <c r="AGY44" s="252"/>
      <c r="AGZ44" s="252"/>
      <c r="AHA44" s="252"/>
      <c r="AHB44" s="252"/>
      <c r="AHC44" s="252"/>
      <c r="AHD44" s="252"/>
      <c r="AHE44" s="252"/>
      <c r="AHF44" s="252"/>
      <c r="AHG44" s="252"/>
      <c r="AHH44" s="252"/>
      <c r="AHI44" s="252"/>
      <c r="AHJ44" s="252"/>
      <c r="AHK44" s="252"/>
      <c r="AHL44" s="252"/>
      <c r="AHM44" s="252"/>
      <c r="AHN44" s="252"/>
      <c r="AHO44" s="252"/>
      <c r="AHP44" s="252"/>
      <c r="AHQ44" s="252"/>
      <c r="AHR44" s="252"/>
      <c r="AHS44" s="252"/>
      <c r="AHT44" s="252"/>
      <c r="AHU44" s="252"/>
      <c r="AHV44" s="252"/>
      <c r="AHW44" s="252"/>
      <c r="AHX44" s="252"/>
      <c r="AHY44" s="252"/>
      <c r="AHZ44" s="252"/>
      <c r="AIA44" s="252"/>
      <c r="AIB44" s="252"/>
      <c r="AIC44" s="252"/>
      <c r="AID44" s="252"/>
      <c r="AIE44" s="252"/>
      <c r="AIF44" s="252"/>
      <c r="AIG44" s="252"/>
      <c r="AIH44" s="252"/>
      <c r="AII44" s="252"/>
      <c r="AIJ44" s="252"/>
      <c r="AIK44" s="252"/>
      <c r="AIL44" s="252"/>
      <c r="AIM44" s="252"/>
      <c r="AIN44" s="252"/>
      <c r="AIO44" s="252"/>
      <c r="AIP44" s="252"/>
      <c r="AIQ44" s="252"/>
      <c r="AIR44" s="252"/>
      <c r="AIS44" s="252"/>
      <c r="AIT44" s="252"/>
      <c r="AIU44" s="252"/>
      <c r="AIV44" s="252"/>
      <c r="AIW44" s="252"/>
      <c r="AIX44" s="252"/>
      <c r="AIY44" s="252"/>
      <c r="AIZ44" s="252"/>
      <c r="AJA44" s="252"/>
      <c r="AJB44" s="252"/>
      <c r="AJC44" s="252"/>
      <c r="AJD44" s="252"/>
      <c r="AJE44" s="252"/>
      <c r="AJF44" s="252"/>
      <c r="AJG44" s="252"/>
      <c r="AJH44" s="252"/>
      <c r="AJI44" s="252"/>
      <c r="AJJ44" s="252"/>
      <c r="AJK44" s="252"/>
      <c r="AJL44" s="252"/>
      <c r="AJM44" s="252"/>
      <c r="AJN44" s="252"/>
      <c r="AJO44" s="252"/>
      <c r="AJP44" s="252"/>
      <c r="AJQ44" s="252"/>
      <c r="AJR44" s="252"/>
      <c r="AJS44" s="252"/>
      <c r="AJT44" s="252"/>
      <c r="AJU44" s="252"/>
      <c r="AJV44" s="252"/>
      <c r="AJW44" s="252"/>
      <c r="AJX44" s="252"/>
      <c r="AJY44" s="252"/>
      <c r="AJZ44" s="252"/>
      <c r="AKA44" s="252"/>
      <c r="AKB44" s="252"/>
      <c r="AKC44" s="252"/>
      <c r="AKD44" s="252"/>
      <c r="AKE44" s="252"/>
      <c r="AKF44" s="252"/>
      <c r="AKG44" s="252"/>
      <c r="AKH44" s="252"/>
      <c r="AKI44" s="252"/>
      <c r="AKJ44" s="252"/>
      <c r="AKK44" s="252"/>
      <c r="AKL44" s="252"/>
      <c r="AKM44" s="252"/>
      <c r="AKN44" s="252"/>
      <c r="AKO44" s="252"/>
      <c r="AKP44" s="252"/>
      <c r="AKQ44" s="252"/>
      <c r="AKR44" s="252"/>
      <c r="AKS44" s="252"/>
      <c r="AKT44" s="252"/>
      <c r="AKU44" s="252"/>
      <c r="AKV44" s="252"/>
      <c r="AKW44" s="252"/>
      <c r="AKX44" s="252"/>
      <c r="AKY44" s="252"/>
      <c r="AKZ44" s="252"/>
      <c r="ALA44" s="252"/>
      <c r="ALB44" s="252"/>
      <c r="ALC44" s="252"/>
      <c r="ALD44" s="252"/>
      <c r="ALE44" s="252"/>
      <c r="ALF44" s="252"/>
      <c r="ALG44" s="252"/>
      <c r="ALH44" s="252"/>
      <c r="ALI44" s="252"/>
      <c r="ALJ44" s="252"/>
      <c r="ALK44" s="252"/>
      <c r="ALL44" s="252"/>
      <c r="ALM44" s="252"/>
      <c r="ALN44" s="252"/>
      <c r="ALO44" s="252"/>
      <c r="ALP44" s="252"/>
      <c r="ALQ44" s="252"/>
      <c r="ALR44" s="252"/>
    </row>
    <row r="45" spans="1:1007" s="3" customFormat="1" x14ac:dyDescent="0.2">
      <c r="A45" s="369" t="s">
        <v>294</v>
      </c>
      <c r="B45" s="380"/>
      <c r="C45" s="382">
        <v>17000</v>
      </c>
      <c r="D45" s="380"/>
      <c r="E45" s="733"/>
      <c r="F45" s="730"/>
      <c r="G45" s="730"/>
      <c r="H45" s="730"/>
      <c r="I45" s="730"/>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c r="BB45" s="252"/>
      <c r="BC45" s="252"/>
      <c r="BD45" s="252"/>
      <c r="BE45" s="252"/>
      <c r="BF45" s="252"/>
      <c r="BG45" s="252"/>
      <c r="BH45" s="252"/>
      <c r="BI45" s="252"/>
      <c r="BJ45" s="252"/>
      <c r="BK45" s="252"/>
      <c r="BL45" s="252"/>
      <c r="BM45" s="252"/>
      <c r="BN45" s="252"/>
      <c r="BO45" s="252"/>
      <c r="BP45" s="252"/>
      <c r="BQ45" s="252"/>
      <c r="BR45" s="252"/>
      <c r="BS45" s="252"/>
      <c r="BT45" s="252"/>
      <c r="BU45" s="252"/>
      <c r="BV45" s="252"/>
      <c r="BW45" s="252"/>
      <c r="BX45" s="252"/>
      <c r="BY45" s="252"/>
      <c r="BZ45" s="252"/>
      <c r="CA45" s="252"/>
      <c r="CB45" s="252"/>
      <c r="CC45" s="252"/>
      <c r="CD45" s="252"/>
      <c r="CE45" s="252"/>
      <c r="CF45" s="252"/>
      <c r="CG45" s="252"/>
      <c r="CH45" s="252"/>
      <c r="CI45" s="252"/>
      <c r="CJ45" s="252"/>
      <c r="CK45" s="252"/>
      <c r="CL45" s="252"/>
      <c r="CM45" s="252"/>
      <c r="CN45" s="252"/>
      <c r="CO45" s="252"/>
      <c r="CP45" s="252"/>
      <c r="CQ45" s="252"/>
      <c r="CR45" s="252"/>
      <c r="CS45" s="252"/>
      <c r="CT45" s="252"/>
      <c r="CU45" s="252"/>
      <c r="CV45" s="252"/>
      <c r="CW45" s="252"/>
      <c r="CX45" s="252"/>
      <c r="CY45" s="252"/>
      <c r="CZ45" s="252"/>
      <c r="DA45" s="252"/>
      <c r="DB45" s="252"/>
      <c r="DC45" s="252"/>
      <c r="DD45" s="252"/>
      <c r="DE45" s="252"/>
      <c r="DF45" s="252"/>
      <c r="DG45" s="252"/>
      <c r="DH45" s="252"/>
      <c r="DI45" s="252"/>
      <c r="DJ45" s="252"/>
      <c r="DK45" s="252"/>
      <c r="DL45" s="252"/>
      <c r="DM45" s="252"/>
      <c r="DN45" s="252"/>
      <c r="DO45" s="252"/>
      <c r="DP45" s="252"/>
      <c r="DQ45" s="252"/>
      <c r="DR45" s="252"/>
      <c r="DS45" s="252"/>
      <c r="DT45" s="252"/>
      <c r="DU45" s="252"/>
      <c r="DV45" s="252"/>
      <c r="DW45" s="252"/>
      <c r="DX45" s="252"/>
      <c r="DY45" s="252"/>
      <c r="DZ45" s="252"/>
      <c r="EA45" s="252"/>
      <c r="EB45" s="252"/>
      <c r="EC45" s="252"/>
      <c r="ED45" s="252"/>
      <c r="EE45" s="252"/>
      <c r="EF45" s="252"/>
      <c r="EG45" s="252"/>
      <c r="EH45" s="252"/>
      <c r="EI45" s="252"/>
      <c r="EJ45" s="252"/>
      <c r="EK45" s="252"/>
      <c r="EL45" s="252"/>
      <c r="EM45" s="252"/>
      <c r="EN45" s="252"/>
      <c r="EO45" s="252"/>
      <c r="EP45" s="252"/>
      <c r="EQ45" s="252"/>
      <c r="ER45" s="252"/>
      <c r="ES45" s="252"/>
      <c r="ET45" s="252"/>
      <c r="EU45" s="252"/>
      <c r="EV45" s="252"/>
      <c r="EW45" s="252"/>
      <c r="EX45" s="252"/>
      <c r="EY45" s="252"/>
      <c r="EZ45" s="252"/>
      <c r="FA45" s="252"/>
      <c r="FB45" s="252"/>
      <c r="FC45" s="252"/>
      <c r="FD45" s="252"/>
      <c r="FE45" s="252"/>
      <c r="FF45" s="252"/>
      <c r="FG45" s="252"/>
      <c r="FH45" s="252"/>
      <c r="FI45" s="252"/>
      <c r="FJ45" s="252"/>
      <c r="FK45" s="252"/>
      <c r="FL45" s="252"/>
      <c r="FM45" s="252"/>
      <c r="FN45" s="252"/>
      <c r="FO45" s="252"/>
      <c r="FP45" s="252"/>
      <c r="FQ45" s="252"/>
      <c r="FR45" s="252"/>
      <c r="FS45" s="252"/>
      <c r="FT45" s="252"/>
      <c r="FU45" s="252"/>
      <c r="FV45" s="252"/>
      <c r="FW45" s="252"/>
      <c r="FX45" s="252"/>
      <c r="FY45" s="252"/>
      <c r="FZ45" s="252"/>
      <c r="GA45" s="252"/>
      <c r="GB45" s="252"/>
      <c r="GC45" s="252"/>
      <c r="GD45" s="252"/>
      <c r="GE45" s="252"/>
      <c r="GF45" s="252"/>
      <c r="GG45" s="252"/>
      <c r="GH45" s="252"/>
      <c r="GI45" s="252"/>
      <c r="GJ45" s="252"/>
      <c r="GK45" s="252"/>
      <c r="GL45" s="252"/>
      <c r="GM45" s="252"/>
      <c r="GN45" s="252"/>
      <c r="GO45" s="252"/>
      <c r="GP45" s="252"/>
      <c r="GQ45" s="252"/>
      <c r="GR45" s="252"/>
      <c r="GS45" s="252"/>
      <c r="GT45" s="252"/>
      <c r="GU45" s="252"/>
      <c r="GV45" s="252"/>
      <c r="GW45" s="252"/>
      <c r="GX45" s="252"/>
      <c r="GY45" s="252"/>
      <c r="GZ45" s="252"/>
      <c r="HA45" s="252"/>
      <c r="HB45" s="252"/>
      <c r="HC45" s="252"/>
      <c r="HD45" s="252"/>
      <c r="HE45" s="252"/>
      <c r="HF45" s="252"/>
      <c r="HG45" s="252"/>
      <c r="HH45" s="252"/>
      <c r="HI45" s="252"/>
      <c r="HJ45" s="252"/>
      <c r="HK45" s="252"/>
      <c r="HL45" s="252"/>
      <c r="HM45" s="252"/>
      <c r="HN45" s="252"/>
      <c r="HO45" s="252"/>
      <c r="HP45" s="252"/>
      <c r="HQ45" s="252"/>
      <c r="HR45" s="252"/>
      <c r="HS45" s="252"/>
      <c r="HT45" s="252"/>
      <c r="HU45" s="252"/>
      <c r="HV45" s="252"/>
      <c r="HW45" s="252"/>
      <c r="HX45" s="252"/>
      <c r="HY45" s="252"/>
      <c r="HZ45" s="252"/>
      <c r="IA45" s="252"/>
      <c r="IB45" s="252"/>
      <c r="IC45" s="252"/>
      <c r="ID45" s="252"/>
      <c r="IE45" s="252"/>
      <c r="IF45" s="252"/>
      <c r="IG45" s="252"/>
      <c r="IH45" s="252"/>
      <c r="II45" s="252"/>
      <c r="IJ45" s="252"/>
      <c r="IK45" s="252"/>
      <c r="IL45" s="252"/>
      <c r="IM45" s="252"/>
      <c r="IN45" s="252"/>
      <c r="IO45" s="252"/>
      <c r="IP45" s="252"/>
      <c r="IQ45" s="252"/>
      <c r="IR45" s="252"/>
      <c r="IS45" s="252"/>
      <c r="IT45" s="252"/>
      <c r="IU45" s="252"/>
      <c r="IV45" s="252"/>
      <c r="IW45" s="252"/>
      <c r="IX45" s="252"/>
      <c r="IY45" s="252"/>
      <c r="IZ45" s="252"/>
      <c r="JA45" s="252"/>
      <c r="JB45" s="252"/>
      <c r="JC45" s="252"/>
      <c r="JD45" s="252"/>
      <c r="JE45" s="252"/>
      <c r="JF45" s="252"/>
      <c r="JG45" s="252"/>
      <c r="JH45" s="252"/>
      <c r="JI45" s="252"/>
      <c r="JJ45" s="252"/>
      <c r="JK45" s="252"/>
      <c r="JL45" s="252"/>
      <c r="JM45" s="252"/>
      <c r="JN45" s="252"/>
      <c r="JO45" s="252"/>
      <c r="JP45" s="252"/>
      <c r="JQ45" s="252"/>
      <c r="JR45" s="252"/>
      <c r="JS45" s="252"/>
      <c r="JT45" s="252"/>
      <c r="JU45" s="252"/>
      <c r="JV45" s="252"/>
      <c r="JW45" s="252"/>
      <c r="JX45" s="252"/>
      <c r="JY45" s="252"/>
      <c r="JZ45" s="252"/>
      <c r="KA45" s="252"/>
      <c r="KB45" s="252"/>
      <c r="KC45" s="252"/>
      <c r="KD45" s="252"/>
      <c r="KE45" s="252"/>
      <c r="KF45" s="252"/>
      <c r="KG45" s="252"/>
      <c r="KH45" s="252"/>
      <c r="KI45" s="252"/>
      <c r="KJ45" s="252"/>
      <c r="KK45" s="252"/>
      <c r="KL45" s="252"/>
      <c r="KM45" s="252"/>
      <c r="KN45" s="252"/>
      <c r="KO45" s="252"/>
      <c r="KP45" s="252"/>
      <c r="KQ45" s="252"/>
      <c r="KR45" s="252"/>
      <c r="KS45" s="252"/>
      <c r="KT45" s="252"/>
      <c r="KU45" s="252"/>
      <c r="KV45" s="252"/>
      <c r="KW45" s="252"/>
      <c r="KX45" s="252"/>
      <c r="KY45" s="252"/>
      <c r="KZ45" s="252"/>
      <c r="LA45" s="252"/>
      <c r="LB45" s="252"/>
      <c r="LC45" s="252"/>
      <c r="LD45" s="252"/>
      <c r="LE45" s="252"/>
      <c r="LF45" s="252"/>
      <c r="LG45" s="252"/>
      <c r="LH45" s="252"/>
      <c r="LI45" s="252"/>
      <c r="LJ45" s="252"/>
      <c r="LK45" s="252"/>
      <c r="LL45" s="252"/>
      <c r="LM45" s="252"/>
      <c r="LN45" s="252"/>
      <c r="LO45" s="252"/>
      <c r="LP45" s="252"/>
      <c r="LQ45" s="252"/>
      <c r="LR45" s="252"/>
      <c r="LS45" s="252"/>
      <c r="LT45" s="252"/>
      <c r="LU45" s="252"/>
      <c r="LV45" s="252"/>
      <c r="LW45" s="252"/>
      <c r="LX45" s="252"/>
      <c r="LY45" s="252"/>
      <c r="LZ45" s="252"/>
      <c r="MA45" s="252"/>
      <c r="MB45" s="252"/>
      <c r="MC45" s="252"/>
      <c r="MD45" s="252"/>
      <c r="ME45" s="252"/>
      <c r="MF45" s="252"/>
      <c r="MG45" s="252"/>
      <c r="MH45" s="252"/>
      <c r="MI45" s="252"/>
      <c r="MJ45" s="252"/>
      <c r="MK45" s="252"/>
      <c r="ML45" s="252"/>
      <c r="MM45" s="252"/>
      <c r="MN45" s="252"/>
      <c r="MO45" s="252"/>
      <c r="MP45" s="252"/>
      <c r="MQ45" s="252"/>
      <c r="MR45" s="252"/>
      <c r="MS45" s="252"/>
      <c r="MT45" s="252"/>
      <c r="MU45" s="252"/>
      <c r="MV45" s="252"/>
      <c r="MW45" s="252"/>
      <c r="MX45" s="252"/>
      <c r="MY45" s="252"/>
      <c r="MZ45" s="252"/>
      <c r="NA45" s="252"/>
      <c r="NB45" s="252"/>
      <c r="NC45" s="252"/>
      <c r="ND45" s="252"/>
      <c r="NE45" s="252"/>
      <c r="NF45" s="252"/>
      <c r="NG45" s="252"/>
      <c r="NH45" s="252"/>
      <c r="NI45" s="252"/>
      <c r="NJ45" s="252"/>
      <c r="NK45" s="252"/>
      <c r="NL45" s="252"/>
      <c r="NM45" s="252"/>
      <c r="NN45" s="252"/>
      <c r="NO45" s="252"/>
      <c r="NP45" s="252"/>
      <c r="NQ45" s="252"/>
      <c r="NR45" s="252"/>
      <c r="NS45" s="252"/>
      <c r="NT45" s="252"/>
      <c r="NU45" s="252"/>
      <c r="NV45" s="252"/>
      <c r="NW45" s="252"/>
      <c r="NX45" s="252"/>
      <c r="NY45" s="252"/>
      <c r="NZ45" s="252"/>
      <c r="OA45" s="252"/>
      <c r="OB45" s="252"/>
      <c r="OC45" s="252"/>
      <c r="OD45" s="252"/>
      <c r="OE45" s="252"/>
      <c r="OF45" s="252"/>
      <c r="OG45" s="252"/>
      <c r="OH45" s="252"/>
      <c r="OI45" s="252"/>
      <c r="OJ45" s="252"/>
      <c r="OK45" s="252"/>
      <c r="OL45" s="252"/>
      <c r="OM45" s="252"/>
      <c r="ON45" s="252"/>
      <c r="OO45" s="252"/>
      <c r="OP45" s="252"/>
      <c r="OQ45" s="252"/>
      <c r="OR45" s="252"/>
      <c r="OS45" s="252"/>
      <c r="OT45" s="252"/>
      <c r="OU45" s="252"/>
      <c r="OV45" s="252"/>
      <c r="OW45" s="252"/>
      <c r="OX45" s="252"/>
      <c r="OY45" s="252"/>
      <c r="OZ45" s="252"/>
      <c r="PA45" s="252"/>
      <c r="PB45" s="252"/>
      <c r="PC45" s="252"/>
      <c r="PD45" s="252"/>
      <c r="PE45" s="252"/>
      <c r="PF45" s="252"/>
      <c r="PG45" s="252"/>
      <c r="PH45" s="252"/>
      <c r="PI45" s="252"/>
      <c r="PJ45" s="252"/>
      <c r="PK45" s="252"/>
      <c r="PL45" s="252"/>
      <c r="PM45" s="252"/>
      <c r="PN45" s="252"/>
      <c r="PO45" s="252"/>
      <c r="PP45" s="252"/>
      <c r="PQ45" s="252"/>
      <c r="PR45" s="252"/>
      <c r="PS45" s="252"/>
      <c r="PT45" s="252"/>
      <c r="PU45" s="252"/>
      <c r="PV45" s="252"/>
      <c r="PW45" s="252"/>
      <c r="PX45" s="252"/>
      <c r="PY45" s="252"/>
      <c r="PZ45" s="252"/>
      <c r="QA45" s="252"/>
      <c r="QB45" s="252"/>
      <c r="QC45" s="252"/>
      <c r="QD45" s="252"/>
      <c r="QE45" s="252"/>
      <c r="QF45" s="252"/>
      <c r="QG45" s="252"/>
      <c r="QH45" s="252"/>
      <c r="QI45" s="252"/>
      <c r="QJ45" s="252"/>
      <c r="QK45" s="252"/>
      <c r="QL45" s="252"/>
      <c r="QM45" s="252"/>
      <c r="QN45" s="252"/>
      <c r="QO45" s="252"/>
      <c r="QP45" s="252"/>
      <c r="QQ45" s="252"/>
      <c r="QR45" s="252"/>
      <c r="QS45" s="252"/>
      <c r="QT45" s="252"/>
      <c r="QU45" s="252"/>
      <c r="QV45" s="252"/>
      <c r="QW45" s="252"/>
      <c r="QX45" s="252"/>
      <c r="QY45" s="252"/>
      <c r="QZ45" s="252"/>
      <c r="RA45" s="252"/>
      <c r="RB45" s="252"/>
      <c r="RC45" s="252"/>
      <c r="RD45" s="252"/>
      <c r="RE45" s="252"/>
      <c r="RF45" s="252"/>
      <c r="RG45" s="252"/>
      <c r="RH45" s="252"/>
      <c r="RI45" s="252"/>
      <c r="RJ45" s="252"/>
      <c r="RK45" s="252"/>
      <c r="RL45" s="252"/>
      <c r="RM45" s="252"/>
      <c r="RN45" s="252"/>
      <c r="RO45" s="252"/>
      <c r="RP45" s="252"/>
      <c r="RQ45" s="252"/>
      <c r="RR45" s="252"/>
      <c r="RS45" s="252"/>
      <c r="RT45" s="252"/>
      <c r="RU45" s="252"/>
      <c r="RV45" s="252"/>
      <c r="RW45" s="252"/>
      <c r="RX45" s="252"/>
      <c r="RY45" s="252"/>
      <c r="RZ45" s="252"/>
      <c r="SA45" s="252"/>
      <c r="SB45" s="252"/>
      <c r="SC45" s="252"/>
      <c r="SD45" s="252"/>
      <c r="SE45" s="252"/>
      <c r="SF45" s="252"/>
      <c r="SG45" s="252"/>
      <c r="SH45" s="252"/>
      <c r="SI45" s="252"/>
      <c r="SJ45" s="252"/>
      <c r="SK45" s="252"/>
      <c r="SL45" s="252"/>
      <c r="SM45" s="252"/>
      <c r="SN45" s="252"/>
      <c r="SO45" s="252"/>
      <c r="SP45" s="252"/>
      <c r="SQ45" s="252"/>
      <c r="SR45" s="252"/>
      <c r="SS45" s="252"/>
      <c r="ST45" s="252"/>
      <c r="SU45" s="252"/>
      <c r="SV45" s="252"/>
      <c r="SW45" s="252"/>
      <c r="SX45" s="252"/>
      <c r="SY45" s="252"/>
      <c r="SZ45" s="252"/>
      <c r="TA45" s="252"/>
      <c r="TB45" s="252"/>
      <c r="TC45" s="252"/>
      <c r="TD45" s="252"/>
      <c r="TE45" s="252"/>
      <c r="TF45" s="252"/>
      <c r="TG45" s="252"/>
      <c r="TH45" s="252"/>
      <c r="TI45" s="252"/>
      <c r="TJ45" s="252"/>
      <c r="TK45" s="252"/>
      <c r="TL45" s="252"/>
      <c r="TM45" s="252"/>
      <c r="TN45" s="252"/>
      <c r="TO45" s="252"/>
      <c r="TP45" s="252"/>
      <c r="TQ45" s="252"/>
      <c r="TR45" s="252"/>
      <c r="TS45" s="252"/>
      <c r="TT45" s="252"/>
      <c r="TU45" s="252"/>
      <c r="TV45" s="252"/>
      <c r="TW45" s="252"/>
      <c r="TX45" s="252"/>
      <c r="TY45" s="252"/>
      <c r="TZ45" s="252"/>
      <c r="UA45" s="252"/>
      <c r="UB45" s="252"/>
      <c r="UC45" s="252"/>
      <c r="UD45" s="252"/>
      <c r="UE45" s="252"/>
      <c r="UF45" s="252"/>
      <c r="UG45" s="252"/>
      <c r="UH45" s="252"/>
      <c r="UI45" s="252"/>
      <c r="UJ45" s="252"/>
      <c r="UK45" s="252"/>
      <c r="UL45" s="252"/>
      <c r="UM45" s="252"/>
      <c r="UN45" s="252"/>
      <c r="UO45" s="252"/>
      <c r="UP45" s="252"/>
      <c r="UQ45" s="252"/>
      <c r="UR45" s="252"/>
      <c r="US45" s="252"/>
      <c r="UT45" s="252"/>
      <c r="UU45" s="252"/>
      <c r="UV45" s="252"/>
      <c r="UW45" s="252"/>
      <c r="UX45" s="252"/>
      <c r="UY45" s="252"/>
      <c r="UZ45" s="252"/>
      <c r="VA45" s="252"/>
      <c r="VB45" s="252"/>
      <c r="VC45" s="252"/>
      <c r="VD45" s="252"/>
      <c r="VE45" s="252"/>
      <c r="VF45" s="252"/>
      <c r="VG45" s="252"/>
      <c r="VH45" s="252"/>
      <c r="VI45" s="252"/>
      <c r="VJ45" s="252"/>
      <c r="VK45" s="252"/>
      <c r="VL45" s="252"/>
      <c r="VM45" s="252"/>
      <c r="VN45" s="252"/>
      <c r="VO45" s="252"/>
      <c r="VP45" s="252"/>
      <c r="VQ45" s="252"/>
      <c r="VR45" s="252"/>
      <c r="VS45" s="252"/>
      <c r="VT45" s="252"/>
      <c r="VU45" s="252"/>
      <c r="VV45" s="252"/>
      <c r="VW45" s="252"/>
      <c r="VX45" s="252"/>
      <c r="VY45" s="252"/>
      <c r="VZ45" s="252"/>
      <c r="WA45" s="252"/>
      <c r="WB45" s="252"/>
      <c r="WC45" s="252"/>
      <c r="WD45" s="252"/>
      <c r="WE45" s="252"/>
      <c r="WF45" s="252"/>
      <c r="WG45" s="252"/>
      <c r="WH45" s="252"/>
      <c r="WI45" s="252"/>
      <c r="WJ45" s="252"/>
      <c r="WK45" s="252"/>
      <c r="WL45" s="252"/>
      <c r="WM45" s="252"/>
      <c r="WN45" s="252"/>
      <c r="WO45" s="252"/>
      <c r="WP45" s="252"/>
      <c r="WQ45" s="252"/>
      <c r="WR45" s="252"/>
      <c r="WS45" s="252"/>
      <c r="WT45" s="252"/>
      <c r="WU45" s="252"/>
      <c r="WV45" s="252"/>
      <c r="WW45" s="252"/>
      <c r="WX45" s="252"/>
      <c r="WY45" s="252"/>
      <c r="WZ45" s="252"/>
      <c r="XA45" s="252"/>
      <c r="XB45" s="252"/>
      <c r="XC45" s="252"/>
      <c r="XD45" s="252"/>
      <c r="XE45" s="252"/>
      <c r="XF45" s="252"/>
      <c r="XG45" s="252"/>
      <c r="XH45" s="252"/>
      <c r="XI45" s="252"/>
      <c r="XJ45" s="252"/>
      <c r="XK45" s="252"/>
      <c r="XL45" s="252"/>
      <c r="XM45" s="252"/>
      <c r="XN45" s="252"/>
      <c r="XO45" s="252"/>
      <c r="XP45" s="252"/>
      <c r="XQ45" s="252"/>
      <c r="XR45" s="252"/>
      <c r="XS45" s="252"/>
      <c r="XT45" s="252"/>
      <c r="XU45" s="252"/>
      <c r="XV45" s="252"/>
      <c r="XW45" s="252"/>
      <c r="XX45" s="252"/>
      <c r="XY45" s="252"/>
      <c r="XZ45" s="252"/>
      <c r="YA45" s="252"/>
      <c r="YB45" s="252"/>
      <c r="YC45" s="252"/>
      <c r="YD45" s="252"/>
      <c r="YE45" s="252"/>
      <c r="YF45" s="252"/>
      <c r="YG45" s="252"/>
      <c r="YH45" s="252"/>
      <c r="YI45" s="252"/>
      <c r="YJ45" s="252"/>
      <c r="YK45" s="252"/>
      <c r="YL45" s="252"/>
      <c r="YM45" s="252"/>
      <c r="YN45" s="252"/>
      <c r="YO45" s="252"/>
      <c r="YP45" s="252"/>
      <c r="YQ45" s="252"/>
      <c r="YR45" s="252"/>
      <c r="YS45" s="252"/>
      <c r="YT45" s="252"/>
      <c r="YU45" s="252"/>
      <c r="YV45" s="252"/>
      <c r="YW45" s="252"/>
      <c r="YX45" s="252"/>
      <c r="YY45" s="252"/>
      <c r="YZ45" s="252"/>
      <c r="ZA45" s="252"/>
      <c r="ZB45" s="252"/>
      <c r="ZC45" s="252"/>
      <c r="ZD45" s="252"/>
      <c r="ZE45" s="252"/>
      <c r="ZF45" s="252"/>
      <c r="ZG45" s="252"/>
      <c r="ZH45" s="252"/>
      <c r="ZI45" s="252"/>
      <c r="ZJ45" s="252"/>
      <c r="ZK45" s="252"/>
      <c r="ZL45" s="252"/>
      <c r="ZM45" s="252"/>
      <c r="ZN45" s="252"/>
      <c r="ZO45" s="252"/>
      <c r="ZP45" s="252"/>
      <c r="ZQ45" s="252"/>
      <c r="ZR45" s="252"/>
      <c r="ZS45" s="252"/>
      <c r="ZT45" s="252"/>
      <c r="ZU45" s="252"/>
      <c r="ZV45" s="252"/>
      <c r="ZW45" s="252"/>
      <c r="ZX45" s="252"/>
      <c r="ZY45" s="252"/>
      <c r="ZZ45" s="252"/>
      <c r="AAA45" s="252"/>
      <c r="AAB45" s="252"/>
      <c r="AAC45" s="252"/>
      <c r="AAD45" s="252"/>
      <c r="AAE45" s="252"/>
      <c r="AAF45" s="252"/>
      <c r="AAG45" s="252"/>
      <c r="AAH45" s="252"/>
      <c r="AAI45" s="252"/>
      <c r="AAJ45" s="252"/>
      <c r="AAK45" s="252"/>
      <c r="AAL45" s="252"/>
      <c r="AAM45" s="252"/>
      <c r="AAN45" s="252"/>
      <c r="AAO45" s="252"/>
      <c r="AAP45" s="252"/>
      <c r="AAQ45" s="252"/>
      <c r="AAR45" s="252"/>
      <c r="AAS45" s="252"/>
      <c r="AAT45" s="252"/>
      <c r="AAU45" s="252"/>
      <c r="AAV45" s="252"/>
      <c r="AAW45" s="252"/>
      <c r="AAX45" s="252"/>
      <c r="AAY45" s="252"/>
      <c r="AAZ45" s="252"/>
      <c r="ABA45" s="252"/>
      <c r="ABB45" s="252"/>
      <c r="ABC45" s="252"/>
      <c r="ABD45" s="252"/>
      <c r="ABE45" s="252"/>
      <c r="ABF45" s="252"/>
      <c r="ABG45" s="252"/>
      <c r="ABH45" s="252"/>
      <c r="ABI45" s="252"/>
      <c r="ABJ45" s="252"/>
      <c r="ABK45" s="252"/>
      <c r="ABL45" s="252"/>
      <c r="ABM45" s="252"/>
      <c r="ABN45" s="252"/>
      <c r="ABO45" s="252"/>
      <c r="ABP45" s="252"/>
      <c r="ABQ45" s="252"/>
      <c r="ABR45" s="252"/>
      <c r="ABS45" s="252"/>
      <c r="ABT45" s="252"/>
      <c r="ABU45" s="252"/>
      <c r="ABV45" s="252"/>
      <c r="ABW45" s="252"/>
      <c r="ABX45" s="252"/>
      <c r="ABY45" s="252"/>
      <c r="ABZ45" s="252"/>
      <c r="ACA45" s="252"/>
      <c r="ACB45" s="252"/>
      <c r="ACC45" s="252"/>
      <c r="ACD45" s="252"/>
      <c r="ACE45" s="252"/>
      <c r="ACF45" s="252"/>
      <c r="ACG45" s="252"/>
      <c r="ACH45" s="252"/>
      <c r="ACI45" s="252"/>
      <c r="ACJ45" s="252"/>
      <c r="ACK45" s="252"/>
      <c r="ACL45" s="252"/>
      <c r="ACM45" s="252"/>
      <c r="ACN45" s="252"/>
      <c r="ACO45" s="252"/>
      <c r="ACP45" s="252"/>
      <c r="ACQ45" s="252"/>
      <c r="ACR45" s="252"/>
      <c r="ACS45" s="252"/>
      <c r="ACT45" s="252"/>
      <c r="ACU45" s="252"/>
      <c r="ACV45" s="252"/>
      <c r="ACW45" s="252"/>
      <c r="ACX45" s="252"/>
      <c r="ACY45" s="252"/>
      <c r="ACZ45" s="252"/>
      <c r="ADA45" s="252"/>
      <c r="ADB45" s="252"/>
      <c r="ADC45" s="252"/>
      <c r="ADD45" s="252"/>
      <c r="ADE45" s="252"/>
      <c r="ADF45" s="252"/>
      <c r="ADG45" s="252"/>
      <c r="ADH45" s="252"/>
      <c r="ADI45" s="252"/>
      <c r="ADJ45" s="252"/>
      <c r="ADK45" s="252"/>
      <c r="ADL45" s="252"/>
      <c r="ADM45" s="252"/>
      <c r="ADN45" s="252"/>
      <c r="ADO45" s="252"/>
      <c r="ADP45" s="252"/>
      <c r="ADQ45" s="252"/>
      <c r="ADR45" s="252"/>
      <c r="ADS45" s="252"/>
      <c r="ADT45" s="252"/>
      <c r="ADU45" s="252"/>
      <c r="ADV45" s="252"/>
      <c r="ADW45" s="252"/>
      <c r="ADX45" s="252"/>
      <c r="ADY45" s="252"/>
      <c r="ADZ45" s="252"/>
      <c r="AEA45" s="252"/>
      <c r="AEB45" s="252"/>
      <c r="AEC45" s="252"/>
      <c r="AED45" s="252"/>
      <c r="AEE45" s="252"/>
      <c r="AEF45" s="252"/>
      <c r="AEG45" s="252"/>
      <c r="AEH45" s="252"/>
      <c r="AEI45" s="252"/>
      <c r="AEJ45" s="252"/>
      <c r="AEK45" s="252"/>
      <c r="AEL45" s="252"/>
      <c r="AEM45" s="252"/>
      <c r="AEN45" s="252"/>
      <c r="AEO45" s="252"/>
      <c r="AEP45" s="252"/>
      <c r="AEQ45" s="252"/>
      <c r="AER45" s="252"/>
      <c r="AES45" s="252"/>
      <c r="AET45" s="252"/>
      <c r="AEU45" s="252"/>
      <c r="AEV45" s="252"/>
      <c r="AEW45" s="252"/>
      <c r="AEX45" s="252"/>
      <c r="AEY45" s="252"/>
      <c r="AEZ45" s="252"/>
      <c r="AFA45" s="252"/>
      <c r="AFB45" s="252"/>
      <c r="AFC45" s="252"/>
      <c r="AFD45" s="252"/>
      <c r="AFE45" s="252"/>
      <c r="AFF45" s="252"/>
      <c r="AFG45" s="252"/>
      <c r="AFH45" s="252"/>
      <c r="AFI45" s="252"/>
      <c r="AFJ45" s="252"/>
      <c r="AFK45" s="252"/>
      <c r="AFL45" s="252"/>
      <c r="AFM45" s="252"/>
      <c r="AFN45" s="252"/>
      <c r="AFO45" s="252"/>
      <c r="AFP45" s="252"/>
      <c r="AFQ45" s="252"/>
      <c r="AFR45" s="252"/>
      <c r="AFS45" s="252"/>
      <c r="AFT45" s="252"/>
      <c r="AFU45" s="252"/>
      <c r="AFV45" s="252"/>
      <c r="AFW45" s="252"/>
      <c r="AFX45" s="252"/>
      <c r="AFY45" s="252"/>
      <c r="AFZ45" s="252"/>
      <c r="AGA45" s="252"/>
      <c r="AGB45" s="252"/>
      <c r="AGC45" s="252"/>
      <c r="AGD45" s="252"/>
      <c r="AGE45" s="252"/>
      <c r="AGF45" s="252"/>
      <c r="AGG45" s="252"/>
      <c r="AGH45" s="252"/>
      <c r="AGI45" s="252"/>
      <c r="AGJ45" s="252"/>
      <c r="AGK45" s="252"/>
      <c r="AGL45" s="252"/>
      <c r="AGM45" s="252"/>
      <c r="AGN45" s="252"/>
      <c r="AGO45" s="252"/>
      <c r="AGP45" s="252"/>
      <c r="AGQ45" s="252"/>
      <c r="AGR45" s="252"/>
      <c r="AGS45" s="252"/>
      <c r="AGT45" s="252"/>
      <c r="AGU45" s="252"/>
      <c r="AGV45" s="252"/>
      <c r="AGW45" s="252"/>
      <c r="AGX45" s="252"/>
      <c r="AGY45" s="252"/>
      <c r="AGZ45" s="252"/>
      <c r="AHA45" s="252"/>
      <c r="AHB45" s="252"/>
      <c r="AHC45" s="252"/>
      <c r="AHD45" s="252"/>
      <c r="AHE45" s="252"/>
      <c r="AHF45" s="252"/>
      <c r="AHG45" s="252"/>
      <c r="AHH45" s="252"/>
      <c r="AHI45" s="252"/>
      <c r="AHJ45" s="252"/>
      <c r="AHK45" s="252"/>
      <c r="AHL45" s="252"/>
      <c r="AHM45" s="252"/>
      <c r="AHN45" s="252"/>
      <c r="AHO45" s="252"/>
      <c r="AHP45" s="252"/>
      <c r="AHQ45" s="252"/>
      <c r="AHR45" s="252"/>
      <c r="AHS45" s="252"/>
      <c r="AHT45" s="252"/>
      <c r="AHU45" s="252"/>
      <c r="AHV45" s="252"/>
      <c r="AHW45" s="252"/>
      <c r="AHX45" s="252"/>
      <c r="AHY45" s="252"/>
      <c r="AHZ45" s="252"/>
      <c r="AIA45" s="252"/>
      <c r="AIB45" s="252"/>
      <c r="AIC45" s="252"/>
      <c r="AID45" s="252"/>
      <c r="AIE45" s="252"/>
      <c r="AIF45" s="252"/>
      <c r="AIG45" s="252"/>
      <c r="AIH45" s="252"/>
      <c r="AII45" s="252"/>
      <c r="AIJ45" s="252"/>
      <c r="AIK45" s="252"/>
      <c r="AIL45" s="252"/>
      <c r="AIM45" s="252"/>
      <c r="AIN45" s="252"/>
      <c r="AIO45" s="252"/>
      <c r="AIP45" s="252"/>
      <c r="AIQ45" s="252"/>
      <c r="AIR45" s="252"/>
      <c r="AIS45" s="252"/>
      <c r="AIT45" s="252"/>
      <c r="AIU45" s="252"/>
      <c r="AIV45" s="252"/>
      <c r="AIW45" s="252"/>
      <c r="AIX45" s="252"/>
      <c r="AIY45" s="252"/>
      <c r="AIZ45" s="252"/>
      <c r="AJA45" s="252"/>
      <c r="AJB45" s="252"/>
      <c r="AJC45" s="252"/>
      <c r="AJD45" s="252"/>
      <c r="AJE45" s="252"/>
      <c r="AJF45" s="252"/>
      <c r="AJG45" s="252"/>
      <c r="AJH45" s="252"/>
      <c r="AJI45" s="252"/>
      <c r="AJJ45" s="252"/>
      <c r="AJK45" s="252"/>
      <c r="AJL45" s="252"/>
      <c r="AJM45" s="252"/>
      <c r="AJN45" s="252"/>
      <c r="AJO45" s="252"/>
      <c r="AJP45" s="252"/>
      <c r="AJQ45" s="252"/>
      <c r="AJR45" s="252"/>
      <c r="AJS45" s="252"/>
      <c r="AJT45" s="252"/>
      <c r="AJU45" s="252"/>
      <c r="AJV45" s="252"/>
      <c r="AJW45" s="252"/>
      <c r="AJX45" s="252"/>
      <c r="AJY45" s="252"/>
      <c r="AJZ45" s="252"/>
      <c r="AKA45" s="252"/>
      <c r="AKB45" s="252"/>
      <c r="AKC45" s="252"/>
      <c r="AKD45" s="252"/>
      <c r="AKE45" s="252"/>
      <c r="AKF45" s="252"/>
      <c r="AKG45" s="252"/>
      <c r="AKH45" s="252"/>
      <c r="AKI45" s="252"/>
      <c r="AKJ45" s="252"/>
      <c r="AKK45" s="252"/>
      <c r="AKL45" s="252"/>
      <c r="AKM45" s="252"/>
      <c r="AKN45" s="252"/>
      <c r="AKO45" s="252"/>
      <c r="AKP45" s="252"/>
      <c r="AKQ45" s="252"/>
      <c r="AKR45" s="252"/>
      <c r="AKS45" s="252"/>
      <c r="AKT45" s="252"/>
      <c r="AKU45" s="252"/>
      <c r="AKV45" s="252"/>
      <c r="AKW45" s="252"/>
      <c r="AKX45" s="252"/>
      <c r="AKY45" s="252"/>
      <c r="AKZ45" s="252"/>
      <c r="ALA45" s="252"/>
      <c r="ALB45" s="252"/>
      <c r="ALC45" s="252"/>
      <c r="ALD45" s="252"/>
      <c r="ALE45" s="252"/>
      <c r="ALF45" s="252"/>
      <c r="ALG45" s="252"/>
      <c r="ALH45" s="252"/>
      <c r="ALI45" s="252"/>
      <c r="ALJ45" s="252"/>
      <c r="ALK45" s="252"/>
      <c r="ALL45" s="252"/>
      <c r="ALM45" s="252"/>
      <c r="ALN45" s="252"/>
      <c r="ALO45" s="252"/>
      <c r="ALP45" s="252"/>
      <c r="ALQ45" s="252"/>
      <c r="ALR45" s="252"/>
    </row>
    <row r="46" spans="1:1007" x14ac:dyDescent="0.2">
      <c r="A46" s="749" t="s">
        <v>295</v>
      </c>
      <c r="B46" s="357"/>
      <c r="C46" s="388"/>
      <c r="D46" s="382">
        <v>13000</v>
      </c>
      <c r="E46" s="740">
        <v>18000</v>
      </c>
      <c r="F46" s="730"/>
      <c r="G46" s="730"/>
      <c r="H46" s="730"/>
      <c r="I46" s="730"/>
      <c r="ALS46"/>
    </row>
    <row r="47" spans="1:1007" s="3" customFormat="1" x14ac:dyDescent="0.2">
      <c r="A47" s="749" t="s">
        <v>296</v>
      </c>
      <c r="B47" s="382"/>
      <c r="C47" s="382"/>
      <c r="D47" s="382">
        <v>13000</v>
      </c>
      <c r="E47" s="740">
        <v>18000</v>
      </c>
      <c r="F47" s="730"/>
      <c r="G47" s="730"/>
      <c r="H47" s="730"/>
      <c r="I47" s="730"/>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252"/>
      <c r="BB47" s="252"/>
      <c r="BC47" s="252"/>
      <c r="BD47" s="252"/>
      <c r="BE47" s="252"/>
      <c r="BF47" s="252"/>
      <c r="BG47" s="252"/>
      <c r="BH47" s="252"/>
      <c r="BI47" s="252"/>
      <c r="BJ47" s="252"/>
      <c r="BK47" s="252"/>
      <c r="BL47" s="252"/>
      <c r="BM47" s="252"/>
      <c r="BN47" s="252"/>
      <c r="BO47" s="252"/>
      <c r="BP47" s="252"/>
      <c r="BQ47" s="252"/>
      <c r="BR47" s="252"/>
      <c r="BS47" s="252"/>
      <c r="BT47" s="252"/>
      <c r="BU47" s="252"/>
      <c r="BV47" s="252"/>
      <c r="BW47" s="252"/>
      <c r="BX47" s="252"/>
      <c r="BY47" s="252"/>
      <c r="BZ47" s="252"/>
      <c r="CA47" s="252"/>
      <c r="CB47" s="252"/>
      <c r="CC47" s="252"/>
      <c r="CD47" s="252"/>
      <c r="CE47" s="252"/>
      <c r="CF47" s="252"/>
      <c r="CG47" s="252"/>
      <c r="CH47" s="252"/>
      <c r="CI47" s="252"/>
      <c r="CJ47" s="252"/>
      <c r="CK47" s="252"/>
      <c r="CL47" s="252"/>
      <c r="CM47" s="252"/>
      <c r="CN47" s="252"/>
      <c r="CO47" s="252"/>
      <c r="CP47" s="252"/>
      <c r="CQ47" s="252"/>
      <c r="CR47" s="252"/>
      <c r="CS47" s="252"/>
      <c r="CT47" s="252"/>
      <c r="CU47" s="252"/>
      <c r="CV47" s="252"/>
      <c r="CW47" s="252"/>
      <c r="CX47" s="252"/>
      <c r="CY47" s="252"/>
      <c r="CZ47" s="252"/>
      <c r="DA47" s="252"/>
      <c r="DB47" s="252"/>
      <c r="DC47" s="252"/>
      <c r="DD47" s="252"/>
      <c r="DE47" s="252"/>
      <c r="DF47" s="252"/>
      <c r="DG47" s="252"/>
      <c r="DH47" s="252"/>
      <c r="DI47" s="252"/>
      <c r="DJ47" s="252"/>
      <c r="DK47" s="252"/>
      <c r="DL47" s="252"/>
      <c r="DM47" s="252"/>
      <c r="DN47" s="252"/>
      <c r="DO47" s="252"/>
      <c r="DP47" s="252"/>
      <c r="DQ47" s="252"/>
      <c r="DR47" s="252"/>
      <c r="DS47" s="252"/>
      <c r="DT47" s="252"/>
      <c r="DU47" s="252"/>
      <c r="DV47" s="252"/>
      <c r="DW47" s="252"/>
      <c r="DX47" s="252"/>
      <c r="DY47" s="252"/>
      <c r="DZ47" s="252"/>
      <c r="EA47" s="252"/>
      <c r="EB47" s="252"/>
      <c r="EC47" s="252"/>
      <c r="ED47" s="252"/>
      <c r="EE47" s="252"/>
      <c r="EF47" s="252"/>
      <c r="EG47" s="252"/>
      <c r="EH47" s="252"/>
      <c r="EI47" s="252"/>
      <c r="EJ47" s="252"/>
      <c r="EK47" s="252"/>
      <c r="EL47" s="252"/>
      <c r="EM47" s="252"/>
      <c r="EN47" s="252"/>
      <c r="EO47" s="252"/>
      <c r="EP47" s="252"/>
      <c r="EQ47" s="252"/>
      <c r="ER47" s="252"/>
      <c r="ES47" s="252"/>
      <c r="ET47" s="252"/>
      <c r="EU47" s="252"/>
      <c r="EV47" s="252"/>
      <c r="EW47" s="252"/>
      <c r="EX47" s="252"/>
      <c r="EY47" s="252"/>
      <c r="EZ47" s="252"/>
      <c r="FA47" s="252"/>
      <c r="FB47" s="252"/>
      <c r="FC47" s="252"/>
      <c r="FD47" s="252"/>
      <c r="FE47" s="252"/>
      <c r="FF47" s="252"/>
      <c r="FG47" s="252"/>
      <c r="FH47" s="252"/>
      <c r="FI47" s="252"/>
      <c r="FJ47" s="252"/>
      <c r="FK47" s="252"/>
      <c r="FL47" s="252"/>
      <c r="FM47" s="252"/>
      <c r="FN47" s="252"/>
      <c r="FO47" s="252"/>
      <c r="FP47" s="252"/>
      <c r="FQ47" s="252"/>
      <c r="FR47" s="252"/>
      <c r="FS47" s="252"/>
      <c r="FT47" s="252"/>
      <c r="FU47" s="252"/>
      <c r="FV47" s="252"/>
      <c r="FW47" s="252"/>
      <c r="FX47" s="252"/>
      <c r="FY47" s="252"/>
      <c r="FZ47" s="252"/>
      <c r="GA47" s="252"/>
      <c r="GB47" s="252"/>
      <c r="GC47" s="252"/>
      <c r="GD47" s="252"/>
      <c r="GE47" s="252"/>
      <c r="GF47" s="252"/>
      <c r="GG47" s="252"/>
      <c r="GH47" s="252"/>
      <c r="GI47" s="252"/>
      <c r="GJ47" s="252"/>
      <c r="GK47" s="252"/>
      <c r="GL47" s="252"/>
      <c r="GM47" s="252"/>
      <c r="GN47" s="252"/>
      <c r="GO47" s="252"/>
      <c r="GP47" s="252"/>
      <c r="GQ47" s="252"/>
      <c r="GR47" s="252"/>
      <c r="GS47" s="252"/>
      <c r="GT47" s="252"/>
      <c r="GU47" s="252"/>
      <c r="GV47" s="252"/>
      <c r="GW47" s="252"/>
      <c r="GX47" s="252"/>
      <c r="GY47" s="252"/>
      <c r="GZ47" s="252"/>
      <c r="HA47" s="252"/>
      <c r="HB47" s="252"/>
      <c r="HC47" s="252"/>
      <c r="HD47" s="252"/>
      <c r="HE47" s="252"/>
      <c r="HF47" s="252"/>
      <c r="HG47" s="252"/>
      <c r="HH47" s="252"/>
      <c r="HI47" s="252"/>
      <c r="HJ47" s="252"/>
      <c r="HK47" s="252"/>
      <c r="HL47" s="252"/>
      <c r="HM47" s="252"/>
      <c r="HN47" s="252"/>
      <c r="HO47" s="252"/>
      <c r="HP47" s="252"/>
      <c r="HQ47" s="252"/>
      <c r="HR47" s="252"/>
      <c r="HS47" s="252"/>
      <c r="HT47" s="252"/>
      <c r="HU47" s="252"/>
      <c r="HV47" s="252"/>
      <c r="HW47" s="252"/>
      <c r="HX47" s="252"/>
      <c r="HY47" s="252"/>
      <c r="HZ47" s="252"/>
      <c r="IA47" s="252"/>
      <c r="IB47" s="252"/>
      <c r="IC47" s="252"/>
      <c r="ID47" s="252"/>
      <c r="IE47" s="252"/>
      <c r="IF47" s="252"/>
      <c r="IG47" s="252"/>
      <c r="IH47" s="252"/>
      <c r="II47" s="252"/>
      <c r="IJ47" s="252"/>
      <c r="IK47" s="252"/>
      <c r="IL47" s="252"/>
      <c r="IM47" s="252"/>
      <c r="IN47" s="252"/>
      <c r="IO47" s="252"/>
      <c r="IP47" s="252"/>
      <c r="IQ47" s="252"/>
      <c r="IR47" s="252"/>
      <c r="IS47" s="252"/>
      <c r="IT47" s="252"/>
      <c r="IU47" s="252"/>
      <c r="IV47" s="252"/>
      <c r="IW47" s="252"/>
      <c r="IX47" s="252"/>
      <c r="IY47" s="252"/>
      <c r="IZ47" s="252"/>
      <c r="JA47" s="252"/>
      <c r="JB47" s="252"/>
      <c r="JC47" s="252"/>
      <c r="JD47" s="252"/>
      <c r="JE47" s="252"/>
      <c r="JF47" s="252"/>
      <c r="JG47" s="252"/>
      <c r="JH47" s="252"/>
      <c r="JI47" s="252"/>
      <c r="JJ47" s="252"/>
      <c r="JK47" s="252"/>
      <c r="JL47" s="252"/>
      <c r="JM47" s="252"/>
      <c r="JN47" s="252"/>
      <c r="JO47" s="252"/>
      <c r="JP47" s="252"/>
      <c r="JQ47" s="252"/>
      <c r="JR47" s="252"/>
      <c r="JS47" s="252"/>
      <c r="JT47" s="252"/>
      <c r="JU47" s="252"/>
      <c r="JV47" s="252"/>
      <c r="JW47" s="252"/>
      <c r="JX47" s="252"/>
      <c r="JY47" s="252"/>
      <c r="JZ47" s="252"/>
      <c r="KA47" s="252"/>
      <c r="KB47" s="252"/>
      <c r="KC47" s="252"/>
      <c r="KD47" s="252"/>
      <c r="KE47" s="252"/>
      <c r="KF47" s="252"/>
      <c r="KG47" s="252"/>
      <c r="KH47" s="252"/>
      <c r="KI47" s="252"/>
      <c r="KJ47" s="252"/>
      <c r="KK47" s="252"/>
      <c r="KL47" s="252"/>
      <c r="KM47" s="252"/>
      <c r="KN47" s="252"/>
      <c r="KO47" s="252"/>
      <c r="KP47" s="252"/>
      <c r="KQ47" s="252"/>
      <c r="KR47" s="252"/>
      <c r="KS47" s="252"/>
      <c r="KT47" s="252"/>
      <c r="KU47" s="252"/>
      <c r="KV47" s="252"/>
      <c r="KW47" s="252"/>
      <c r="KX47" s="252"/>
      <c r="KY47" s="252"/>
      <c r="KZ47" s="252"/>
      <c r="LA47" s="252"/>
      <c r="LB47" s="252"/>
      <c r="LC47" s="252"/>
      <c r="LD47" s="252"/>
      <c r="LE47" s="252"/>
      <c r="LF47" s="252"/>
      <c r="LG47" s="252"/>
      <c r="LH47" s="252"/>
      <c r="LI47" s="252"/>
      <c r="LJ47" s="252"/>
      <c r="LK47" s="252"/>
      <c r="LL47" s="252"/>
      <c r="LM47" s="252"/>
      <c r="LN47" s="252"/>
      <c r="LO47" s="252"/>
      <c r="LP47" s="252"/>
      <c r="LQ47" s="252"/>
      <c r="LR47" s="252"/>
      <c r="LS47" s="252"/>
      <c r="LT47" s="252"/>
      <c r="LU47" s="252"/>
      <c r="LV47" s="252"/>
      <c r="LW47" s="252"/>
      <c r="LX47" s="252"/>
      <c r="LY47" s="252"/>
      <c r="LZ47" s="252"/>
      <c r="MA47" s="252"/>
      <c r="MB47" s="252"/>
      <c r="MC47" s="252"/>
      <c r="MD47" s="252"/>
      <c r="ME47" s="252"/>
      <c r="MF47" s="252"/>
      <c r="MG47" s="252"/>
      <c r="MH47" s="252"/>
      <c r="MI47" s="252"/>
      <c r="MJ47" s="252"/>
      <c r="MK47" s="252"/>
      <c r="ML47" s="252"/>
      <c r="MM47" s="252"/>
      <c r="MN47" s="252"/>
      <c r="MO47" s="252"/>
      <c r="MP47" s="252"/>
      <c r="MQ47" s="252"/>
      <c r="MR47" s="252"/>
      <c r="MS47" s="252"/>
      <c r="MT47" s="252"/>
      <c r="MU47" s="252"/>
      <c r="MV47" s="252"/>
      <c r="MW47" s="252"/>
      <c r="MX47" s="252"/>
      <c r="MY47" s="252"/>
      <c r="MZ47" s="252"/>
      <c r="NA47" s="252"/>
      <c r="NB47" s="252"/>
      <c r="NC47" s="252"/>
      <c r="ND47" s="252"/>
      <c r="NE47" s="252"/>
      <c r="NF47" s="252"/>
      <c r="NG47" s="252"/>
      <c r="NH47" s="252"/>
      <c r="NI47" s="252"/>
      <c r="NJ47" s="252"/>
      <c r="NK47" s="252"/>
      <c r="NL47" s="252"/>
      <c r="NM47" s="252"/>
      <c r="NN47" s="252"/>
      <c r="NO47" s="252"/>
      <c r="NP47" s="252"/>
      <c r="NQ47" s="252"/>
      <c r="NR47" s="252"/>
      <c r="NS47" s="252"/>
      <c r="NT47" s="252"/>
      <c r="NU47" s="252"/>
      <c r="NV47" s="252"/>
      <c r="NW47" s="252"/>
      <c r="NX47" s="252"/>
      <c r="NY47" s="252"/>
      <c r="NZ47" s="252"/>
      <c r="OA47" s="252"/>
      <c r="OB47" s="252"/>
      <c r="OC47" s="252"/>
      <c r="OD47" s="252"/>
      <c r="OE47" s="252"/>
      <c r="OF47" s="252"/>
      <c r="OG47" s="252"/>
      <c r="OH47" s="252"/>
      <c r="OI47" s="252"/>
      <c r="OJ47" s="252"/>
      <c r="OK47" s="252"/>
      <c r="OL47" s="252"/>
      <c r="OM47" s="252"/>
      <c r="ON47" s="252"/>
      <c r="OO47" s="252"/>
      <c r="OP47" s="252"/>
      <c r="OQ47" s="252"/>
      <c r="OR47" s="252"/>
      <c r="OS47" s="252"/>
      <c r="OT47" s="252"/>
      <c r="OU47" s="252"/>
      <c r="OV47" s="252"/>
      <c r="OW47" s="252"/>
      <c r="OX47" s="252"/>
      <c r="OY47" s="252"/>
      <c r="OZ47" s="252"/>
      <c r="PA47" s="252"/>
      <c r="PB47" s="252"/>
      <c r="PC47" s="252"/>
      <c r="PD47" s="252"/>
      <c r="PE47" s="252"/>
      <c r="PF47" s="252"/>
      <c r="PG47" s="252"/>
      <c r="PH47" s="252"/>
      <c r="PI47" s="252"/>
      <c r="PJ47" s="252"/>
      <c r="PK47" s="252"/>
      <c r="PL47" s="252"/>
      <c r="PM47" s="252"/>
      <c r="PN47" s="252"/>
      <c r="PO47" s="252"/>
      <c r="PP47" s="252"/>
      <c r="PQ47" s="252"/>
      <c r="PR47" s="252"/>
      <c r="PS47" s="252"/>
      <c r="PT47" s="252"/>
      <c r="PU47" s="252"/>
      <c r="PV47" s="252"/>
      <c r="PW47" s="252"/>
      <c r="PX47" s="252"/>
      <c r="PY47" s="252"/>
      <c r="PZ47" s="252"/>
      <c r="QA47" s="252"/>
      <c r="QB47" s="252"/>
      <c r="QC47" s="252"/>
      <c r="QD47" s="252"/>
      <c r="QE47" s="252"/>
      <c r="QF47" s="252"/>
      <c r="QG47" s="252"/>
      <c r="QH47" s="252"/>
      <c r="QI47" s="252"/>
      <c r="QJ47" s="252"/>
      <c r="QK47" s="252"/>
      <c r="QL47" s="252"/>
      <c r="QM47" s="252"/>
      <c r="QN47" s="252"/>
      <c r="QO47" s="252"/>
      <c r="QP47" s="252"/>
      <c r="QQ47" s="252"/>
      <c r="QR47" s="252"/>
      <c r="QS47" s="252"/>
      <c r="QT47" s="252"/>
      <c r="QU47" s="252"/>
      <c r="QV47" s="252"/>
      <c r="QW47" s="252"/>
      <c r="QX47" s="252"/>
      <c r="QY47" s="252"/>
      <c r="QZ47" s="252"/>
      <c r="RA47" s="252"/>
      <c r="RB47" s="252"/>
      <c r="RC47" s="252"/>
      <c r="RD47" s="252"/>
      <c r="RE47" s="252"/>
      <c r="RF47" s="252"/>
      <c r="RG47" s="252"/>
      <c r="RH47" s="252"/>
      <c r="RI47" s="252"/>
      <c r="RJ47" s="252"/>
      <c r="RK47" s="252"/>
      <c r="RL47" s="252"/>
      <c r="RM47" s="252"/>
      <c r="RN47" s="252"/>
      <c r="RO47" s="252"/>
      <c r="RP47" s="252"/>
      <c r="RQ47" s="252"/>
      <c r="RR47" s="252"/>
      <c r="RS47" s="252"/>
      <c r="RT47" s="252"/>
      <c r="RU47" s="252"/>
      <c r="RV47" s="252"/>
      <c r="RW47" s="252"/>
      <c r="RX47" s="252"/>
      <c r="RY47" s="252"/>
      <c r="RZ47" s="252"/>
      <c r="SA47" s="252"/>
      <c r="SB47" s="252"/>
      <c r="SC47" s="252"/>
      <c r="SD47" s="252"/>
      <c r="SE47" s="252"/>
      <c r="SF47" s="252"/>
      <c r="SG47" s="252"/>
      <c r="SH47" s="252"/>
      <c r="SI47" s="252"/>
      <c r="SJ47" s="252"/>
      <c r="SK47" s="252"/>
      <c r="SL47" s="252"/>
      <c r="SM47" s="252"/>
      <c r="SN47" s="252"/>
      <c r="SO47" s="252"/>
      <c r="SP47" s="252"/>
      <c r="SQ47" s="252"/>
      <c r="SR47" s="252"/>
      <c r="SS47" s="252"/>
      <c r="ST47" s="252"/>
      <c r="SU47" s="252"/>
      <c r="SV47" s="252"/>
      <c r="SW47" s="252"/>
      <c r="SX47" s="252"/>
      <c r="SY47" s="252"/>
      <c r="SZ47" s="252"/>
      <c r="TA47" s="252"/>
      <c r="TB47" s="252"/>
      <c r="TC47" s="252"/>
      <c r="TD47" s="252"/>
      <c r="TE47" s="252"/>
      <c r="TF47" s="252"/>
      <c r="TG47" s="252"/>
      <c r="TH47" s="252"/>
      <c r="TI47" s="252"/>
      <c r="TJ47" s="252"/>
      <c r="TK47" s="252"/>
      <c r="TL47" s="252"/>
      <c r="TM47" s="252"/>
      <c r="TN47" s="252"/>
      <c r="TO47" s="252"/>
      <c r="TP47" s="252"/>
      <c r="TQ47" s="252"/>
      <c r="TR47" s="252"/>
      <c r="TS47" s="252"/>
      <c r="TT47" s="252"/>
      <c r="TU47" s="252"/>
      <c r="TV47" s="252"/>
      <c r="TW47" s="252"/>
      <c r="TX47" s="252"/>
      <c r="TY47" s="252"/>
      <c r="TZ47" s="252"/>
      <c r="UA47" s="252"/>
      <c r="UB47" s="252"/>
      <c r="UC47" s="252"/>
      <c r="UD47" s="252"/>
      <c r="UE47" s="252"/>
      <c r="UF47" s="252"/>
      <c r="UG47" s="252"/>
      <c r="UH47" s="252"/>
      <c r="UI47" s="252"/>
      <c r="UJ47" s="252"/>
      <c r="UK47" s="252"/>
      <c r="UL47" s="252"/>
      <c r="UM47" s="252"/>
      <c r="UN47" s="252"/>
      <c r="UO47" s="252"/>
      <c r="UP47" s="252"/>
      <c r="UQ47" s="252"/>
      <c r="UR47" s="252"/>
      <c r="US47" s="252"/>
      <c r="UT47" s="252"/>
      <c r="UU47" s="252"/>
      <c r="UV47" s="252"/>
      <c r="UW47" s="252"/>
      <c r="UX47" s="252"/>
      <c r="UY47" s="252"/>
      <c r="UZ47" s="252"/>
      <c r="VA47" s="252"/>
      <c r="VB47" s="252"/>
      <c r="VC47" s="252"/>
      <c r="VD47" s="252"/>
      <c r="VE47" s="252"/>
      <c r="VF47" s="252"/>
      <c r="VG47" s="252"/>
      <c r="VH47" s="252"/>
      <c r="VI47" s="252"/>
      <c r="VJ47" s="252"/>
      <c r="VK47" s="252"/>
      <c r="VL47" s="252"/>
      <c r="VM47" s="252"/>
      <c r="VN47" s="252"/>
      <c r="VO47" s="252"/>
      <c r="VP47" s="252"/>
      <c r="VQ47" s="252"/>
      <c r="VR47" s="252"/>
      <c r="VS47" s="252"/>
      <c r="VT47" s="252"/>
      <c r="VU47" s="252"/>
      <c r="VV47" s="252"/>
      <c r="VW47" s="252"/>
      <c r="VX47" s="252"/>
      <c r="VY47" s="252"/>
      <c r="VZ47" s="252"/>
      <c r="WA47" s="252"/>
      <c r="WB47" s="252"/>
      <c r="WC47" s="252"/>
      <c r="WD47" s="252"/>
      <c r="WE47" s="252"/>
      <c r="WF47" s="252"/>
      <c r="WG47" s="252"/>
      <c r="WH47" s="252"/>
      <c r="WI47" s="252"/>
      <c r="WJ47" s="252"/>
      <c r="WK47" s="252"/>
      <c r="WL47" s="252"/>
      <c r="WM47" s="252"/>
      <c r="WN47" s="252"/>
      <c r="WO47" s="252"/>
      <c r="WP47" s="252"/>
      <c r="WQ47" s="252"/>
      <c r="WR47" s="252"/>
      <c r="WS47" s="252"/>
      <c r="WT47" s="252"/>
      <c r="WU47" s="252"/>
      <c r="WV47" s="252"/>
      <c r="WW47" s="252"/>
      <c r="WX47" s="252"/>
      <c r="WY47" s="252"/>
      <c r="WZ47" s="252"/>
      <c r="XA47" s="252"/>
      <c r="XB47" s="252"/>
      <c r="XC47" s="252"/>
      <c r="XD47" s="252"/>
      <c r="XE47" s="252"/>
      <c r="XF47" s="252"/>
      <c r="XG47" s="252"/>
      <c r="XH47" s="252"/>
      <c r="XI47" s="252"/>
      <c r="XJ47" s="252"/>
      <c r="XK47" s="252"/>
      <c r="XL47" s="252"/>
      <c r="XM47" s="252"/>
      <c r="XN47" s="252"/>
      <c r="XO47" s="252"/>
      <c r="XP47" s="252"/>
      <c r="XQ47" s="252"/>
      <c r="XR47" s="252"/>
      <c r="XS47" s="252"/>
      <c r="XT47" s="252"/>
      <c r="XU47" s="252"/>
      <c r="XV47" s="252"/>
      <c r="XW47" s="252"/>
      <c r="XX47" s="252"/>
      <c r="XY47" s="252"/>
      <c r="XZ47" s="252"/>
      <c r="YA47" s="252"/>
      <c r="YB47" s="252"/>
      <c r="YC47" s="252"/>
      <c r="YD47" s="252"/>
      <c r="YE47" s="252"/>
      <c r="YF47" s="252"/>
      <c r="YG47" s="252"/>
      <c r="YH47" s="252"/>
      <c r="YI47" s="252"/>
      <c r="YJ47" s="252"/>
      <c r="YK47" s="252"/>
      <c r="YL47" s="252"/>
      <c r="YM47" s="252"/>
      <c r="YN47" s="252"/>
      <c r="YO47" s="252"/>
      <c r="YP47" s="252"/>
      <c r="YQ47" s="252"/>
      <c r="YR47" s="252"/>
      <c r="YS47" s="252"/>
      <c r="YT47" s="252"/>
      <c r="YU47" s="252"/>
      <c r="YV47" s="252"/>
      <c r="YW47" s="252"/>
      <c r="YX47" s="252"/>
      <c r="YY47" s="252"/>
      <c r="YZ47" s="252"/>
      <c r="ZA47" s="252"/>
      <c r="ZB47" s="252"/>
      <c r="ZC47" s="252"/>
      <c r="ZD47" s="252"/>
      <c r="ZE47" s="252"/>
      <c r="ZF47" s="252"/>
      <c r="ZG47" s="252"/>
      <c r="ZH47" s="252"/>
      <c r="ZI47" s="252"/>
      <c r="ZJ47" s="252"/>
      <c r="ZK47" s="252"/>
      <c r="ZL47" s="252"/>
      <c r="ZM47" s="252"/>
      <c r="ZN47" s="252"/>
      <c r="ZO47" s="252"/>
      <c r="ZP47" s="252"/>
      <c r="ZQ47" s="252"/>
      <c r="ZR47" s="252"/>
      <c r="ZS47" s="252"/>
      <c r="ZT47" s="252"/>
      <c r="ZU47" s="252"/>
      <c r="ZV47" s="252"/>
      <c r="ZW47" s="252"/>
      <c r="ZX47" s="252"/>
      <c r="ZY47" s="252"/>
      <c r="ZZ47" s="252"/>
      <c r="AAA47" s="252"/>
      <c r="AAB47" s="252"/>
      <c r="AAC47" s="252"/>
      <c r="AAD47" s="252"/>
      <c r="AAE47" s="252"/>
      <c r="AAF47" s="252"/>
      <c r="AAG47" s="252"/>
      <c r="AAH47" s="252"/>
      <c r="AAI47" s="252"/>
      <c r="AAJ47" s="252"/>
      <c r="AAK47" s="252"/>
      <c r="AAL47" s="252"/>
      <c r="AAM47" s="252"/>
      <c r="AAN47" s="252"/>
      <c r="AAO47" s="252"/>
      <c r="AAP47" s="252"/>
      <c r="AAQ47" s="252"/>
      <c r="AAR47" s="252"/>
      <c r="AAS47" s="252"/>
      <c r="AAT47" s="252"/>
      <c r="AAU47" s="252"/>
      <c r="AAV47" s="252"/>
      <c r="AAW47" s="252"/>
      <c r="AAX47" s="252"/>
      <c r="AAY47" s="252"/>
      <c r="AAZ47" s="252"/>
      <c r="ABA47" s="252"/>
      <c r="ABB47" s="252"/>
      <c r="ABC47" s="252"/>
      <c r="ABD47" s="252"/>
      <c r="ABE47" s="252"/>
      <c r="ABF47" s="252"/>
      <c r="ABG47" s="252"/>
      <c r="ABH47" s="252"/>
      <c r="ABI47" s="252"/>
      <c r="ABJ47" s="252"/>
      <c r="ABK47" s="252"/>
      <c r="ABL47" s="252"/>
      <c r="ABM47" s="252"/>
      <c r="ABN47" s="252"/>
      <c r="ABO47" s="252"/>
      <c r="ABP47" s="252"/>
      <c r="ABQ47" s="252"/>
      <c r="ABR47" s="252"/>
      <c r="ABS47" s="252"/>
      <c r="ABT47" s="252"/>
      <c r="ABU47" s="252"/>
      <c r="ABV47" s="252"/>
      <c r="ABW47" s="252"/>
      <c r="ABX47" s="252"/>
      <c r="ABY47" s="252"/>
      <c r="ABZ47" s="252"/>
      <c r="ACA47" s="252"/>
      <c r="ACB47" s="252"/>
      <c r="ACC47" s="252"/>
      <c r="ACD47" s="252"/>
      <c r="ACE47" s="252"/>
      <c r="ACF47" s="252"/>
      <c r="ACG47" s="252"/>
      <c r="ACH47" s="252"/>
      <c r="ACI47" s="252"/>
      <c r="ACJ47" s="252"/>
      <c r="ACK47" s="252"/>
      <c r="ACL47" s="252"/>
      <c r="ACM47" s="252"/>
      <c r="ACN47" s="252"/>
      <c r="ACO47" s="252"/>
      <c r="ACP47" s="252"/>
      <c r="ACQ47" s="252"/>
      <c r="ACR47" s="252"/>
      <c r="ACS47" s="252"/>
      <c r="ACT47" s="252"/>
      <c r="ACU47" s="252"/>
      <c r="ACV47" s="252"/>
      <c r="ACW47" s="252"/>
      <c r="ACX47" s="252"/>
      <c r="ACY47" s="252"/>
      <c r="ACZ47" s="252"/>
      <c r="ADA47" s="252"/>
      <c r="ADB47" s="252"/>
      <c r="ADC47" s="252"/>
      <c r="ADD47" s="252"/>
      <c r="ADE47" s="252"/>
      <c r="ADF47" s="252"/>
      <c r="ADG47" s="252"/>
      <c r="ADH47" s="252"/>
      <c r="ADI47" s="252"/>
      <c r="ADJ47" s="252"/>
      <c r="ADK47" s="252"/>
      <c r="ADL47" s="252"/>
      <c r="ADM47" s="252"/>
      <c r="ADN47" s="252"/>
      <c r="ADO47" s="252"/>
      <c r="ADP47" s="252"/>
      <c r="ADQ47" s="252"/>
      <c r="ADR47" s="252"/>
      <c r="ADS47" s="252"/>
      <c r="ADT47" s="252"/>
      <c r="ADU47" s="252"/>
      <c r="ADV47" s="252"/>
      <c r="ADW47" s="252"/>
      <c r="ADX47" s="252"/>
      <c r="ADY47" s="252"/>
      <c r="ADZ47" s="252"/>
      <c r="AEA47" s="252"/>
      <c r="AEB47" s="252"/>
      <c r="AEC47" s="252"/>
      <c r="AED47" s="252"/>
      <c r="AEE47" s="252"/>
      <c r="AEF47" s="252"/>
      <c r="AEG47" s="252"/>
      <c r="AEH47" s="252"/>
      <c r="AEI47" s="252"/>
      <c r="AEJ47" s="252"/>
      <c r="AEK47" s="252"/>
      <c r="AEL47" s="252"/>
      <c r="AEM47" s="252"/>
      <c r="AEN47" s="252"/>
      <c r="AEO47" s="252"/>
      <c r="AEP47" s="252"/>
      <c r="AEQ47" s="252"/>
      <c r="AER47" s="252"/>
      <c r="AES47" s="252"/>
      <c r="AET47" s="252"/>
      <c r="AEU47" s="252"/>
      <c r="AEV47" s="252"/>
      <c r="AEW47" s="252"/>
      <c r="AEX47" s="252"/>
      <c r="AEY47" s="252"/>
      <c r="AEZ47" s="252"/>
      <c r="AFA47" s="252"/>
      <c r="AFB47" s="252"/>
      <c r="AFC47" s="252"/>
      <c r="AFD47" s="252"/>
      <c r="AFE47" s="252"/>
      <c r="AFF47" s="252"/>
      <c r="AFG47" s="252"/>
      <c r="AFH47" s="252"/>
      <c r="AFI47" s="252"/>
      <c r="AFJ47" s="252"/>
      <c r="AFK47" s="252"/>
      <c r="AFL47" s="252"/>
      <c r="AFM47" s="252"/>
      <c r="AFN47" s="252"/>
      <c r="AFO47" s="252"/>
      <c r="AFP47" s="252"/>
      <c r="AFQ47" s="252"/>
      <c r="AFR47" s="252"/>
      <c r="AFS47" s="252"/>
      <c r="AFT47" s="252"/>
      <c r="AFU47" s="252"/>
      <c r="AFV47" s="252"/>
      <c r="AFW47" s="252"/>
      <c r="AFX47" s="252"/>
      <c r="AFY47" s="252"/>
      <c r="AFZ47" s="252"/>
      <c r="AGA47" s="252"/>
      <c r="AGB47" s="252"/>
      <c r="AGC47" s="252"/>
      <c r="AGD47" s="252"/>
      <c r="AGE47" s="252"/>
      <c r="AGF47" s="252"/>
      <c r="AGG47" s="252"/>
      <c r="AGH47" s="252"/>
      <c r="AGI47" s="252"/>
      <c r="AGJ47" s="252"/>
      <c r="AGK47" s="252"/>
      <c r="AGL47" s="252"/>
      <c r="AGM47" s="252"/>
      <c r="AGN47" s="252"/>
      <c r="AGO47" s="252"/>
      <c r="AGP47" s="252"/>
      <c r="AGQ47" s="252"/>
      <c r="AGR47" s="252"/>
      <c r="AGS47" s="252"/>
      <c r="AGT47" s="252"/>
      <c r="AGU47" s="252"/>
      <c r="AGV47" s="252"/>
      <c r="AGW47" s="252"/>
      <c r="AGX47" s="252"/>
      <c r="AGY47" s="252"/>
      <c r="AGZ47" s="252"/>
      <c r="AHA47" s="252"/>
      <c r="AHB47" s="252"/>
      <c r="AHC47" s="252"/>
      <c r="AHD47" s="252"/>
      <c r="AHE47" s="252"/>
      <c r="AHF47" s="252"/>
      <c r="AHG47" s="252"/>
      <c r="AHH47" s="252"/>
      <c r="AHI47" s="252"/>
      <c r="AHJ47" s="252"/>
      <c r="AHK47" s="252"/>
      <c r="AHL47" s="252"/>
      <c r="AHM47" s="252"/>
      <c r="AHN47" s="252"/>
      <c r="AHO47" s="252"/>
      <c r="AHP47" s="252"/>
      <c r="AHQ47" s="252"/>
      <c r="AHR47" s="252"/>
      <c r="AHS47" s="252"/>
      <c r="AHT47" s="252"/>
      <c r="AHU47" s="252"/>
      <c r="AHV47" s="252"/>
      <c r="AHW47" s="252"/>
      <c r="AHX47" s="252"/>
      <c r="AHY47" s="252"/>
      <c r="AHZ47" s="252"/>
      <c r="AIA47" s="252"/>
      <c r="AIB47" s="252"/>
      <c r="AIC47" s="252"/>
      <c r="AID47" s="252"/>
      <c r="AIE47" s="252"/>
      <c r="AIF47" s="252"/>
      <c r="AIG47" s="252"/>
      <c r="AIH47" s="252"/>
      <c r="AII47" s="252"/>
      <c r="AIJ47" s="252"/>
      <c r="AIK47" s="252"/>
      <c r="AIL47" s="252"/>
      <c r="AIM47" s="252"/>
      <c r="AIN47" s="252"/>
      <c r="AIO47" s="252"/>
      <c r="AIP47" s="252"/>
      <c r="AIQ47" s="252"/>
      <c r="AIR47" s="252"/>
      <c r="AIS47" s="252"/>
      <c r="AIT47" s="252"/>
      <c r="AIU47" s="252"/>
      <c r="AIV47" s="252"/>
      <c r="AIW47" s="252"/>
      <c r="AIX47" s="252"/>
      <c r="AIY47" s="252"/>
      <c r="AIZ47" s="252"/>
      <c r="AJA47" s="252"/>
      <c r="AJB47" s="252"/>
      <c r="AJC47" s="252"/>
      <c r="AJD47" s="252"/>
      <c r="AJE47" s="252"/>
      <c r="AJF47" s="252"/>
      <c r="AJG47" s="252"/>
      <c r="AJH47" s="252"/>
      <c r="AJI47" s="252"/>
      <c r="AJJ47" s="252"/>
      <c r="AJK47" s="252"/>
      <c r="AJL47" s="252"/>
      <c r="AJM47" s="252"/>
      <c r="AJN47" s="252"/>
      <c r="AJO47" s="252"/>
      <c r="AJP47" s="252"/>
      <c r="AJQ47" s="252"/>
      <c r="AJR47" s="252"/>
      <c r="AJS47" s="252"/>
      <c r="AJT47" s="252"/>
      <c r="AJU47" s="252"/>
      <c r="AJV47" s="252"/>
      <c r="AJW47" s="252"/>
      <c r="AJX47" s="252"/>
      <c r="AJY47" s="252"/>
      <c r="AJZ47" s="252"/>
      <c r="AKA47" s="252"/>
      <c r="AKB47" s="252"/>
      <c r="AKC47" s="252"/>
      <c r="AKD47" s="252"/>
      <c r="AKE47" s="252"/>
      <c r="AKF47" s="252"/>
      <c r="AKG47" s="252"/>
      <c r="AKH47" s="252"/>
      <c r="AKI47" s="252"/>
      <c r="AKJ47" s="252"/>
      <c r="AKK47" s="252"/>
      <c r="AKL47" s="252"/>
      <c r="AKM47" s="252"/>
      <c r="AKN47" s="252"/>
      <c r="AKO47" s="252"/>
      <c r="AKP47" s="252"/>
      <c r="AKQ47" s="252"/>
      <c r="AKR47" s="252"/>
      <c r="AKS47" s="252"/>
      <c r="AKT47" s="252"/>
      <c r="AKU47" s="252"/>
      <c r="AKV47" s="252"/>
      <c r="AKW47" s="252"/>
      <c r="AKX47" s="252"/>
      <c r="AKY47" s="252"/>
      <c r="AKZ47" s="252"/>
      <c r="ALA47" s="252"/>
      <c r="ALB47" s="252"/>
      <c r="ALC47" s="252"/>
      <c r="ALD47" s="252"/>
      <c r="ALE47" s="252"/>
      <c r="ALF47" s="252"/>
      <c r="ALG47" s="252"/>
      <c r="ALH47" s="252"/>
      <c r="ALI47" s="252"/>
      <c r="ALJ47" s="252"/>
      <c r="ALK47" s="252"/>
      <c r="ALL47" s="252"/>
      <c r="ALM47" s="252"/>
      <c r="ALN47" s="252"/>
      <c r="ALO47" s="252"/>
      <c r="ALP47" s="252"/>
      <c r="ALQ47" s="252"/>
      <c r="ALR47" s="252"/>
    </row>
    <row r="48" spans="1:1007" s="3" customFormat="1" x14ac:dyDescent="0.2">
      <c r="A48" s="749" t="s">
        <v>289</v>
      </c>
      <c r="B48" s="382">
        <v>32000</v>
      </c>
      <c r="C48" s="382">
        <v>17000</v>
      </c>
      <c r="D48" s="398">
        <v>9286</v>
      </c>
      <c r="E48" s="740">
        <v>16000</v>
      </c>
      <c r="F48" s="730"/>
      <c r="G48" s="730"/>
      <c r="H48" s="730"/>
      <c r="I48" s="730"/>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2"/>
      <c r="AZ48" s="252"/>
      <c r="BA48" s="252"/>
      <c r="BB48" s="252"/>
      <c r="BC48" s="252"/>
      <c r="BD48" s="252"/>
      <c r="BE48" s="252"/>
      <c r="BF48" s="252"/>
      <c r="BG48" s="252"/>
      <c r="BH48" s="252"/>
      <c r="BI48" s="252"/>
      <c r="BJ48" s="252"/>
      <c r="BK48" s="252"/>
      <c r="BL48" s="252"/>
      <c r="BM48" s="252"/>
      <c r="BN48" s="252"/>
      <c r="BO48" s="252"/>
      <c r="BP48" s="252"/>
      <c r="BQ48" s="252"/>
      <c r="BR48" s="252"/>
      <c r="BS48" s="252"/>
      <c r="BT48" s="252"/>
      <c r="BU48" s="252"/>
      <c r="BV48" s="252"/>
      <c r="BW48" s="252"/>
      <c r="BX48" s="252"/>
      <c r="BY48" s="252"/>
      <c r="BZ48" s="252"/>
      <c r="CA48" s="252"/>
      <c r="CB48" s="252"/>
      <c r="CC48" s="252"/>
      <c r="CD48" s="252"/>
      <c r="CE48" s="252"/>
      <c r="CF48" s="252"/>
      <c r="CG48" s="252"/>
      <c r="CH48" s="252"/>
      <c r="CI48" s="252"/>
      <c r="CJ48" s="252"/>
      <c r="CK48" s="252"/>
      <c r="CL48" s="252"/>
      <c r="CM48" s="252"/>
      <c r="CN48" s="252"/>
      <c r="CO48" s="252"/>
      <c r="CP48" s="252"/>
      <c r="CQ48" s="252"/>
      <c r="CR48" s="252"/>
      <c r="CS48" s="252"/>
      <c r="CT48" s="252"/>
      <c r="CU48" s="252"/>
      <c r="CV48" s="252"/>
      <c r="CW48" s="252"/>
      <c r="CX48" s="252"/>
      <c r="CY48" s="252"/>
      <c r="CZ48" s="252"/>
      <c r="DA48" s="252"/>
      <c r="DB48" s="252"/>
      <c r="DC48" s="252"/>
      <c r="DD48" s="252"/>
      <c r="DE48" s="252"/>
      <c r="DF48" s="252"/>
      <c r="DG48" s="252"/>
      <c r="DH48" s="252"/>
      <c r="DI48" s="252"/>
      <c r="DJ48" s="252"/>
      <c r="DK48" s="252"/>
      <c r="DL48" s="252"/>
      <c r="DM48" s="252"/>
      <c r="DN48" s="252"/>
      <c r="DO48" s="252"/>
      <c r="DP48" s="252"/>
      <c r="DQ48" s="252"/>
      <c r="DR48" s="252"/>
      <c r="DS48" s="252"/>
      <c r="DT48" s="252"/>
      <c r="DU48" s="252"/>
      <c r="DV48" s="252"/>
      <c r="DW48" s="252"/>
      <c r="DX48" s="252"/>
      <c r="DY48" s="252"/>
      <c r="DZ48" s="252"/>
      <c r="EA48" s="252"/>
      <c r="EB48" s="252"/>
      <c r="EC48" s="252"/>
      <c r="ED48" s="252"/>
      <c r="EE48" s="252"/>
      <c r="EF48" s="252"/>
      <c r="EG48" s="252"/>
      <c r="EH48" s="252"/>
      <c r="EI48" s="252"/>
      <c r="EJ48" s="252"/>
      <c r="EK48" s="252"/>
      <c r="EL48" s="252"/>
      <c r="EM48" s="252"/>
      <c r="EN48" s="252"/>
      <c r="EO48" s="252"/>
      <c r="EP48" s="252"/>
      <c r="EQ48" s="252"/>
      <c r="ER48" s="252"/>
      <c r="ES48" s="252"/>
      <c r="ET48" s="252"/>
      <c r="EU48" s="252"/>
      <c r="EV48" s="252"/>
      <c r="EW48" s="252"/>
      <c r="EX48" s="252"/>
      <c r="EY48" s="252"/>
      <c r="EZ48" s="252"/>
      <c r="FA48" s="252"/>
      <c r="FB48" s="252"/>
      <c r="FC48" s="252"/>
      <c r="FD48" s="252"/>
      <c r="FE48" s="252"/>
      <c r="FF48" s="252"/>
      <c r="FG48" s="252"/>
      <c r="FH48" s="252"/>
      <c r="FI48" s="252"/>
      <c r="FJ48" s="252"/>
      <c r="FK48" s="252"/>
      <c r="FL48" s="252"/>
      <c r="FM48" s="252"/>
      <c r="FN48" s="252"/>
      <c r="FO48" s="252"/>
      <c r="FP48" s="252"/>
      <c r="FQ48" s="252"/>
      <c r="FR48" s="252"/>
      <c r="FS48" s="252"/>
      <c r="FT48" s="252"/>
      <c r="FU48" s="252"/>
      <c r="FV48" s="252"/>
      <c r="FW48" s="252"/>
      <c r="FX48" s="252"/>
      <c r="FY48" s="252"/>
      <c r="FZ48" s="252"/>
      <c r="GA48" s="252"/>
      <c r="GB48" s="252"/>
      <c r="GC48" s="252"/>
      <c r="GD48" s="252"/>
      <c r="GE48" s="252"/>
      <c r="GF48" s="252"/>
      <c r="GG48" s="252"/>
      <c r="GH48" s="252"/>
      <c r="GI48" s="252"/>
      <c r="GJ48" s="252"/>
      <c r="GK48" s="252"/>
      <c r="GL48" s="252"/>
      <c r="GM48" s="252"/>
      <c r="GN48" s="252"/>
      <c r="GO48" s="252"/>
      <c r="GP48" s="252"/>
      <c r="GQ48" s="252"/>
      <c r="GR48" s="252"/>
      <c r="GS48" s="252"/>
      <c r="GT48" s="252"/>
      <c r="GU48" s="252"/>
      <c r="GV48" s="252"/>
      <c r="GW48" s="252"/>
      <c r="GX48" s="252"/>
      <c r="GY48" s="252"/>
      <c r="GZ48" s="252"/>
      <c r="HA48" s="252"/>
      <c r="HB48" s="252"/>
      <c r="HC48" s="252"/>
      <c r="HD48" s="252"/>
      <c r="HE48" s="252"/>
      <c r="HF48" s="252"/>
      <c r="HG48" s="252"/>
      <c r="HH48" s="252"/>
      <c r="HI48" s="252"/>
      <c r="HJ48" s="252"/>
      <c r="HK48" s="252"/>
      <c r="HL48" s="252"/>
      <c r="HM48" s="252"/>
      <c r="HN48" s="252"/>
      <c r="HO48" s="252"/>
      <c r="HP48" s="252"/>
      <c r="HQ48" s="252"/>
      <c r="HR48" s="252"/>
      <c r="HS48" s="252"/>
      <c r="HT48" s="252"/>
      <c r="HU48" s="252"/>
      <c r="HV48" s="252"/>
      <c r="HW48" s="252"/>
      <c r="HX48" s="252"/>
      <c r="HY48" s="252"/>
      <c r="HZ48" s="252"/>
      <c r="IA48" s="252"/>
      <c r="IB48" s="252"/>
      <c r="IC48" s="252"/>
      <c r="ID48" s="252"/>
      <c r="IE48" s="252"/>
      <c r="IF48" s="252"/>
      <c r="IG48" s="252"/>
      <c r="IH48" s="252"/>
      <c r="II48" s="252"/>
      <c r="IJ48" s="252"/>
      <c r="IK48" s="252"/>
      <c r="IL48" s="252"/>
      <c r="IM48" s="252"/>
      <c r="IN48" s="252"/>
      <c r="IO48" s="252"/>
      <c r="IP48" s="252"/>
      <c r="IQ48" s="252"/>
      <c r="IR48" s="252"/>
      <c r="IS48" s="252"/>
      <c r="IT48" s="252"/>
      <c r="IU48" s="252"/>
      <c r="IV48" s="252"/>
      <c r="IW48" s="252"/>
      <c r="IX48" s="252"/>
      <c r="IY48" s="252"/>
      <c r="IZ48" s="252"/>
      <c r="JA48" s="252"/>
      <c r="JB48" s="252"/>
      <c r="JC48" s="252"/>
      <c r="JD48" s="252"/>
      <c r="JE48" s="252"/>
      <c r="JF48" s="252"/>
      <c r="JG48" s="252"/>
      <c r="JH48" s="252"/>
      <c r="JI48" s="252"/>
      <c r="JJ48" s="252"/>
      <c r="JK48" s="252"/>
      <c r="JL48" s="252"/>
      <c r="JM48" s="252"/>
      <c r="JN48" s="252"/>
      <c r="JO48" s="252"/>
      <c r="JP48" s="252"/>
      <c r="JQ48" s="252"/>
      <c r="JR48" s="252"/>
      <c r="JS48" s="252"/>
      <c r="JT48" s="252"/>
      <c r="JU48" s="252"/>
      <c r="JV48" s="252"/>
      <c r="JW48" s="252"/>
      <c r="JX48" s="252"/>
      <c r="JY48" s="252"/>
      <c r="JZ48" s="252"/>
      <c r="KA48" s="252"/>
      <c r="KB48" s="252"/>
      <c r="KC48" s="252"/>
      <c r="KD48" s="252"/>
      <c r="KE48" s="252"/>
      <c r="KF48" s="252"/>
      <c r="KG48" s="252"/>
      <c r="KH48" s="252"/>
      <c r="KI48" s="252"/>
      <c r="KJ48" s="252"/>
      <c r="KK48" s="252"/>
      <c r="KL48" s="252"/>
      <c r="KM48" s="252"/>
      <c r="KN48" s="252"/>
      <c r="KO48" s="252"/>
      <c r="KP48" s="252"/>
      <c r="KQ48" s="252"/>
      <c r="KR48" s="252"/>
      <c r="KS48" s="252"/>
      <c r="KT48" s="252"/>
      <c r="KU48" s="252"/>
      <c r="KV48" s="252"/>
      <c r="KW48" s="252"/>
      <c r="KX48" s="252"/>
      <c r="KY48" s="252"/>
      <c r="KZ48" s="252"/>
      <c r="LA48" s="252"/>
      <c r="LB48" s="252"/>
      <c r="LC48" s="252"/>
      <c r="LD48" s="252"/>
      <c r="LE48" s="252"/>
      <c r="LF48" s="252"/>
      <c r="LG48" s="252"/>
      <c r="LH48" s="252"/>
      <c r="LI48" s="252"/>
      <c r="LJ48" s="252"/>
      <c r="LK48" s="252"/>
      <c r="LL48" s="252"/>
      <c r="LM48" s="252"/>
      <c r="LN48" s="252"/>
      <c r="LO48" s="252"/>
      <c r="LP48" s="252"/>
      <c r="LQ48" s="252"/>
      <c r="LR48" s="252"/>
      <c r="LS48" s="252"/>
      <c r="LT48" s="252"/>
      <c r="LU48" s="252"/>
      <c r="LV48" s="252"/>
      <c r="LW48" s="252"/>
      <c r="LX48" s="252"/>
      <c r="LY48" s="252"/>
      <c r="LZ48" s="252"/>
      <c r="MA48" s="252"/>
      <c r="MB48" s="252"/>
      <c r="MC48" s="252"/>
      <c r="MD48" s="252"/>
      <c r="ME48" s="252"/>
      <c r="MF48" s="252"/>
      <c r="MG48" s="252"/>
      <c r="MH48" s="252"/>
      <c r="MI48" s="252"/>
      <c r="MJ48" s="252"/>
      <c r="MK48" s="252"/>
      <c r="ML48" s="252"/>
      <c r="MM48" s="252"/>
      <c r="MN48" s="252"/>
      <c r="MO48" s="252"/>
      <c r="MP48" s="252"/>
      <c r="MQ48" s="252"/>
      <c r="MR48" s="252"/>
      <c r="MS48" s="252"/>
      <c r="MT48" s="252"/>
      <c r="MU48" s="252"/>
      <c r="MV48" s="252"/>
      <c r="MW48" s="252"/>
      <c r="MX48" s="252"/>
      <c r="MY48" s="252"/>
      <c r="MZ48" s="252"/>
      <c r="NA48" s="252"/>
      <c r="NB48" s="252"/>
      <c r="NC48" s="252"/>
      <c r="ND48" s="252"/>
      <c r="NE48" s="252"/>
      <c r="NF48" s="252"/>
      <c r="NG48" s="252"/>
      <c r="NH48" s="252"/>
      <c r="NI48" s="252"/>
      <c r="NJ48" s="252"/>
      <c r="NK48" s="252"/>
      <c r="NL48" s="252"/>
      <c r="NM48" s="252"/>
      <c r="NN48" s="252"/>
      <c r="NO48" s="252"/>
      <c r="NP48" s="252"/>
      <c r="NQ48" s="252"/>
      <c r="NR48" s="252"/>
      <c r="NS48" s="252"/>
      <c r="NT48" s="252"/>
      <c r="NU48" s="252"/>
      <c r="NV48" s="252"/>
      <c r="NW48" s="252"/>
      <c r="NX48" s="252"/>
      <c r="NY48" s="252"/>
      <c r="NZ48" s="252"/>
      <c r="OA48" s="252"/>
      <c r="OB48" s="252"/>
      <c r="OC48" s="252"/>
      <c r="OD48" s="252"/>
      <c r="OE48" s="252"/>
      <c r="OF48" s="252"/>
      <c r="OG48" s="252"/>
      <c r="OH48" s="252"/>
      <c r="OI48" s="252"/>
      <c r="OJ48" s="252"/>
      <c r="OK48" s="252"/>
      <c r="OL48" s="252"/>
      <c r="OM48" s="252"/>
      <c r="ON48" s="252"/>
      <c r="OO48" s="252"/>
      <c r="OP48" s="252"/>
      <c r="OQ48" s="252"/>
      <c r="OR48" s="252"/>
      <c r="OS48" s="252"/>
      <c r="OT48" s="252"/>
      <c r="OU48" s="252"/>
      <c r="OV48" s="252"/>
      <c r="OW48" s="252"/>
      <c r="OX48" s="252"/>
      <c r="OY48" s="252"/>
      <c r="OZ48" s="252"/>
      <c r="PA48" s="252"/>
      <c r="PB48" s="252"/>
      <c r="PC48" s="252"/>
      <c r="PD48" s="252"/>
      <c r="PE48" s="252"/>
      <c r="PF48" s="252"/>
      <c r="PG48" s="252"/>
      <c r="PH48" s="252"/>
      <c r="PI48" s="252"/>
      <c r="PJ48" s="252"/>
      <c r="PK48" s="252"/>
      <c r="PL48" s="252"/>
      <c r="PM48" s="252"/>
      <c r="PN48" s="252"/>
      <c r="PO48" s="252"/>
      <c r="PP48" s="252"/>
      <c r="PQ48" s="252"/>
      <c r="PR48" s="252"/>
      <c r="PS48" s="252"/>
      <c r="PT48" s="252"/>
      <c r="PU48" s="252"/>
      <c r="PV48" s="252"/>
      <c r="PW48" s="252"/>
      <c r="PX48" s="252"/>
      <c r="PY48" s="252"/>
      <c r="PZ48" s="252"/>
      <c r="QA48" s="252"/>
      <c r="QB48" s="252"/>
      <c r="QC48" s="252"/>
      <c r="QD48" s="252"/>
      <c r="QE48" s="252"/>
      <c r="QF48" s="252"/>
      <c r="QG48" s="252"/>
      <c r="QH48" s="252"/>
      <c r="QI48" s="252"/>
      <c r="QJ48" s="252"/>
      <c r="QK48" s="252"/>
      <c r="QL48" s="252"/>
      <c r="QM48" s="252"/>
      <c r="QN48" s="252"/>
      <c r="QO48" s="252"/>
      <c r="QP48" s="252"/>
      <c r="QQ48" s="252"/>
      <c r="QR48" s="252"/>
      <c r="QS48" s="252"/>
      <c r="QT48" s="252"/>
      <c r="QU48" s="252"/>
      <c r="QV48" s="252"/>
      <c r="QW48" s="252"/>
      <c r="QX48" s="252"/>
      <c r="QY48" s="252"/>
      <c r="QZ48" s="252"/>
      <c r="RA48" s="252"/>
      <c r="RB48" s="252"/>
      <c r="RC48" s="252"/>
      <c r="RD48" s="252"/>
      <c r="RE48" s="252"/>
      <c r="RF48" s="252"/>
      <c r="RG48" s="252"/>
      <c r="RH48" s="252"/>
      <c r="RI48" s="252"/>
      <c r="RJ48" s="252"/>
      <c r="RK48" s="252"/>
      <c r="RL48" s="252"/>
      <c r="RM48" s="252"/>
      <c r="RN48" s="252"/>
      <c r="RO48" s="252"/>
      <c r="RP48" s="252"/>
      <c r="RQ48" s="252"/>
      <c r="RR48" s="252"/>
      <c r="RS48" s="252"/>
      <c r="RT48" s="252"/>
      <c r="RU48" s="252"/>
      <c r="RV48" s="252"/>
      <c r="RW48" s="252"/>
      <c r="RX48" s="252"/>
      <c r="RY48" s="252"/>
      <c r="RZ48" s="252"/>
      <c r="SA48" s="252"/>
      <c r="SB48" s="252"/>
      <c r="SC48" s="252"/>
      <c r="SD48" s="252"/>
      <c r="SE48" s="252"/>
      <c r="SF48" s="252"/>
      <c r="SG48" s="252"/>
      <c r="SH48" s="252"/>
      <c r="SI48" s="252"/>
      <c r="SJ48" s="252"/>
      <c r="SK48" s="252"/>
      <c r="SL48" s="252"/>
      <c r="SM48" s="252"/>
      <c r="SN48" s="252"/>
      <c r="SO48" s="252"/>
      <c r="SP48" s="252"/>
      <c r="SQ48" s="252"/>
      <c r="SR48" s="252"/>
      <c r="SS48" s="252"/>
      <c r="ST48" s="252"/>
      <c r="SU48" s="252"/>
      <c r="SV48" s="252"/>
      <c r="SW48" s="252"/>
      <c r="SX48" s="252"/>
      <c r="SY48" s="252"/>
      <c r="SZ48" s="252"/>
      <c r="TA48" s="252"/>
      <c r="TB48" s="252"/>
      <c r="TC48" s="252"/>
      <c r="TD48" s="252"/>
      <c r="TE48" s="252"/>
      <c r="TF48" s="252"/>
      <c r="TG48" s="252"/>
      <c r="TH48" s="252"/>
      <c r="TI48" s="252"/>
      <c r="TJ48" s="252"/>
      <c r="TK48" s="252"/>
      <c r="TL48" s="252"/>
      <c r="TM48" s="252"/>
      <c r="TN48" s="252"/>
      <c r="TO48" s="252"/>
      <c r="TP48" s="252"/>
      <c r="TQ48" s="252"/>
      <c r="TR48" s="252"/>
      <c r="TS48" s="252"/>
      <c r="TT48" s="252"/>
      <c r="TU48" s="252"/>
      <c r="TV48" s="252"/>
      <c r="TW48" s="252"/>
      <c r="TX48" s="252"/>
      <c r="TY48" s="252"/>
      <c r="TZ48" s="252"/>
      <c r="UA48" s="252"/>
      <c r="UB48" s="252"/>
      <c r="UC48" s="252"/>
      <c r="UD48" s="252"/>
      <c r="UE48" s="252"/>
      <c r="UF48" s="252"/>
      <c r="UG48" s="252"/>
      <c r="UH48" s="252"/>
      <c r="UI48" s="252"/>
      <c r="UJ48" s="252"/>
      <c r="UK48" s="252"/>
      <c r="UL48" s="252"/>
      <c r="UM48" s="252"/>
      <c r="UN48" s="252"/>
      <c r="UO48" s="252"/>
      <c r="UP48" s="252"/>
      <c r="UQ48" s="252"/>
      <c r="UR48" s="252"/>
      <c r="US48" s="252"/>
      <c r="UT48" s="252"/>
      <c r="UU48" s="252"/>
      <c r="UV48" s="252"/>
      <c r="UW48" s="252"/>
      <c r="UX48" s="252"/>
      <c r="UY48" s="252"/>
      <c r="UZ48" s="252"/>
      <c r="VA48" s="252"/>
      <c r="VB48" s="252"/>
      <c r="VC48" s="252"/>
      <c r="VD48" s="252"/>
      <c r="VE48" s="252"/>
      <c r="VF48" s="252"/>
      <c r="VG48" s="252"/>
      <c r="VH48" s="252"/>
      <c r="VI48" s="252"/>
      <c r="VJ48" s="252"/>
      <c r="VK48" s="252"/>
      <c r="VL48" s="252"/>
      <c r="VM48" s="252"/>
      <c r="VN48" s="252"/>
      <c r="VO48" s="252"/>
      <c r="VP48" s="252"/>
      <c r="VQ48" s="252"/>
      <c r="VR48" s="252"/>
      <c r="VS48" s="252"/>
      <c r="VT48" s="252"/>
      <c r="VU48" s="252"/>
      <c r="VV48" s="252"/>
      <c r="VW48" s="252"/>
      <c r="VX48" s="252"/>
      <c r="VY48" s="252"/>
      <c r="VZ48" s="252"/>
      <c r="WA48" s="252"/>
      <c r="WB48" s="252"/>
      <c r="WC48" s="252"/>
      <c r="WD48" s="252"/>
      <c r="WE48" s="252"/>
      <c r="WF48" s="252"/>
      <c r="WG48" s="252"/>
      <c r="WH48" s="252"/>
      <c r="WI48" s="252"/>
      <c r="WJ48" s="252"/>
      <c r="WK48" s="252"/>
      <c r="WL48" s="252"/>
      <c r="WM48" s="252"/>
      <c r="WN48" s="252"/>
      <c r="WO48" s="252"/>
      <c r="WP48" s="252"/>
      <c r="WQ48" s="252"/>
      <c r="WR48" s="252"/>
      <c r="WS48" s="252"/>
      <c r="WT48" s="252"/>
      <c r="WU48" s="252"/>
      <c r="WV48" s="252"/>
      <c r="WW48" s="252"/>
      <c r="WX48" s="252"/>
      <c r="WY48" s="252"/>
      <c r="WZ48" s="252"/>
      <c r="XA48" s="252"/>
      <c r="XB48" s="252"/>
      <c r="XC48" s="252"/>
      <c r="XD48" s="252"/>
      <c r="XE48" s="252"/>
      <c r="XF48" s="252"/>
      <c r="XG48" s="252"/>
      <c r="XH48" s="252"/>
      <c r="XI48" s="252"/>
      <c r="XJ48" s="252"/>
      <c r="XK48" s="252"/>
      <c r="XL48" s="252"/>
      <c r="XM48" s="252"/>
      <c r="XN48" s="252"/>
      <c r="XO48" s="252"/>
      <c r="XP48" s="252"/>
      <c r="XQ48" s="252"/>
      <c r="XR48" s="252"/>
      <c r="XS48" s="252"/>
      <c r="XT48" s="252"/>
      <c r="XU48" s="252"/>
      <c r="XV48" s="252"/>
      <c r="XW48" s="252"/>
      <c r="XX48" s="252"/>
      <c r="XY48" s="252"/>
      <c r="XZ48" s="252"/>
      <c r="YA48" s="252"/>
      <c r="YB48" s="252"/>
      <c r="YC48" s="252"/>
      <c r="YD48" s="252"/>
      <c r="YE48" s="252"/>
      <c r="YF48" s="252"/>
      <c r="YG48" s="252"/>
      <c r="YH48" s="252"/>
      <c r="YI48" s="252"/>
      <c r="YJ48" s="252"/>
      <c r="YK48" s="252"/>
      <c r="YL48" s="252"/>
      <c r="YM48" s="252"/>
      <c r="YN48" s="252"/>
      <c r="YO48" s="252"/>
      <c r="YP48" s="252"/>
      <c r="YQ48" s="252"/>
      <c r="YR48" s="252"/>
      <c r="YS48" s="252"/>
      <c r="YT48" s="252"/>
      <c r="YU48" s="252"/>
      <c r="YV48" s="252"/>
      <c r="YW48" s="252"/>
      <c r="YX48" s="252"/>
      <c r="YY48" s="252"/>
      <c r="YZ48" s="252"/>
      <c r="ZA48" s="252"/>
      <c r="ZB48" s="252"/>
      <c r="ZC48" s="252"/>
      <c r="ZD48" s="252"/>
      <c r="ZE48" s="252"/>
      <c r="ZF48" s="252"/>
      <c r="ZG48" s="252"/>
      <c r="ZH48" s="252"/>
      <c r="ZI48" s="252"/>
      <c r="ZJ48" s="252"/>
      <c r="ZK48" s="252"/>
      <c r="ZL48" s="252"/>
      <c r="ZM48" s="252"/>
      <c r="ZN48" s="252"/>
      <c r="ZO48" s="252"/>
      <c r="ZP48" s="252"/>
      <c r="ZQ48" s="252"/>
      <c r="ZR48" s="252"/>
      <c r="ZS48" s="252"/>
      <c r="ZT48" s="252"/>
      <c r="ZU48" s="252"/>
      <c r="ZV48" s="252"/>
      <c r="ZW48" s="252"/>
      <c r="ZX48" s="252"/>
      <c r="ZY48" s="252"/>
      <c r="ZZ48" s="252"/>
      <c r="AAA48" s="252"/>
      <c r="AAB48" s="252"/>
      <c r="AAC48" s="252"/>
      <c r="AAD48" s="252"/>
      <c r="AAE48" s="252"/>
      <c r="AAF48" s="252"/>
      <c r="AAG48" s="252"/>
      <c r="AAH48" s="252"/>
      <c r="AAI48" s="252"/>
      <c r="AAJ48" s="252"/>
      <c r="AAK48" s="252"/>
      <c r="AAL48" s="252"/>
      <c r="AAM48" s="252"/>
      <c r="AAN48" s="252"/>
      <c r="AAO48" s="252"/>
      <c r="AAP48" s="252"/>
      <c r="AAQ48" s="252"/>
      <c r="AAR48" s="252"/>
      <c r="AAS48" s="252"/>
      <c r="AAT48" s="252"/>
      <c r="AAU48" s="252"/>
      <c r="AAV48" s="252"/>
      <c r="AAW48" s="252"/>
      <c r="AAX48" s="252"/>
      <c r="AAY48" s="252"/>
      <c r="AAZ48" s="252"/>
      <c r="ABA48" s="252"/>
      <c r="ABB48" s="252"/>
      <c r="ABC48" s="252"/>
      <c r="ABD48" s="252"/>
      <c r="ABE48" s="252"/>
      <c r="ABF48" s="252"/>
      <c r="ABG48" s="252"/>
      <c r="ABH48" s="252"/>
      <c r="ABI48" s="252"/>
      <c r="ABJ48" s="252"/>
      <c r="ABK48" s="252"/>
      <c r="ABL48" s="252"/>
      <c r="ABM48" s="252"/>
      <c r="ABN48" s="252"/>
      <c r="ABO48" s="252"/>
      <c r="ABP48" s="252"/>
      <c r="ABQ48" s="252"/>
      <c r="ABR48" s="252"/>
      <c r="ABS48" s="252"/>
      <c r="ABT48" s="252"/>
      <c r="ABU48" s="252"/>
      <c r="ABV48" s="252"/>
      <c r="ABW48" s="252"/>
      <c r="ABX48" s="252"/>
      <c r="ABY48" s="252"/>
      <c r="ABZ48" s="252"/>
      <c r="ACA48" s="252"/>
      <c r="ACB48" s="252"/>
      <c r="ACC48" s="252"/>
      <c r="ACD48" s="252"/>
      <c r="ACE48" s="252"/>
      <c r="ACF48" s="252"/>
      <c r="ACG48" s="252"/>
      <c r="ACH48" s="252"/>
      <c r="ACI48" s="252"/>
      <c r="ACJ48" s="252"/>
      <c r="ACK48" s="252"/>
      <c r="ACL48" s="252"/>
      <c r="ACM48" s="252"/>
      <c r="ACN48" s="252"/>
      <c r="ACO48" s="252"/>
      <c r="ACP48" s="252"/>
      <c r="ACQ48" s="252"/>
      <c r="ACR48" s="252"/>
      <c r="ACS48" s="252"/>
      <c r="ACT48" s="252"/>
      <c r="ACU48" s="252"/>
      <c r="ACV48" s="252"/>
      <c r="ACW48" s="252"/>
      <c r="ACX48" s="252"/>
      <c r="ACY48" s="252"/>
      <c r="ACZ48" s="252"/>
      <c r="ADA48" s="252"/>
      <c r="ADB48" s="252"/>
      <c r="ADC48" s="252"/>
      <c r="ADD48" s="252"/>
      <c r="ADE48" s="252"/>
      <c r="ADF48" s="252"/>
      <c r="ADG48" s="252"/>
      <c r="ADH48" s="252"/>
      <c r="ADI48" s="252"/>
      <c r="ADJ48" s="252"/>
      <c r="ADK48" s="252"/>
      <c r="ADL48" s="252"/>
      <c r="ADM48" s="252"/>
      <c r="ADN48" s="252"/>
      <c r="ADO48" s="252"/>
      <c r="ADP48" s="252"/>
      <c r="ADQ48" s="252"/>
      <c r="ADR48" s="252"/>
      <c r="ADS48" s="252"/>
      <c r="ADT48" s="252"/>
      <c r="ADU48" s="252"/>
      <c r="ADV48" s="252"/>
      <c r="ADW48" s="252"/>
      <c r="ADX48" s="252"/>
      <c r="ADY48" s="252"/>
      <c r="ADZ48" s="252"/>
      <c r="AEA48" s="252"/>
      <c r="AEB48" s="252"/>
      <c r="AEC48" s="252"/>
      <c r="AED48" s="252"/>
      <c r="AEE48" s="252"/>
      <c r="AEF48" s="252"/>
      <c r="AEG48" s="252"/>
      <c r="AEH48" s="252"/>
      <c r="AEI48" s="252"/>
      <c r="AEJ48" s="252"/>
      <c r="AEK48" s="252"/>
      <c r="AEL48" s="252"/>
      <c r="AEM48" s="252"/>
      <c r="AEN48" s="252"/>
      <c r="AEO48" s="252"/>
      <c r="AEP48" s="252"/>
      <c r="AEQ48" s="252"/>
      <c r="AER48" s="252"/>
      <c r="AES48" s="252"/>
      <c r="AET48" s="252"/>
      <c r="AEU48" s="252"/>
      <c r="AEV48" s="252"/>
      <c r="AEW48" s="252"/>
      <c r="AEX48" s="252"/>
      <c r="AEY48" s="252"/>
      <c r="AEZ48" s="252"/>
      <c r="AFA48" s="252"/>
      <c r="AFB48" s="252"/>
      <c r="AFC48" s="252"/>
      <c r="AFD48" s="252"/>
      <c r="AFE48" s="252"/>
      <c r="AFF48" s="252"/>
      <c r="AFG48" s="252"/>
      <c r="AFH48" s="252"/>
      <c r="AFI48" s="252"/>
      <c r="AFJ48" s="252"/>
      <c r="AFK48" s="252"/>
      <c r="AFL48" s="252"/>
      <c r="AFM48" s="252"/>
      <c r="AFN48" s="252"/>
      <c r="AFO48" s="252"/>
      <c r="AFP48" s="252"/>
      <c r="AFQ48" s="252"/>
      <c r="AFR48" s="252"/>
      <c r="AFS48" s="252"/>
      <c r="AFT48" s="252"/>
      <c r="AFU48" s="252"/>
      <c r="AFV48" s="252"/>
      <c r="AFW48" s="252"/>
      <c r="AFX48" s="252"/>
      <c r="AFY48" s="252"/>
      <c r="AFZ48" s="252"/>
      <c r="AGA48" s="252"/>
      <c r="AGB48" s="252"/>
      <c r="AGC48" s="252"/>
      <c r="AGD48" s="252"/>
      <c r="AGE48" s="252"/>
      <c r="AGF48" s="252"/>
      <c r="AGG48" s="252"/>
      <c r="AGH48" s="252"/>
      <c r="AGI48" s="252"/>
      <c r="AGJ48" s="252"/>
      <c r="AGK48" s="252"/>
      <c r="AGL48" s="252"/>
      <c r="AGM48" s="252"/>
      <c r="AGN48" s="252"/>
      <c r="AGO48" s="252"/>
      <c r="AGP48" s="252"/>
      <c r="AGQ48" s="252"/>
      <c r="AGR48" s="252"/>
      <c r="AGS48" s="252"/>
      <c r="AGT48" s="252"/>
      <c r="AGU48" s="252"/>
      <c r="AGV48" s="252"/>
      <c r="AGW48" s="252"/>
      <c r="AGX48" s="252"/>
      <c r="AGY48" s="252"/>
      <c r="AGZ48" s="252"/>
      <c r="AHA48" s="252"/>
      <c r="AHB48" s="252"/>
      <c r="AHC48" s="252"/>
      <c r="AHD48" s="252"/>
      <c r="AHE48" s="252"/>
      <c r="AHF48" s="252"/>
      <c r="AHG48" s="252"/>
      <c r="AHH48" s="252"/>
      <c r="AHI48" s="252"/>
      <c r="AHJ48" s="252"/>
      <c r="AHK48" s="252"/>
      <c r="AHL48" s="252"/>
      <c r="AHM48" s="252"/>
      <c r="AHN48" s="252"/>
      <c r="AHO48" s="252"/>
      <c r="AHP48" s="252"/>
      <c r="AHQ48" s="252"/>
      <c r="AHR48" s="252"/>
      <c r="AHS48" s="252"/>
      <c r="AHT48" s="252"/>
      <c r="AHU48" s="252"/>
      <c r="AHV48" s="252"/>
      <c r="AHW48" s="252"/>
      <c r="AHX48" s="252"/>
      <c r="AHY48" s="252"/>
      <c r="AHZ48" s="252"/>
      <c r="AIA48" s="252"/>
      <c r="AIB48" s="252"/>
      <c r="AIC48" s="252"/>
      <c r="AID48" s="252"/>
      <c r="AIE48" s="252"/>
      <c r="AIF48" s="252"/>
      <c r="AIG48" s="252"/>
      <c r="AIH48" s="252"/>
      <c r="AII48" s="252"/>
      <c r="AIJ48" s="252"/>
      <c r="AIK48" s="252"/>
      <c r="AIL48" s="252"/>
      <c r="AIM48" s="252"/>
      <c r="AIN48" s="252"/>
      <c r="AIO48" s="252"/>
      <c r="AIP48" s="252"/>
      <c r="AIQ48" s="252"/>
      <c r="AIR48" s="252"/>
      <c r="AIS48" s="252"/>
      <c r="AIT48" s="252"/>
      <c r="AIU48" s="252"/>
      <c r="AIV48" s="252"/>
      <c r="AIW48" s="252"/>
      <c r="AIX48" s="252"/>
      <c r="AIY48" s="252"/>
      <c r="AIZ48" s="252"/>
      <c r="AJA48" s="252"/>
      <c r="AJB48" s="252"/>
      <c r="AJC48" s="252"/>
      <c r="AJD48" s="252"/>
      <c r="AJE48" s="252"/>
      <c r="AJF48" s="252"/>
      <c r="AJG48" s="252"/>
      <c r="AJH48" s="252"/>
      <c r="AJI48" s="252"/>
      <c r="AJJ48" s="252"/>
      <c r="AJK48" s="252"/>
      <c r="AJL48" s="252"/>
      <c r="AJM48" s="252"/>
      <c r="AJN48" s="252"/>
      <c r="AJO48" s="252"/>
      <c r="AJP48" s="252"/>
      <c r="AJQ48" s="252"/>
      <c r="AJR48" s="252"/>
      <c r="AJS48" s="252"/>
      <c r="AJT48" s="252"/>
      <c r="AJU48" s="252"/>
      <c r="AJV48" s="252"/>
      <c r="AJW48" s="252"/>
      <c r="AJX48" s="252"/>
      <c r="AJY48" s="252"/>
      <c r="AJZ48" s="252"/>
      <c r="AKA48" s="252"/>
      <c r="AKB48" s="252"/>
      <c r="AKC48" s="252"/>
      <c r="AKD48" s="252"/>
      <c r="AKE48" s="252"/>
      <c r="AKF48" s="252"/>
      <c r="AKG48" s="252"/>
      <c r="AKH48" s="252"/>
      <c r="AKI48" s="252"/>
      <c r="AKJ48" s="252"/>
      <c r="AKK48" s="252"/>
      <c r="AKL48" s="252"/>
      <c r="AKM48" s="252"/>
      <c r="AKN48" s="252"/>
      <c r="AKO48" s="252"/>
      <c r="AKP48" s="252"/>
      <c r="AKQ48" s="252"/>
      <c r="AKR48" s="252"/>
      <c r="AKS48" s="252"/>
      <c r="AKT48" s="252"/>
      <c r="AKU48" s="252"/>
      <c r="AKV48" s="252"/>
      <c r="AKW48" s="252"/>
      <c r="AKX48" s="252"/>
      <c r="AKY48" s="252"/>
      <c r="AKZ48" s="252"/>
      <c r="ALA48" s="252"/>
      <c r="ALB48" s="252"/>
      <c r="ALC48" s="252"/>
      <c r="ALD48" s="252"/>
      <c r="ALE48" s="252"/>
      <c r="ALF48" s="252"/>
      <c r="ALG48" s="252"/>
      <c r="ALH48" s="252"/>
      <c r="ALI48" s="252"/>
      <c r="ALJ48" s="252"/>
      <c r="ALK48" s="252"/>
      <c r="ALL48" s="252"/>
      <c r="ALM48" s="252"/>
      <c r="ALN48" s="252"/>
      <c r="ALO48" s="252"/>
      <c r="ALP48" s="252"/>
      <c r="ALQ48" s="252"/>
      <c r="ALR48" s="252"/>
    </row>
    <row r="49" spans="1:1007" x14ac:dyDescent="0.2">
      <c r="A49" s="749" t="s">
        <v>287</v>
      </c>
      <c r="B49" s="382">
        <v>32000</v>
      </c>
      <c r="C49" s="382">
        <v>17000</v>
      </c>
      <c r="D49" s="398">
        <v>9286</v>
      </c>
      <c r="E49" s="740">
        <v>15000</v>
      </c>
      <c r="F49" s="730"/>
      <c r="G49" s="730"/>
      <c r="H49" s="730"/>
      <c r="I49" s="730"/>
      <c r="ALS49"/>
    </row>
    <row r="50" spans="1:1007" s="3" customFormat="1" x14ac:dyDescent="0.2">
      <c r="A50" s="369" t="s">
        <v>290</v>
      </c>
      <c r="B50" s="382">
        <v>32000</v>
      </c>
      <c r="C50" s="382">
        <v>17000</v>
      </c>
      <c r="D50" s="382"/>
      <c r="E50" s="733"/>
      <c r="F50" s="730"/>
      <c r="G50" s="730"/>
      <c r="H50" s="730"/>
      <c r="I50" s="730"/>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2"/>
      <c r="AY50" s="252"/>
      <c r="AZ50" s="252"/>
      <c r="BA50" s="252"/>
      <c r="BB50" s="252"/>
      <c r="BC50" s="252"/>
      <c r="BD50" s="252"/>
      <c r="BE50" s="252"/>
      <c r="BF50" s="252"/>
      <c r="BG50" s="252"/>
      <c r="BH50" s="252"/>
      <c r="BI50" s="252"/>
      <c r="BJ50" s="252"/>
      <c r="BK50" s="252"/>
      <c r="BL50" s="252"/>
      <c r="BM50" s="252"/>
      <c r="BN50" s="252"/>
      <c r="BO50" s="252"/>
      <c r="BP50" s="252"/>
      <c r="BQ50" s="252"/>
      <c r="BR50" s="252"/>
      <c r="BS50" s="252"/>
      <c r="BT50" s="252"/>
      <c r="BU50" s="252"/>
      <c r="BV50" s="252"/>
      <c r="BW50" s="252"/>
      <c r="BX50" s="252"/>
      <c r="BY50" s="252"/>
      <c r="BZ50" s="252"/>
      <c r="CA50" s="252"/>
      <c r="CB50" s="252"/>
      <c r="CC50" s="252"/>
      <c r="CD50" s="252"/>
      <c r="CE50" s="252"/>
      <c r="CF50" s="252"/>
      <c r="CG50" s="252"/>
      <c r="CH50" s="252"/>
      <c r="CI50" s="252"/>
      <c r="CJ50" s="252"/>
      <c r="CK50" s="252"/>
      <c r="CL50" s="252"/>
      <c r="CM50" s="252"/>
      <c r="CN50" s="252"/>
      <c r="CO50" s="252"/>
      <c r="CP50" s="252"/>
      <c r="CQ50" s="252"/>
      <c r="CR50" s="252"/>
      <c r="CS50" s="252"/>
      <c r="CT50" s="252"/>
      <c r="CU50" s="252"/>
      <c r="CV50" s="252"/>
      <c r="CW50" s="252"/>
      <c r="CX50" s="252"/>
      <c r="CY50" s="252"/>
      <c r="CZ50" s="252"/>
      <c r="DA50" s="252"/>
      <c r="DB50" s="252"/>
      <c r="DC50" s="252"/>
      <c r="DD50" s="252"/>
      <c r="DE50" s="252"/>
      <c r="DF50" s="252"/>
      <c r="DG50" s="252"/>
      <c r="DH50" s="252"/>
      <c r="DI50" s="252"/>
      <c r="DJ50" s="252"/>
      <c r="DK50" s="252"/>
      <c r="DL50" s="252"/>
      <c r="DM50" s="252"/>
      <c r="DN50" s="252"/>
      <c r="DO50" s="252"/>
      <c r="DP50" s="252"/>
      <c r="DQ50" s="252"/>
      <c r="DR50" s="252"/>
      <c r="DS50" s="252"/>
      <c r="DT50" s="252"/>
      <c r="DU50" s="252"/>
      <c r="DV50" s="252"/>
      <c r="DW50" s="252"/>
      <c r="DX50" s="252"/>
      <c r="DY50" s="252"/>
      <c r="DZ50" s="252"/>
      <c r="EA50" s="252"/>
      <c r="EB50" s="252"/>
      <c r="EC50" s="252"/>
      <c r="ED50" s="252"/>
      <c r="EE50" s="252"/>
      <c r="EF50" s="252"/>
      <c r="EG50" s="252"/>
      <c r="EH50" s="252"/>
      <c r="EI50" s="252"/>
      <c r="EJ50" s="252"/>
      <c r="EK50" s="252"/>
      <c r="EL50" s="252"/>
      <c r="EM50" s="252"/>
      <c r="EN50" s="252"/>
      <c r="EO50" s="252"/>
      <c r="EP50" s="252"/>
      <c r="EQ50" s="252"/>
      <c r="ER50" s="252"/>
      <c r="ES50" s="252"/>
      <c r="ET50" s="252"/>
      <c r="EU50" s="252"/>
      <c r="EV50" s="252"/>
      <c r="EW50" s="252"/>
      <c r="EX50" s="252"/>
      <c r="EY50" s="252"/>
      <c r="EZ50" s="252"/>
      <c r="FA50" s="252"/>
      <c r="FB50" s="252"/>
      <c r="FC50" s="252"/>
      <c r="FD50" s="252"/>
      <c r="FE50" s="252"/>
      <c r="FF50" s="252"/>
      <c r="FG50" s="252"/>
      <c r="FH50" s="252"/>
      <c r="FI50" s="252"/>
      <c r="FJ50" s="252"/>
      <c r="FK50" s="252"/>
      <c r="FL50" s="252"/>
      <c r="FM50" s="252"/>
      <c r="FN50" s="252"/>
      <c r="FO50" s="252"/>
      <c r="FP50" s="252"/>
      <c r="FQ50" s="252"/>
      <c r="FR50" s="252"/>
      <c r="FS50" s="252"/>
      <c r="FT50" s="252"/>
      <c r="FU50" s="252"/>
      <c r="FV50" s="252"/>
      <c r="FW50" s="252"/>
      <c r="FX50" s="252"/>
      <c r="FY50" s="252"/>
      <c r="FZ50" s="252"/>
      <c r="GA50" s="252"/>
      <c r="GB50" s="252"/>
      <c r="GC50" s="252"/>
      <c r="GD50" s="252"/>
      <c r="GE50" s="252"/>
      <c r="GF50" s="252"/>
      <c r="GG50" s="252"/>
      <c r="GH50" s="252"/>
      <c r="GI50" s="252"/>
      <c r="GJ50" s="252"/>
      <c r="GK50" s="252"/>
      <c r="GL50" s="252"/>
      <c r="GM50" s="252"/>
      <c r="GN50" s="252"/>
      <c r="GO50" s="252"/>
      <c r="GP50" s="252"/>
      <c r="GQ50" s="252"/>
      <c r="GR50" s="252"/>
      <c r="GS50" s="252"/>
      <c r="GT50" s="252"/>
      <c r="GU50" s="252"/>
      <c r="GV50" s="252"/>
      <c r="GW50" s="252"/>
      <c r="GX50" s="252"/>
      <c r="GY50" s="252"/>
      <c r="GZ50" s="252"/>
      <c r="HA50" s="252"/>
      <c r="HB50" s="252"/>
      <c r="HC50" s="252"/>
      <c r="HD50" s="252"/>
      <c r="HE50" s="252"/>
      <c r="HF50" s="252"/>
      <c r="HG50" s="252"/>
      <c r="HH50" s="252"/>
      <c r="HI50" s="252"/>
      <c r="HJ50" s="252"/>
      <c r="HK50" s="252"/>
      <c r="HL50" s="252"/>
      <c r="HM50" s="252"/>
      <c r="HN50" s="252"/>
      <c r="HO50" s="252"/>
      <c r="HP50" s="252"/>
      <c r="HQ50" s="252"/>
      <c r="HR50" s="252"/>
      <c r="HS50" s="252"/>
      <c r="HT50" s="252"/>
      <c r="HU50" s="252"/>
      <c r="HV50" s="252"/>
      <c r="HW50" s="252"/>
      <c r="HX50" s="252"/>
      <c r="HY50" s="252"/>
      <c r="HZ50" s="252"/>
      <c r="IA50" s="252"/>
      <c r="IB50" s="252"/>
      <c r="IC50" s="252"/>
      <c r="ID50" s="252"/>
      <c r="IE50" s="252"/>
      <c r="IF50" s="252"/>
      <c r="IG50" s="252"/>
      <c r="IH50" s="252"/>
      <c r="II50" s="252"/>
      <c r="IJ50" s="252"/>
      <c r="IK50" s="252"/>
      <c r="IL50" s="252"/>
      <c r="IM50" s="252"/>
      <c r="IN50" s="252"/>
      <c r="IO50" s="252"/>
      <c r="IP50" s="252"/>
      <c r="IQ50" s="252"/>
      <c r="IR50" s="252"/>
      <c r="IS50" s="252"/>
      <c r="IT50" s="252"/>
      <c r="IU50" s="252"/>
      <c r="IV50" s="252"/>
      <c r="IW50" s="252"/>
      <c r="IX50" s="252"/>
      <c r="IY50" s="252"/>
      <c r="IZ50" s="252"/>
      <c r="JA50" s="252"/>
      <c r="JB50" s="252"/>
      <c r="JC50" s="252"/>
      <c r="JD50" s="252"/>
      <c r="JE50" s="252"/>
      <c r="JF50" s="252"/>
      <c r="JG50" s="252"/>
      <c r="JH50" s="252"/>
      <c r="JI50" s="252"/>
      <c r="JJ50" s="252"/>
      <c r="JK50" s="252"/>
      <c r="JL50" s="252"/>
      <c r="JM50" s="252"/>
      <c r="JN50" s="252"/>
      <c r="JO50" s="252"/>
      <c r="JP50" s="252"/>
      <c r="JQ50" s="252"/>
      <c r="JR50" s="252"/>
      <c r="JS50" s="252"/>
      <c r="JT50" s="252"/>
      <c r="JU50" s="252"/>
      <c r="JV50" s="252"/>
      <c r="JW50" s="252"/>
      <c r="JX50" s="252"/>
      <c r="JY50" s="252"/>
      <c r="JZ50" s="252"/>
      <c r="KA50" s="252"/>
      <c r="KB50" s="252"/>
      <c r="KC50" s="252"/>
      <c r="KD50" s="252"/>
      <c r="KE50" s="252"/>
      <c r="KF50" s="252"/>
      <c r="KG50" s="252"/>
      <c r="KH50" s="252"/>
      <c r="KI50" s="252"/>
      <c r="KJ50" s="252"/>
      <c r="KK50" s="252"/>
      <c r="KL50" s="252"/>
      <c r="KM50" s="252"/>
      <c r="KN50" s="252"/>
      <c r="KO50" s="252"/>
      <c r="KP50" s="252"/>
      <c r="KQ50" s="252"/>
      <c r="KR50" s="252"/>
      <c r="KS50" s="252"/>
      <c r="KT50" s="252"/>
      <c r="KU50" s="252"/>
      <c r="KV50" s="252"/>
      <c r="KW50" s="252"/>
      <c r="KX50" s="252"/>
      <c r="KY50" s="252"/>
      <c r="KZ50" s="252"/>
      <c r="LA50" s="252"/>
      <c r="LB50" s="252"/>
      <c r="LC50" s="252"/>
      <c r="LD50" s="252"/>
      <c r="LE50" s="252"/>
      <c r="LF50" s="252"/>
      <c r="LG50" s="252"/>
      <c r="LH50" s="252"/>
      <c r="LI50" s="252"/>
      <c r="LJ50" s="252"/>
      <c r="LK50" s="252"/>
      <c r="LL50" s="252"/>
      <c r="LM50" s="252"/>
      <c r="LN50" s="252"/>
      <c r="LO50" s="252"/>
      <c r="LP50" s="252"/>
      <c r="LQ50" s="252"/>
      <c r="LR50" s="252"/>
      <c r="LS50" s="252"/>
      <c r="LT50" s="252"/>
      <c r="LU50" s="252"/>
      <c r="LV50" s="252"/>
      <c r="LW50" s="252"/>
      <c r="LX50" s="252"/>
      <c r="LY50" s="252"/>
      <c r="LZ50" s="252"/>
      <c r="MA50" s="252"/>
      <c r="MB50" s="252"/>
      <c r="MC50" s="252"/>
      <c r="MD50" s="252"/>
      <c r="ME50" s="252"/>
      <c r="MF50" s="252"/>
      <c r="MG50" s="252"/>
      <c r="MH50" s="252"/>
      <c r="MI50" s="252"/>
      <c r="MJ50" s="252"/>
      <c r="MK50" s="252"/>
      <c r="ML50" s="252"/>
      <c r="MM50" s="252"/>
      <c r="MN50" s="252"/>
      <c r="MO50" s="252"/>
      <c r="MP50" s="252"/>
      <c r="MQ50" s="252"/>
      <c r="MR50" s="252"/>
      <c r="MS50" s="252"/>
      <c r="MT50" s="252"/>
      <c r="MU50" s="252"/>
      <c r="MV50" s="252"/>
      <c r="MW50" s="252"/>
      <c r="MX50" s="252"/>
      <c r="MY50" s="252"/>
      <c r="MZ50" s="252"/>
      <c r="NA50" s="252"/>
      <c r="NB50" s="252"/>
      <c r="NC50" s="252"/>
      <c r="ND50" s="252"/>
      <c r="NE50" s="252"/>
      <c r="NF50" s="252"/>
      <c r="NG50" s="252"/>
      <c r="NH50" s="252"/>
      <c r="NI50" s="252"/>
      <c r="NJ50" s="252"/>
      <c r="NK50" s="252"/>
      <c r="NL50" s="252"/>
      <c r="NM50" s="252"/>
      <c r="NN50" s="252"/>
      <c r="NO50" s="252"/>
      <c r="NP50" s="252"/>
      <c r="NQ50" s="252"/>
      <c r="NR50" s="252"/>
      <c r="NS50" s="252"/>
      <c r="NT50" s="252"/>
      <c r="NU50" s="252"/>
      <c r="NV50" s="252"/>
      <c r="NW50" s="252"/>
      <c r="NX50" s="252"/>
      <c r="NY50" s="252"/>
      <c r="NZ50" s="252"/>
      <c r="OA50" s="252"/>
      <c r="OB50" s="252"/>
      <c r="OC50" s="252"/>
      <c r="OD50" s="252"/>
      <c r="OE50" s="252"/>
      <c r="OF50" s="252"/>
      <c r="OG50" s="252"/>
      <c r="OH50" s="252"/>
      <c r="OI50" s="252"/>
      <c r="OJ50" s="252"/>
      <c r="OK50" s="252"/>
      <c r="OL50" s="252"/>
      <c r="OM50" s="252"/>
      <c r="ON50" s="252"/>
      <c r="OO50" s="252"/>
      <c r="OP50" s="252"/>
      <c r="OQ50" s="252"/>
      <c r="OR50" s="252"/>
      <c r="OS50" s="252"/>
      <c r="OT50" s="252"/>
      <c r="OU50" s="252"/>
      <c r="OV50" s="252"/>
      <c r="OW50" s="252"/>
      <c r="OX50" s="252"/>
      <c r="OY50" s="252"/>
      <c r="OZ50" s="252"/>
      <c r="PA50" s="252"/>
      <c r="PB50" s="252"/>
      <c r="PC50" s="252"/>
      <c r="PD50" s="252"/>
      <c r="PE50" s="252"/>
      <c r="PF50" s="252"/>
      <c r="PG50" s="252"/>
      <c r="PH50" s="252"/>
      <c r="PI50" s="252"/>
      <c r="PJ50" s="252"/>
      <c r="PK50" s="252"/>
      <c r="PL50" s="252"/>
      <c r="PM50" s="252"/>
      <c r="PN50" s="252"/>
      <c r="PO50" s="252"/>
      <c r="PP50" s="252"/>
      <c r="PQ50" s="252"/>
      <c r="PR50" s="252"/>
      <c r="PS50" s="252"/>
      <c r="PT50" s="252"/>
      <c r="PU50" s="252"/>
      <c r="PV50" s="252"/>
      <c r="PW50" s="252"/>
      <c r="PX50" s="252"/>
      <c r="PY50" s="252"/>
      <c r="PZ50" s="252"/>
      <c r="QA50" s="252"/>
      <c r="QB50" s="252"/>
      <c r="QC50" s="252"/>
      <c r="QD50" s="252"/>
      <c r="QE50" s="252"/>
      <c r="QF50" s="252"/>
      <c r="QG50" s="252"/>
      <c r="QH50" s="252"/>
      <c r="QI50" s="252"/>
      <c r="QJ50" s="252"/>
      <c r="QK50" s="252"/>
      <c r="QL50" s="252"/>
      <c r="QM50" s="252"/>
      <c r="QN50" s="252"/>
      <c r="QO50" s="252"/>
      <c r="QP50" s="252"/>
      <c r="QQ50" s="252"/>
      <c r="QR50" s="252"/>
      <c r="QS50" s="252"/>
      <c r="QT50" s="252"/>
      <c r="QU50" s="252"/>
      <c r="QV50" s="252"/>
      <c r="QW50" s="252"/>
      <c r="QX50" s="252"/>
      <c r="QY50" s="252"/>
      <c r="QZ50" s="252"/>
      <c r="RA50" s="252"/>
      <c r="RB50" s="252"/>
      <c r="RC50" s="252"/>
      <c r="RD50" s="252"/>
      <c r="RE50" s="252"/>
      <c r="RF50" s="252"/>
      <c r="RG50" s="252"/>
      <c r="RH50" s="252"/>
      <c r="RI50" s="252"/>
      <c r="RJ50" s="252"/>
      <c r="RK50" s="252"/>
      <c r="RL50" s="252"/>
      <c r="RM50" s="252"/>
      <c r="RN50" s="252"/>
      <c r="RO50" s="252"/>
      <c r="RP50" s="252"/>
      <c r="RQ50" s="252"/>
      <c r="RR50" s="252"/>
      <c r="RS50" s="252"/>
      <c r="RT50" s="252"/>
      <c r="RU50" s="252"/>
      <c r="RV50" s="252"/>
      <c r="RW50" s="252"/>
      <c r="RX50" s="252"/>
      <c r="RY50" s="252"/>
      <c r="RZ50" s="252"/>
      <c r="SA50" s="252"/>
      <c r="SB50" s="252"/>
      <c r="SC50" s="252"/>
      <c r="SD50" s="252"/>
      <c r="SE50" s="252"/>
      <c r="SF50" s="252"/>
      <c r="SG50" s="252"/>
      <c r="SH50" s="252"/>
      <c r="SI50" s="252"/>
      <c r="SJ50" s="252"/>
      <c r="SK50" s="252"/>
      <c r="SL50" s="252"/>
      <c r="SM50" s="252"/>
      <c r="SN50" s="252"/>
      <c r="SO50" s="252"/>
      <c r="SP50" s="252"/>
      <c r="SQ50" s="252"/>
      <c r="SR50" s="252"/>
      <c r="SS50" s="252"/>
      <c r="ST50" s="252"/>
      <c r="SU50" s="252"/>
      <c r="SV50" s="252"/>
      <c r="SW50" s="252"/>
      <c r="SX50" s="252"/>
      <c r="SY50" s="252"/>
      <c r="SZ50" s="252"/>
      <c r="TA50" s="252"/>
      <c r="TB50" s="252"/>
      <c r="TC50" s="252"/>
      <c r="TD50" s="252"/>
      <c r="TE50" s="252"/>
      <c r="TF50" s="252"/>
      <c r="TG50" s="252"/>
      <c r="TH50" s="252"/>
      <c r="TI50" s="252"/>
      <c r="TJ50" s="252"/>
      <c r="TK50" s="252"/>
      <c r="TL50" s="252"/>
      <c r="TM50" s="252"/>
      <c r="TN50" s="252"/>
      <c r="TO50" s="252"/>
      <c r="TP50" s="252"/>
      <c r="TQ50" s="252"/>
      <c r="TR50" s="252"/>
      <c r="TS50" s="252"/>
      <c r="TT50" s="252"/>
      <c r="TU50" s="252"/>
      <c r="TV50" s="252"/>
      <c r="TW50" s="252"/>
      <c r="TX50" s="252"/>
      <c r="TY50" s="252"/>
      <c r="TZ50" s="252"/>
      <c r="UA50" s="252"/>
      <c r="UB50" s="252"/>
      <c r="UC50" s="252"/>
      <c r="UD50" s="252"/>
      <c r="UE50" s="252"/>
      <c r="UF50" s="252"/>
      <c r="UG50" s="252"/>
      <c r="UH50" s="252"/>
      <c r="UI50" s="252"/>
      <c r="UJ50" s="252"/>
      <c r="UK50" s="252"/>
      <c r="UL50" s="252"/>
      <c r="UM50" s="252"/>
      <c r="UN50" s="252"/>
      <c r="UO50" s="252"/>
      <c r="UP50" s="252"/>
      <c r="UQ50" s="252"/>
      <c r="UR50" s="252"/>
      <c r="US50" s="252"/>
      <c r="UT50" s="252"/>
      <c r="UU50" s="252"/>
      <c r="UV50" s="252"/>
      <c r="UW50" s="252"/>
      <c r="UX50" s="252"/>
      <c r="UY50" s="252"/>
      <c r="UZ50" s="252"/>
      <c r="VA50" s="252"/>
      <c r="VB50" s="252"/>
      <c r="VC50" s="252"/>
      <c r="VD50" s="252"/>
      <c r="VE50" s="252"/>
      <c r="VF50" s="252"/>
      <c r="VG50" s="252"/>
      <c r="VH50" s="252"/>
      <c r="VI50" s="252"/>
      <c r="VJ50" s="252"/>
      <c r="VK50" s="252"/>
      <c r="VL50" s="252"/>
      <c r="VM50" s="252"/>
      <c r="VN50" s="252"/>
      <c r="VO50" s="252"/>
      <c r="VP50" s="252"/>
      <c r="VQ50" s="252"/>
      <c r="VR50" s="252"/>
      <c r="VS50" s="252"/>
      <c r="VT50" s="252"/>
      <c r="VU50" s="252"/>
      <c r="VV50" s="252"/>
      <c r="VW50" s="252"/>
      <c r="VX50" s="252"/>
      <c r="VY50" s="252"/>
      <c r="VZ50" s="252"/>
      <c r="WA50" s="252"/>
      <c r="WB50" s="252"/>
      <c r="WC50" s="252"/>
      <c r="WD50" s="252"/>
      <c r="WE50" s="252"/>
      <c r="WF50" s="252"/>
      <c r="WG50" s="252"/>
      <c r="WH50" s="252"/>
      <c r="WI50" s="252"/>
      <c r="WJ50" s="252"/>
      <c r="WK50" s="252"/>
      <c r="WL50" s="252"/>
      <c r="WM50" s="252"/>
      <c r="WN50" s="252"/>
      <c r="WO50" s="252"/>
      <c r="WP50" s="252"/>
      <c r="WQ50" s="252"/>
      <c r="WR50" s="252"/>
      <c r="WS50" s="252"/>
      <c r="WT50" s="252"/>
      <c r="WU50" s="252"/>
      <c r="WV50" s="252"/>
      <c r="WW50" s="252"/>
      <c r="WX50" s="252"/>
      <c r="WY50" s="252"/>
      <c r="WZ50" s="252"/>
      <c r="XA50" s="252"/>
      <c r="XB50" s="252"/>
      <c r="XC50" s="252"/>
      <c r="XD50" s="252"/>
      <c r="XE50" s="252"/>
      <c r="XF50" s="252"/>
      <c r="XG50" s="252"/>
      <c r="XH50" s="252"/>
      <c r="XI50" s="252"/>
      <c r="XJ50" s="252"/>
      <c r="XK50" s="252"/>
      <c r="XL50" s="252"/>
      <c r="XM50" s="252"/>
      <c r="XN50" s="252"/>
      <c r="XO50" s="252"/>
      <c r="XP50" s="252"/>
      <c r="XQ50" s="252"/>
      <c r="XR50" s="252"/>
      <c r="XS50" s="252"/>
      <c r="XT50" s="252"/>
      <c r="XU50" s="252"/>
      <c r="XV50" s="252"/>
      <c r="XW50" s="252"/>
      <c r="XX50" s="252"/>
      <c r="XY50" s="252"/>
      <c r="XZ50" s="252"/>
      <c r="YA50" s="252"/>
      <c r="YB50" s="252"/>
      <c r="YC50" s="252"/>
      <c r="YD50" s="252"/>
      <c r="YE50" s="252"/>
      <c r="YF50" s="252"/>
      <c r="YG50" s="252"/>
      <c r="YH50" s="252"/>
      <c r="YI50" s="252"/>
      <c r="YJ50" s="252"/>
      <c r="YK50" s="252"/>
      <c r="YL50" s="252"/>
      <c r="YM50" s="252"/>
      <c r="YN50" s="252"/>
      <c r="YO50" s="252"/>
      <c r="YP50" s="252"/>
      <c r="YQ50" s="252"/>
      <c r="YR50" s="252"/>
      <c r="YS50" s="252"/>
      <c r="YT50" s="252"/>
      <c r="YU50" s="252"/>
      <c r="YV50" s="252"/>
      <c r="YW50" s="252"/>
      <c r="YX50" s="252"/>
      <c r="YY50" s="252"/>
      <c r="YZ50" s="252"/>
      <c r="ZA50" s="252"/>
      <c r="ZB50" s="252"/>
      <c r="ZC50" s="252"/>
      <c r="ZD50" s="252"/>
      <c r="ZE50" s="252"/>
      <c r="ZF50" s="252"/>
      <c r="ZG50" s="252"/>
      <c r="ZH50" s="252"/>
      <c r="ZI50" s="252"/>
      <c r="ZJ50" s="252"/>
      <c r="ZK50" s="252"/>
      <c r="ZL50" s="252"/>
      <c r="ZM50" s="252"/>
      <c r="ZN50" s="252"/>
      <c r="ZO50" s="252"/>
      <c r="ZP50" s="252"/>
      <c r="ZQ50" s="252"/>
      <c r="ZR50" s="252"/>
      <c r="ZS50" s="252"/>
      <c r="ZT50" s="252"/>
      <c r="ZU50" s="252"/>
      <c r="ZV50" s="252"/>
      <c r="ZW50" s="252"/>
      <c r="ZX50" s="252"/>
      <c r="ZY50" s="252"/>
      <c r="ZZ50" s="252"/>
      <c r="AAA50" s="252"/>
      <c r="AAB50" s="252"/>
      <c r="AAC50" s="252"/>
      <c r="AAD50" s="252"/>
      <c r="AAE50" s="252"/>
      <c r="AAF50" s="252"/>
      <c r="AAG50" s="252"/>
      <c r="AAH50" s="252"/>
      <c r="AAI50" s="252"/>
      <c r="AAJ50" s="252"/>
      <c r="AAK50" s="252"/>
      <c r="AAL50" s="252"/>
      <c r="AAM50" s="252"/>
      <c r="AAN50" s="252"/>
      <c r="AAO50" s="252"/>
      <c r="AAP50" s="252"/>
      <c r="AAQ50" s="252"/>
      <c r="AAR50" s="252"/>
      <c r="AAS50" s="252"/>
      <c r="AAT50" s="252"/>
      <c r="AAU50" s="252"/>
      <c r="AAV50" s="252"/>
      <c r="AAW50" s="252"/>
      <c r="AAX50" s="252"/>
      <c r="AAY50" s="252"/>
      <c r="AAZ50" s="252"/>
      <c r="ABA50" s="252"/>
      <c r="ABB50" s="252"/>
      <c r="ABC50" s="252"/>
      <c r="ABD50" s="252"/>
      <c r="ABE50" s="252"/>
      <c r="ABF50" s="252"/>
      <c r="ABG50" s="252"/>
      <c r="ABH50" s="252"/>
      <c r="ABI50" s="252"/>
      <c r="ABJ50" s="252"/>
      <c r="ABK50" s="252"/>
      <c r="ABL50" s="252"/>
      <c r="ABM50" s="252"/>
      <c r="ABN50" s="252"/>
      <c r="ABO50" s="252"/>
      <c r="ABP50" s="252"/>
      <c r="ABQ50" s="252"/>
      <c r="ABR50" s="252"/>
      <c r="ABS50" s="252"/>
      <c r="ABT50" s="252"/>
      <c r="ABU50" s="252"/>
      <c r="ABV50" s="252"/>
      <c r="ABW50" s="252"/>
      <c r="ABX50" s="252"/>
      <c r="ABY50" s="252"/>
      <c r="ABZ50" s="252"/>
      <c r="ACA50" s="252"/>
      <c r="ACB50" s="252"/>
      <c r="ACC50" s="252"/>
      <c r="ACD50" s="252"/>
      <c r="ACE50" s="252"/>
      <c r="ACF50" s="252"/>
      <c r="ACG50" s="252"/>
      <c r="ACH50" s="252"/>
      <c r="ACI50" s="252"/>
      <c r="ACJ50" s="252"/>
      <c r="ACK50" s="252"/>
      <c r="ACL50" s="252"/>
      <c r="ACM50" s="252"/>
      <c r="ACN50" s="252"/>
      <c r="ACO50" s="252"/>
      <c r="ACP50" s="252"/>
      <c r="ACQ50" s="252"/>
      <c r="ACR50" s="252"/>
      <c r="ACS50" s="252"/>
      <c r="ACT50" s="252"/>
      <c r="ACU50" s="252"/>
      <c r="ACV50" s="252"/>
      <c r="ACW50" s="252"/>
      <c r="ACX50" s="252"/>
      <c r="ACY50" s="252"/>
      <c r="ACZ50" s="252"/>
      <c r="ADA50" s="252"/>
      <c r="ADB50" s="252"/>
      <c r="ADC50" s="252"/>
      <c r="ADD50" s="252"/>
      <c r="ADE50" s="252"/>
      <c r="ADF50" s="252"/>
      <c r="ADG50" s="252"/>
      <c r="ADH50" s="252"/>
      <c r="ADI50" s="252"/>
      <c r="ADJ50" s="252"/>
      <c r="ADK50" s="252"/>
      <c r="ADL50" s="252"/>
      <c r="ADM50" s="252"/>
      <c r="ADN50" s="252"/>
      <c r="ADO50" s="252"/>
      <c r="ADP50" s="252"/>
      <c r="ADQ50" s="252"/>
      <c r="ADR50" s="252"/>
      <c r="ADS50" s="252"/>
      <c r="ADT50" s="252"/>
      <c r="ADU50" s="252"/>
      <c r="ADV50" s="252"/>
      <c r="ADW50" s="252"/>
      <c r="ADX50" s="252"/>
      <c r="ADY50" s="252"/>
      <c r="ADZ50" s="252"/>
      <c r="AEA50" s="252"/>
      <c r="AEB50" s="252"/>
      <c r="AEC50" s="252"/>
      <c r="AED50" s="252"/>
      <c r="AEE50" s="252"/>
      <c r="AEF50" s="252"/>
      <c r="AEG50" s="252"/>
      <c r="AEH50" s="252"/>
      <c r="AEI50" s="252"/>
      <c r="AEJ50" s="252"/>
      <c r="AEK50" s="252"/>
      <c r="AEL50" s="252"/>
      <c r="AEM50" s="252"/>
      <c r="AEN50" s="252"/>
      <c r="AEO50" s="252"/>
      <c r="AEP50" s="252"/>
      <c r="AEQ50" s="252"/>
      <c r="AER50" s="252"/>
      <c r="AES50" s="252"/>
      <c r="AET50" s="252"/>
      <c r="AEU50" s="252"/>
      <c r="AEV50" s="252"/>
      <c r="AEW50" s="252"/>
      <c r="AEX50" s="252"/>
      <c r="AEY50" s="252"/>
      <c r="AEZ50" s="252"/>
      <c r="AFA50" s="252"/>
      <c r="AFB50" s="252"/>
      <c r="AFC50" s="252"/>
      <c r="AFD50" s="252"/>
      <c r="AFE50" s="252"/>
      <c r="AFF50" s="252"/>
      <c r="AFG50" s="252"/>
      <c r="AFH50" s="252"/>
      <c r="AFI50" s="252"/>
      <c r="AFJ50" s="252"/>
      <c r="AFK50" s="252"/>
      <c r="AFL50" s="252"/>
      <c r="AFM50" s="252"/>
      <c r="AFN50" s="252"/>
      <c r="AFO50" s="252"/>
      <c r="AFP50" s="252"/>
      <c r="AFQ50" s="252"/>
      <c r="AFR50" s="252"/>
      <c r="AFS50" s="252"/>
      <c r="AFT50" s="252"/>
      <c r="AFU50" s="252"/>
      <c r="AFV50" s="252"/>
      <c r="AFW50" s="252"/>
      <c r="AFX50" s="252"/>
      <c r="AFY50" s="252"/>
      <c r="AFZ50" s="252"/>
      <c r="AGA50" s="252"/>
      <c r="AGB50" s="252"/>
      <c r="AGC50" s="252"/>
      <c r="AGD50" s="252"/>
      <c r="AGE50" s="252"/>
      <c r="AGF50" s="252"/>
      <c r="AGG50" s="252"/>
      <c r="AGH50" s="252"/>
      <c r="AGI50" s="252"/>
      <c r="AGJ50" s="252"/>
      <c r="AGK50" s="252"/>
      <c r="AGL50" s="252"/>
      <c r="AGM50" s="252"/>
      <c r="AGN50" s="252"/>
      <c r="AGO50" s="252"/>
      <c r="AGP50" s="252"/>
      <c r="AGQ50" s="252"/>
      <c r="AGR50" s="252"/>
      <c r="AGS50" s="252"/>
      <c r="AGT50" s="252"/>
      <c r="AGU50" s="252"/>
      <c r="AGV50" s="252"/>
      <c r="AGW50" s="252"/>
      <c r="AGX50" s="252"/>
      <c r="AGY50" s="252"/>
      <c r="AGZ50" s="252"/>
      <c r="AHA50" s="252"/>
      <c r="AHB50" s="252"/>
      <c r="AHC50" s="252"/>
      <c r="AHD50" s="252"/>
      <c r="AHE50" s="252"/>
      <c r="AHF50" s="252"/>
      <c r="AHG50" s="252"/>
      <c r="AHH50" s="252"/>
      <c r="AHI50" s="252"/>
      <c r="AHJ50" s="252"/>
      <c r="AHK50" s="252"/>
      <c r="AHL50" s="252"/>
      <c r="AHM50" s="252"/>
      <c r="AHN50" s="252"/>
      <c r="AHO50" s="252"/>
      <c r="AHP50" s="252"/>
      <c r="AHQ50" s="252"/>
      <c r="AHR50" s="252"/>
      <c r="AHS50" s="252"/>
      <c r="AHT50" s="252"/>
      <c r="AHU50" s="252"/>
      <c r="AHV50" s="252"/>
      <c r="AHW50" s="252"/>
      <c r="AHX50" s="252"/>
      <c r="AHY50" s="252"/>
      <c r="AHZ50" s="252"/>
      <c r="AIA50" s="252"/>
      <c r="AIB50" s="252"/>
      <c r="AIC50" s="252"/>
      <c r="AID50" s="252"/>
      <c r="AIE50" s="252"/>
      <c r="AIF50" s="252"/>
      <c r="AIG50" s="252"/>
      <c r="AIH50" s="252"/>
      <c r="AII50" s="252"/>
      <c r="AIJ50" s="252"/>
      <c r="AIK50" s="252"/>
      <c r="AIL50" s="252"/>
      <c r="AIM50" s="252"/>
      <c r="AIN50" s="252"/>
      <c r="AIO50" s="252"/>
      <c r="AIP50" s="252"/>
      <c r="AIQ50" s="252"/>
      <c r="AIR50" s="252"/>
      <c r="AIS50" s="252"/>
      <c r="AIT50" s="252"/>
      <c r="AIU50" s="252"/>
      <c r="AIV50" s="252"/>
      <c r="AIW50" s="252"/>
      <c r="AIX50" s="252"/>
      <c r="AIY50" s="252"/>
      <c r="AIZ50" s="252"/>
      <c r="AJA50" s="252"/>
      <c r="AJB50" s="252"/>
      <c r="AJC50" s="252"/>
      <c r="AJD50" s="252"/>
      <c r="AJE50" s="252"/>
      <c r="AJF50" s="252"/>
      <c r="AJG50" s="252"/>
      <c r="AJH50" s="252"/>
      <c r="AJI50" s="252"/>
      <c r="AJJ50" s="252"/>
      <c r="AJK50" s="252"/>
      <c r="AJL50" s="252"/>
      <c r="AJM50" s="252"/>
      <c r="AJN50" s="252"/>
      <c r="AJO50" s="252"/>
      <c r="AJP50" s="252"/>
      <c r="AJQ50" s="252"/>
      <c r="AJR50" s="252"/>
      <c r="AJS50" s="252"/>
      <c r="AJT50" s="252"/>
      <c r="AJU50" s="252"/>
      <c r="AJV50" s="252"/>
      <c r="AJW50" s="252"/>
      <c r="AJX50" s="252"/>
      <c r="AJY50" s="252"/>
      <c r="AJZ50" s="252"/>
      <c r="AKA50" s="252"/>
      <c r="AKB50" s="252"/>
      <c r="AKC50" s="252"/>
      <c r="AKD50" s="252"/>
      <c r="AKE50" s="252"/>
      <c r="AKF50" s="252"/>
      <c r="AKG50" s="252"/>
      <c r="AKH50" s="252"/>
      <c r="AKI50" s="252"/>
      <c r="AKJ50" s="252"/>
      <c r="AKK50" s="252"/>
      <c r="AKL50" s="252"/>
      <c r="AKM50" s="252"/>
      <c r="AKN50" s="252"/>
      <c r="AKO50" s="252"/>
      <c r="AKP50" s="252"/>
      <c r="AKQ50" s="252"/>
      <c r="AKR50" s="252"/>
      <c r="AKS50" s="252"/>
      <c r="AKT50" s="252"/>
      <c r="AKU50" s="252"/>
      <c r="AKV50" s="252"/>
      <c r="AKW50" s="252"/>
      <c r="AKX50" s="252"/>
      <c r="AKY50" s="252"/>
      <c r="AKZ50" s="252"/>
      <c r="ALA50" s="252"/>
      <c r="ALB50" s="252"/>
      <c r="ALC50" s="252"/>
      <c r="ALD50" s="252"/>
      <c r="ALE50" s="252"/>
      <c r="ALF50" s="252"/>
      <c r="ALG50" s="252"/>
      <c r="ALH50" s="252"/>
      <c r="ALI50" s="252"/>
      <c r="ALJ50" s="252"/>
      <c r="ALK50" s="252"/>
      <c r="ALL50" s="252"/>
      <c r="ALM50" s="252"/>
      <c r="ALN50" s="252"/>
      <c r="ALO50" s="252"/>
      <c r="ALP50" s="252"/>
      <c r="ALQ50" s="252"/>
      <c r="ALR50" s="252"/>
    </row>
    <row r="51" spans="1:1007" s="3" customFormat="1" x14ac:dyDescent="0.2">
      <c r="A51" s="369" t="s">
        <v>297</v>
      </c>
      <c r="B51" s="382"/>
      <c r="C51" s="382"/>
      <c r="D51" s="398">
        <v>9286</v>
      </c>
      <c r="E51" s="733"/>
      <c r="F51" s="730"/>
      <c r="G51" s="730"/>
      <c r="H51" s="730"/>
      <c r="I51" s="730"/>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252"/>
      <c r="AL51" s="252"/>
      <c r="AM51" s="252"/>
      <c r="AN51" s="252"/>
      <c r="AO51" s="252"/>
      <c r="AP51" s="252"/>
      <c r="AQ51" s="252"/>
      <c r="AR51" s="252"/>
      <c r="AS51" s="252"/>
      <c r="AT51" s="252"/>
      <c r="AU51" s="252"/>
      <c r="AV51" s="252"/>
      <c r="AW51" s="252"/>
      <c r="AX51" s="252"/>
      <c r="AY51" s="252"/>
      <c r="AZ51" s="252"/>
      <c r="BA51" s="252"/>
      <c r="BB51" s="252"/>
      <c r="BC51" s="252"/>
      <c r="BD51" s="252"/>
      <c r="BE51" s="252"/>
      <c r="BF51" s="252"/>
      <c r="BG51" s="252"/>
      <c r="BH51" s="252"/>
      <c r="BI51" s="252"/>
      <c r="BJ51" s="252"/>
      <c r="BK51" s="252"/>
      <c r="BL51" s="252"/>
      <c r="BM51" s="252"/>
      <c r="BN51" s="252"/>
      <c r="BO51" s="252"/>
      <c r="BP51" s="252"/>
      <c r="BQ51" s="252"/>
      <c r="BR51" s="252"/>
      <c r="BS51" s="252"/>
      <c r="BT51" s="252"/>
      <c r="BU51" s="252"/>
      <c r="BV51" s="252"/>
      <c r="BW51" s="252"/>
      <c r="BX51" s="252"/>
      <c r="BY51" s="252"/>
      <c r="BZ51" s="252"/>
      <c r="CA51" s="252"/>
      <c r="CB51" s="252"/>
      <c r="CC51" s="252"/>
      <c r="CD51" s="252"/>
      <c r="CE51" s="252"/>
      <c r="CF51" s="252"/>
      <c r="CG51" s="252"/>
      <c r="CH51" s="252"/>
      <c r="CI51" s="252"/>
      <c r="CJ51" s="252"/>
      <c r="CK51" s="252"/>
      <c r="CL51" s="252"/>
      <c r="CM51" s="252"/>
      <c r="CN51" s="252"/>
      <c r="CO51" s="252"/>
      <c r="CP51" s="252"/>
      <c r="CQ51" s="252"/>
      <c r="CR51" s="252"/>
      <c r="CS51" s="252"/>
      <c r="CT51" s="252"/>
      <c r="CU51" s="252"/>
      <c r="CV51" s="252"/>
      <c r="CW51" s="252"/>
      <c r="CX51" s="252"/>
      <c r="CY51" s="252"/>
      <c r="CZ51" s="252"/>
      <c r="DA51" s="252"/>
      <c r="DB51" s="252"/>
      <c r="DC51" s="252"/>
      <c r="DD51" s="252"/>
      <c r="DE51" s="252"/>
      <c r="DF51" s="252"/>
      <c r="DG51" s="252"/>
      <c r="DH51" s="252"/>
      <c r="DI51" s="252"/>
      <c r="DJ51" s="252"/>
      <c r="DK51" s="252"/>
      <c r="DL51" s="252"/>
      <c r="DM51" s="252"/>
      <c r="DN51" s="252"/>
      <c r="DO51" s="252"/>
      <c r="DP51" s="252"/>
      <c r="DQ51" s="252"/>
      <c r="DR51" s="252"/>
      <c r="DS51" s="252"/>
      <c r="DT51" s="252"/>
      <c r="DU51" s="252"/>
      <c r="DV51" s="252"/>
      <c r="DW51" s="252"/>
      <c r="DX51" s="252"/>
      <c r="DY51" s="252"/>
      <c r="DZ51" s="252"/>
      <c r="EA51" s="252"/>
      <c r="EB51" s="252"/>
      <c r="EC51" s="252"/>
      <c r="ED51" s="252"/>
      <c r="EE51" s="252"/>
      <c r="EF51" s="252"/>
      <c r="EG51" s="252"/>
      <c r="EH51" s="252"/>
      <c r="EI51" s="252"/>
      <c r="EJ51" s="252"/>
      <c r="EK51" s="252"/>
      <c r="EL51" s="252"/>
      <c r="EM51" s="252"/>
      <c r="EN51" s="252"/>
      <c r="EO51" s="252"/>
      <c r="EP51" s="252"/>
      <c r="EQ51" s="252"/>
      <c r="ER51" s="252"/>
      <c r="ES51" s="252"/>
      <c r="ET51" s="252"/>
      <c r="EU51" s="252"/>
      <c r="EV51" s="252"/>
      <c r="EW51" s="252"/>
      <c r="EX51" s="252"/>
      <c r="EY51" s="252"/>
      <c r="EZ51" s="252"/>
      <c r="FA51" s="252"/>
      <c r="FB51" s="252"/>
      <c r="FC51" s="252"/>
      <c r="FD51" s="252"/>
      <c r="FE51" s="252"/>
      <c r="FF51" s="252"/>
      <c r="FG51" s="252"/>
      <c r="FH51" s="252"/>
      <c r="FI51" s="252"/>
      <c r="FJ51" s="252"/>
      <c r="FK51" s="252"/>
      <c r="FL51" s="252"/>
      <c r="FM51" s="252"/>
      <c r="FN51" s="252"/>
      <c r="FO51" s="252"/>
      <c r="FP51" s="252"/>
      <c r="FQ51" s="252"/>
      <c r="FR51" s="252"/>
      <c r="FS51" s="252"/>
      <c r="FT51" s="252"/>
      <c r="FU51" s="252"/>
      <c r="FV51" s="252"/>
      <c r="FW51" s="252"/>
      <c r="FX51" s="252"/>
      <c r="FY51" s="252"/>
      <c r="FZ51" s="252"/>
      <c r="GA51" s="252"/>
      <c r="GB51" s="252"/>
      <c r="GC51" s="252"/>
      <c r="GD51" s="252"/>
      <c r="GE51" s="252"/>
      <c r="GF51" s="252"/>
      <c r="GG51" s="252"/>
      <c r="GH51" s="252"/>
      <c r="GI51" s="252"/>
      <c r="GJ51" s="252"/>
      <c r="GK51" s="252"/>
      <c r="GL51" s="252"/>
      <c r="GM51" s="252"/>
      <c r="GN51" s="252"/>
      <c r="GO51" s="252"/>
      <c r="GP51" s="252"/>
      <c r="GQ51" s="252"/>
      <c r="GR51" s="252"/>
      <c r="GS51" s="252"/>
      <c r="GT51" s="252"/>
      <c r="GU51" s="252"/>
      <c r="GV51" s="252"/>
      <c r="GW51" s="252"/>
      <c r="GX51" s="252"/>
      <c r="GY51" s="252"/>
      <c r="GZ51" s="252"/>
      <c r="HA51" s="252"/>
      <c r="HB51" s="252"/>
      <c r="HC51" s="252"/>
      <c r="HD51" s="252"/>
      <c r="HE51" s="252"/>
      <c r="HF51" s="252"/>
      <c r="HG51" s="252"/>
      <c r="HH51" s="252"/>
      <c r="HI51" s="252"/>
      <c r="HJ51" s="252"/>
      <c r="HK51" s="252"/>
      <c r="HL51" s="252"/>
      <c r="HM51" s="252"/>
      <c r="HN51" s="252"/>
      <c r="HO51" s="252"/>
      <c r="HP51" s="252"/>
      <c r="HQ51" s="252"/>
      <c r="HR51" s="252"/>
      <c r="HS51" s="252"/>
      <c r="HT51" s="252"/>
      <c r="HU51" s="252"/>
      <c r="HV51" s="252"/>
      <c r="HW51" s="252"/>
      <c r="HX51" s="252"/>
      <c r="HY51" s="252"/>
      <c r="HZ51" s="252"/>
      <c r="IA51" s="252"/>
      <c r="IB51" s="252"/>
      <c r="IC51" s="252"/>
      <c r="ID51" s="252"/>
      <c r="IE51" s="252"/>
      <c r="IF51" s="252"/>
      <c r="IG51" s="252"/>
      <c r="IH51" s="252"/>
      <c r="II51" s="252"/>
      <c r="IJ51" s="252"/>
      <c r="IK51" s="252"/>
      <c r="IL51" s="252"/>
      <c r="IM51" s="252"/>
      <c r="IN51" s="252"/>
      <c r="IO51" s="252"/>
      <c r="IP51" s="252"/>
      <c r="IQ51" s="252"/>
      <c r="IR51" s="252"/>
      <c r="IS51" s="252"/>
      <c r="IT51" s="252"/>
      <c r="IU51" s="252"/>
      <c r="IV51" s="252"/>
      <c r="IW51" s="252"/>
      <c r="IX51" s="252"/>
      <c r="IY51" s="252"/>
      <c r="IZ51" s="252"/>
      <c r="JA51" s="252"/>
      <c r="JB51" s="252"/>
      <c r="JC51" s="252"/>
      <c r="JD51" s="252"/>
      <c r="JE51" s="252"/>
      <c r="JF51" s="252"/>
      <c r="JG51" s="252"/>
      <c r="JH51" s="252"/>
      <c r="JI51" s="252"/>
      <c r="JJ51" s="252"/>
      <c r="JK51" s="252"/>
      <c r="JL51" s="252"/>
      <c r="JM51" s="252"/>
      <c r="JN51" s="252"/>
      <c r="JO51" s="252"/>
      <c r="JP51" s="252"/>
      <c r="JQ51" s="252"/>
      <c r="JR51" s="252"/>
      <c r="JS51" s="252"/>
      <c r="JT51" s="252"/>
      <c r="JU51" s="252"/>
      <c r="JV51" s="252"/>
      <c r="JW51" s="252"/>
      <c r="JX51" s="252"/>
      <c r="JY51" s="252"/>
      <c r="JZ51" s="252"/>
      <c r="KA51" s="252"/>
      <c r="KB51" s="252"/>
      <c r="KC51" s="252"/>
      <c r="KD51" s="252"/>
      <c r="KE51" s="252"/>
      <c r="KF51" s="252"/>
      <c r="KG51" s="252"/>
      <c r="KH51" s="252"/>
      <c r="KI51" s="252"/>
      <c r="KJ51" s="252"/>
      <c r="KK51" s="252"/>
      <c r="KL51" s="252"/>
      <c r="KM51" s="252"/>
      <c r="KN51" s="252"/>
      <c r="KO51" s="252"/>
      <c r="KP51" s="252"/>
      <c r="KQ51" s="252"/>
      <c r="KR51" s="252"/>
      <c r="KS51" s="252"/>
      <c r="KT51" s="252"/>
      <c r="KU51" s="252"/>
      <c r="KV51" s="252"/>
      <c r="KW51" s="252"/>
      <c r="KX51" s="252"/>
      <c r="KY51" s="252"/>
      <c r="KZ51" s="252"/>
      <c r="LA51" s="252"/>
      <c r="LB51" s="252"/>
      <c r="LC51" s="252"/>
      <c r="LD51" s="252"/>
      <c r="LE51" s="252"/>
      <c r="LF51" s="252"/>
      <c r="LG51" s="252"/>
      <c r="LH51" s="252"/>
      <c r="LI51" s="252"/>
      <c r="LJ51" s="252"/>
      <c r="LK51" s="252"/>
      <c r="LL51" s="252"/>
      <c r="LM51" s="252"/>
      <c r="LN51" s="252"/>
      <c r="LO51" s="252"/>
      <c r="LP51" s="252"/>
      <c r="LQ51" s="252"/>
      <c r="LR51" s="252"/>
      <c r="LS51" s="252"/>
      <c r="LT51" s="252"/>
      <c r="LU51" s="252"/>
      <c r="LV51" s="252"/>
      <c r="LW51" s="252"/>
      <c r="LX51" s="252"/>
      <c r="LY51" s="252"/>
      <c r="LZ51" s="252"/>
      <c r="MA51" s="252"/>
      <c r="MB51" s="252"/>
      <c r="MC51" s="252"/>
      <c r="MD51" s="252"/>
      <c r="ME51" s="252"/>
      <c r="MF51" s="252"/>
      <c r="MG51" s="252"/>
      <c r="MH51" s="252"/>
      <c r="MI51" s="252"/>
      <c r="MJ51" s="252"/>
      <c r="MK51" s="252"/>
      <c r="ML51" s="252"/>
      <c r="MM51" s="252"/>
      <c r="MN51" s="252"/>
      <c r="MO51" s="252"/>
      <c r="MP51" s="252"/>
      <c r="MQ51" s="252"/>
      <c r="MR51" s="252"/>
      <c r="MS51" s="252"/>
      <c r="MT51" s="252"/>
      <c r="MU51" s="252"/>
      <c r="MV51" s="252"/>
      <c r="MW51" s="252"/>
      <c r="MX51" s="252"/>
      <c r="MY51" s="252"/>
      <c r="MZ51" s="252"/>
      <c r="NA51" s="252"/>
      <c r="NB51" s="252"/>
      <c r="NC51" s="252"/>
      <c r="ND51" s="252"/>
      <c r="NE51" s="252"/>
      <c r="NF51" s="252"/>
      <c r="NG51" s="252"/>
      <c r="NH51" s="252"/>
      <c r="NI51" s="252"/>
      <c r="NJ51" s="252"/>
      <c r="NK51" s="252"/>
      <c r="NL51" s="252"/>
      <c r="NM51" s="252"/>
      <c r="NN51" s="252"/>
      <c r="NO51" s="252"/>
      <c r="NP51" s="252"/>
      <c r="NQ51" s="252"/>
      <c r="NR51" s="252"/>
      <c r="NS51" s="252"/>
      <c r="NT51" s="252"/>
      <c r="NU51" s="252"/>
      <c r="NV51" s="252"/>
      <c r="NW51" s="252"/>
      <c r="NX51" s="252"/>
      <c r="NY51" s="252"/>
      <c r="NZ51" s="252"/>
      <c r="OA51" s="252"/>
      <c r="OB51" s="252"/>
      <c r="OC51" s="252"/>
      <c r="OD51" s="252"/>
      <c r="OE51" s="252"/>
      <c r="OF51" s="252"/>
      <c r="OG51" s="252"/>
      <c r="OH51" s="252"/>
      <c r="OI51" s="252"/>
      <c r="OJ51" s="252"/>
      <c r="OK51" s="252"/>
      <c r="OL51" s="252"/>
      <c r="OM51" s="252"/>
      <c r="ON51" s="252"/>
      <c r="OO51" s="252"/>
      <c r="OP51" s="252"/>
      <c r="OQ51" s="252"/>
      <c r="OR51" s="252"/>
      <c r="OS51" s="252"/>
      <c r="OT51" s="252"/>
      <c r="OU51" s="252"/>
      <c r="OV51" s="252"/>
      <c r="OW51" s="252"/>
      <c r="OX51" s="252"/>
      <c r="OY51" s="252"/>
      <c r="OZ51" s="252"/>
      <c r="PA51" s="252"/>
      <c r="PB51" s="252"/>
      <c r="PC51" s="252"/>
      <c r="PD51" s="252"/>
      <c r="PE51" s="252"/>
      <c r="PF51" s="252"/>
      <c r="PG51" s="252"/>
      <c r="PH51" s="252"/>
      <c r="PI51" s="252"/>
      <c r="PJ51" s="252"/>
      <c r="PK51" s="252"/>
      <c r="PL51" s="252"/>
      <c r="PM51" s="252"/>
      <c r="PN51" s="252"/>
      <c r="PO51" s="252"/>
      <c r="PP51" s="252"/>
      <c r="PQ51" s="252"/>
      <c r="PR51" s="252"/>
      <c r="PS51" s="252"/>
      <c r="PT51" s="252"/>
      <c r="PU51" s="252"/>
      <c r="PV51" s="252"/>
      <c r="PW51" s="252"/>
      <c r="PX51" s="252"/>
      <c r="PY51" s="252"/>
      <c r="PZ51" s="252"/>
      <c r="QA51" s="252"/>
      <c r="QB51" s="252"/>
      <c r="QC51" s="252"/>
      <c r="QD51" s="252"/>
      <c r="QE51" s="252"/>
      <c r="QF51" s="252"/>
      <c r="QG51" s="252"/>
      <c r="QH51" s="252"/>
      <c r="QI51" s="252"/>
      <c r="QJ51" s="252"/>
      <c r="QK51" s="252"/>
      <c r="QL51" s="252"/>
      <c r="QM51" s="252"/>
      <c r="QN51" s="252"/>
      <c r="QO51" s="252"/>
      <c r="QP51" s="252"/>
      <c r="QQ51" s="252"/>
      <c r="QR51" s="252"/>
      <c r="QS51" s="252"/>
      <c r="QT51" s="252"/>
      <c r="QU51" s="252"/>
      <c r="QV51" s="252"/>
      <c r="QW51" s="252"/>
      <c r="QX51" s="252"/>
      <c r="QY51" s="252"/>
      <c r="QZ51" s="252"/>
      <c r="RA51" s="252"/>
      <c r="RB51" s="252"/>
      <c r="RC51" s="252"/>
      <c r="RD51" s="252"/>
      <c r="RE51" s="252"/>
      <c r="RF51" s="252"/>
      <c r="RG51" s="252"/>
      <c r="RH51" s="252"/>
      <c r="RI51" s="252"/>
      <c r="RJ51" s="252"/>
      <c r="RK51" s="252"/>
      <c r="RL51" s="252"/>
      <c r="RM51" s="252"/>
      <c r="RN51" s="252"/>
      <c r="RO51" s="252"/>
      <c r="RP51" s="252"/>
      <c r="RQ51" s="252"/>
      <c r="RR51" s="252"/>
      <c r="RS51" s="252"/>
      <c r="RT51" s="252"/>
      <c r="RU51" s="252"/>
      <c r="RV51" s="252"/>
      <c r="RW51" s="252"/>
      <c r="RX51" s="252"/>
      <c r="RY51" s="252"/>
      <c r="RZ51" s="252"/>
      <c r="SA51" s="252"/>
      <c r="SB51" s="252"/>
      <c r="SC51" s="252"/>
      <c r="SD51" s="252"/>
      <c r="SE51" s="252"/>
      <c r="SF51" s="252"/>
      <c r="SG51" s="252"/>
      <c r="SH51" s="252"/>
      <c r="SI51" s="252"/>
      <c r="SJ51" s="252"/>
      <c r="SK51" s="252"/>
      <c r="SL51" s="252"/>
      <c r="SM51" s="252"/>
      <c r="SN51" s="252"/>
      <c r="SO51" s="252"/>
      <c r="SP51" s="252"/>
      <c r="SQ51" s="252"/>
      <c r="SR51" s="252"/>
      <c r="SS51" s="252"/>
      <c r="ST51" s="252"/>
      <c r="SU51" s="252"/>
      <c r="SV51" s="252"/>
      <c r="SW51" s="252"/>
      <c r="SX51" s="252"/>
      <c r="SY51" s="252"/>
      <c r="SZ51" s="252"/>
      <c r="TA51" s="252"/>
      <c r="TB51" s="252"/>
      <c r="TC51" s="252"/>
      <c r="TD51" s="252"/>
      <c r="TE51" s="252"/>
      <c r="TF51" s="252"/>
      <c r="TG51" s="252"/>
      <c r="TH51" s="252"/>
      <c r="TI51" s="252"/>
      <c r="TJ51" s="252"/>
      <c r="TK51" s="252"/>
      <c r="TL51" s="252"/>
      <c r="TM51" s="252"/>
      <c r="TN51" s="252"/>
      <c r="TO51" s="252"/>
      <c r="TP51" s="252"/>
      <c r="TQ51" s="252"/>
      <c r="TR51" s="252"/>
      <c r="TS51" s="252"/>
      <c r="TT51" s="252"/>
      <c r="TU51" s="252"/>
      <c r="TV51" s="252"/>
      <c r="TW51" s="252"/>
      <c r="TX51" s="252"/>
      <c r="TY51" s="252"/>
      <c r="TZ51" s="252"/>
      <c r="UA51" s="252"/>
      <c r="UB51" s="252"/>
      <c r="UC51" s="252"/>
      <c r="UD51" s="252"/>
      <c r="UE51" s="252"/>
      <c r="UF51" s="252"/>
      <c r="UG51" s="252"/>
      <c r="UH51" s="252"/>
      <c r="UI51" s="252"/>
      <c r="UJ51" s="252"/>
      <c r="UK51" s="252"/>
      <c r="UL51" s="252"/>
      <c r="UM51" s="252"/>
      <c r="UN51" s="252"/>
      <c r="UO51" s="252"/>
      <c r="UP51" s="252"/>
      <c r="UQ51" s="252"/>
      <c r="UR51" s="252"/>
      <c r="US51" s="252"/>
      <c r="UT51" s="252"/>
      <c r="UU51" s="252"/>
      <c r="UV51" s="252"/>
      <c r="UW51" s="252"/>
      <c r="UX51" s="252"/>
      <c r="UY51" s="252"/>
      <c r="UZ51" s="252"/>
      <c r="VA51" s="252"/>
      <c r="VB51" s="252"/>
      <c r="VC51" s="252"/>
      <c r="VD51" s="252"/>
      <c r="VE51" s="252"/>
      <c r="VF51" s="252"/>
      <c r="VG51" s="252"/>
      <c r="VH51" s="252"/>
      <c r="VI51" s="252"/>
      <c r="VJ51" s="252"/>
      <c r="VK51" s="252"/>
      <c r="VL51" s="252"/>
      <c r="VM51" s="252"/>
      <c r="VN51" s="252"/>
      <c r="VO51" s="252"/>
      <c r="VP51" s="252"/>
      <c r="VQ51" s="252"/>
      <c r="VR51" s="252"/>
      <c r="VS51" s="252"/>
      <c r="VT51" s="252"/>
      <c r="VU51" s="252"/>
      <c r="VV51" s="252"/>
      <c r="VW51" s="252"/>
      <c r="VX51" s="252"/>
      <c r="VY51" s="252"/>
      <c r="VZ51" s="252"/>
      <c r="WA51" s="252"/>
      <c r="WB51" s="252"/>
      <c r="WC51" s="252"/>
      <c r="WD51" s="252"/>
      <c r="WE51" s="252"/>
      <c r="WF51" s="252"/>
      <c r="WG51" s="252"/>
      <c r="WH51" s="252"/>
      <c r="WI51" s="252"/>
      <c r="WJ51" s="252"/>
      <c r="WK51" s="252"/>
      <c r="WL51" s="252"/>
      <c r="WM51" s="252"/>
      <c r="WN51" s="252"/>
      <c r="WO51" s="252"/>
      <c r="WP51" s="252"/>
      <c r="WQ51" s="252"/>
      <c r="WR51" s="252"/>
      <c r="WS51" s="252"/>
      <c r="WT51" s="252"/>
      <c r="WU51" s="252"/>
      <c r="WV51" s="252"/>
      <c r="WW51" s="252"/>
      <c r="WX51" s="252"/>
      <c r="WY51" s="252"/>
      <c r="WZ51" s="252"/>
      <c r="XA51" s="252"/>
      <c r="XB51" s="252"/>
      <c r="XC51" s="252"/>
      <c r="XD51" s="252"/>
      <c r="XE51" s="252"/>
      <c r="XF51" s="252"/>
      <c r="XG51" s="252"/>
      <c r="XH51" s="252"/>
      <c r="XI51" s="252"/>
      <c r="XJ51" s="252"/>
      <c r="XK51" s="252"/>
      <c r="XL51" s="252"/>
      <c r="XM51" s="252"/>
      <c r="XN51" s="252"/>
      <c r="XO51" s="252"/>
      <c r="XP51" s="252"/>
      <c r="XQ51" s="252"/>
      <c r="XR51" s="252"/>
      <c r="XS51" s="252"/>
      <c r="XT51" s="252"/>
      <c r="XU51" s="252"/>
      <c r="XV51" s="252"/>
      <c r="XW51" s="252"/>
      <c r="XX51" s="252"/>
      <c r="XY51" s="252"/>
      <c r="XZ51" s="252"/>
      <c r="YA51" s="252"/>
      <c r="YB51" s="252"/>
      <c r="YC51" s="252"/>
      <c r="YD51" s="252"/>
      <c r="YE51" s="252"/>
      <c r="YF51" s="252"/>
      <c r="YG51" s="252"/>
      <c r="YH51" s="252"/>
      <c r="YI51" s="252"/>
      <c r="YJ51" s="252"/>
      <c r="YK51" s="252"/>
      <c r="YL51" s="252"/>
      <c r="YM51" s="252"/>
      <c r="YN51" s="252"/>
      <c r="YO51" s="252"/>
      <c r="YP51" s="252"/>
      <c r="YQ51" s="252"/>
      <c r="YR51" s="252"/>
      <c r="YS51" s="252"/>
      <c r="YT51" s="252"/>
      <c r="YU51" s="252"/>
      <c r="YV51" s="252"/>
      <c r="YW51" s="252"/>
      <c r="YX51" s="252"/>
      <c r="YY51" s="252"/>
      <c r="YZ51" s="252"/>
      <c r="ZA51" s="252"/>
      <c r="ZB51" s="252"/>
      <c r="ZC51" s="252"/>
      <c r="ZD51" s="252"/>
      <c r="ZE51" s="252"/>
      <c r="ZF51" s="252"/>
      <c r="ZG51" s="252"/>
      <c r="ZH51" s="252"/>
      <c r="ZI51" s="252"/>
      <c r="ZJ51" s="252"/>
      <c r="ZK51" s="252"/>
      <c r="ZL51" s="252"/>
      <c r="ZM51" s="252"/>
      <c r="ZN51" s="252"/>
      <c r="ZO51" s="252"/>
      <c r="ZP51" s="252"/>
      <c r="ZQ51" s="252"/>
      <c r="ZR51" s="252"/>
      <c r="ZS51" s="252"/>
      <c r="ZT51" s="252"/>
      <c r="ZU51" s="252"/>
      <c r="ZV51" s="252"/>
      <c r="ZW51" s="252"/>
      <c r="ZX51" s="252"/>
      <c r="ZY51" s="252"/>
      <c r="ZZ51" s="252"/>
      <c r="AAA51" s="252"/>
      <c r="AAB51" s="252"/>
      <c r="AAC51" s="252"/>
      <c r="AAD51" s="252"/>
      <c r="AAE51" s="252"/>
      <c r="AAF51" s="252"/>
      <c r="AAG51" s="252"/>
      <c r="AAH51" s="252"/>
      <c r="AAI51" s="252"/>
      <c r="AAJ51" s="252"/>
      <c r="AAK51" s="252"/>
      <c r="AAL51" s="252"/>
      <c r="AAM51" s="252"/>
      <c r="AAN51" s="252"/>
      <c r="AAO51" s="252"/>
      <c r="AAP51" s="252"/>
      <c r="AAQ51" s="252"/>
      <c r="AAR51" s="252"/>
      <c r="AAS51" s="252"/>
      <c r="AAT51" s="252"/>
      <c r="AAU51" s="252"/>
      <c r="AAV51" s="252"/>
      <c r="AAW51" s="252"/>
      <c r="AAX51" s="252"/>
      <c r="AAY51" s="252"/>
      <c r="AAZ51" s="252"/>
      <c r="ABA51" s="252"/>
      <c r="ABB51" s="252"/>
      <c r="ABC51" s="252"/>
      <c r="ABD51" s="252"/>
      <c r="ABE51" s="252"/>
      <c r="ABF51" s="252"/>
      <c r="ABG51" s="252"/>
      <c r="ABH51" s="252"/>
      <c r="ABI51" s="252"/>
      <c r="ABJ51" s="252"/>
      <c r="ABK51" s="252"/>
      <c r="ABL51" s="252"/>
      <c r="ABM51" s="252"/>
      <c r="ABN51" s="252"/>
      <c r="ABO51" s="252"/>
      <c r="ABP51" s="252"/>
      <c r="ABQ51" s="252"/>
      <c r="ABR51" s="252"/>
      <c r="ABS51" s="252"/>
      <c r="ABT51" s="252"/>
      <c r="ABU51" s="252"/>
      <c r="ABV51" s="252"/>
      <c r="ABW51" s="252"/>
      <c r="ABX51" s="252"/>
      <c r="ABY51" s="252"/>
      <c r="ABZ51" s="252"/>
      <c r="ACA51" s="252"/>
      <c r="ACB51" s="252"/>
      <c r="ACC51" s="252"/>
      <c r="ACD51" s="252"/>
      <c r="ACE51" s="252"/>
      <c r="ACF51" s="252"/>
      <c r="ACG51" s="252"/>
      <c r="ACH51" s="252"/>
      <c r="ACI51" s="252"/>
      <c r="ACJ51" s="252"/>
      <c r="ACK51" s="252"/>
      <c r="ACL51" s="252"/>
      <c r="ACM51" s="252"/>
      <c r="ACN51" s="252"/>
      <c r="ACO51" s="252"/>
      <c r="ACP51" s="252"/>
      <c r="ACQ51" s="252"/>
      <c r="ACR51" s="252"/>
      <c r="ACS51" s="252"/>
      <c r="ACT51" s="252"/>
      <c r="ACU51" s="252"/>
      <c r="ACV51" s="252"/>
      <c r="ACW51" s="252"/>
      <c r="ACX51" s="252"/>
      <c r="ACY51" s="252"/>
      <c r="ACZ51" s="252"/>
      <c r="ADA51" s="252"/>
      <c r="ADB51" s="252"/>
      <c r="ADC51" s="252"/>
      <c r="ADD51" s="252"/>
      <c r="ADE51" s="252"/>
      <c r="ADF51" s="252"/>
      <c r="ADG51" s="252"/>
      <c r="ADH51" s="252"/>
      <c r="ADI51" s="252"/>
      <c r="ADJ51" s="252"/>
      <c r="ADK51" s="252"/>
      <c r="ADL51" s="252"/>
      <c r="ADM51" s="252"/>
      <c r="ADN51" s="252"/>
      <c r="ADO51" s="252"/>
      <c r="ADP51" s="252"/>
      <c r="ADQ51" s="252"/>
      <c r="ADR51" s="252"/>
      <c r="ADS51" s="252"/>
      <c r="ADT51" s="252"/>
      <c r="ADU51" s="252"/>
      <c r="ADV51" s="252"/>
      <c r="ADW51" s="252"/>
      <c r="ADX51" s="252"/>
      <c r="ADY51" s="252"/>
      <c r="ADZ51" s="252"/>
      <c r="AEA51" s="252"/>
      <c r="AEB51" s="252"/>
      <c r="AEC51" s="252"/>
      <c r="AED51" s="252"/>
      <c r="AEE51" s="252"/>
      <c r="AEF51" s="252"/>
      <c r="AEG51" s="252"/>
      <c r="AEH51" s="252"/>
      <c r="AEI51" s="252"/>
      <c r="AEJ51" s="252"/>
      <c r="AEK51" s="252"/>
      <c r="AEL51" s="252"/>
      <c r="AEM51" s="252"/>
      <c r="AEN51" s="252"/>
      <c r="AEO51" s="252"/>
      <c r="AEP51" s="252"/>
      <c r="AEQ51" s="252"/>
      <c r="AER51" s="252"/>
      <c r="AES51" s="252"/>
      <c r="AET51" s="252"/>
      <c r="AEU51" s="252"/>
      <c r="AEV51" s="252"/>
      <c r="AEW51" s="252"/>
      <c r="AEX51" s="252"/>
      <c r="AEY51" s="252"/>
      <c r="AEZ51" s="252"/>
      <c r="AFA51" s="252"/>
      <c r="AFB51" s="252"/>
      <c r="AFC51" s="252"/>
      <c r="AFD51" s="252"/>
      <c r="AFE51" s="252"/>
      <c r="AFF51" s="252"/>
      <c r="AFG51" s="252"/>
      <c r="AFH51" s="252"/>
      <c r="AFI51" s="252"/>
      <c r="AFJ51" s="252"/>
      <c r="AFK51" s="252"/>
      <c r="AFL51" s="252"/>
      <c r="AFM51" s="252"/>
      <c r="AFN51" s="252"/>
      <c r="AFO51" s="252"/>
      <c r="AFP51" s="252"/>
      <c r="AFQ51" s="252"/>
      <c r="AFR51" s="252"/>
      <c r="AFS51" s="252"/>
      <c r="AFT51" s="252"/>
      <c r="AFU51" s="252"/>
      <c r="AFV51" s="252"/>
      <c r="AFW51" s="252"/>
      <c r="AFX51" s="252"/>
      <c r="AFY51" s="252"/>
      <c r="AFZ51" s="252"/>
      <c r="AGA51" s="252"/>
      <c r="AGB51" s="252"/>
      <c r="AGC51" s="252"/>
      <c r="AGD51" s="252"/>
      <c r="AGE51" s="252"/>
      <c r="AGF51" s="252"/>
      <c r="AGG51" s="252"/>
      <c r="AGH51" s="252"/>
      <c r="AGI51" s="252"/>
      <c r="AGJ51" s="252"/>
      <c r="AGK51" s="252"/>
      <c r="AGL51" s="252"/>
      <c r="AGM51" s="252"/>
      <c r="AGN51" s="252"/>
      <c r="AGO51" s="252"/>
      <c r="AGP51" s="252"/>
      <c r="AGQ51" s="252"/>
      <c r="AGR51" s="252"/>
      <c r="AGS51" s="252"/>
      <c r="AGT51" s="252"/>
      <c r="AGU51" s="252"/>
      <c r="AGV51" s="252"/>
      <c r="AGW51" s="252"/>
      <c r="AGX51" s="252"/>
      <c r="AGY51" s="252"/>
      <c r="AGZ51" s="252"/>
      <c r="AHA51" s="252"/>
      <c r="AHB51" s="252"/>
      <c r="AHC51" s="252"/>
      <c r="AHD51" s="252"/>
      <c r="AHE51" s="252"/>
      <c r="AHF51" s="252"/>
      <c r="AHG51" s="252"/>
      <c r="AHH51" s="252"/>
      <c r="AHI51" s="252"/>
      <c r="AHJ51" s="252"/>
      <c r="AHK51" s="252"/>
      <c r="AHL51" s="252"/>
      <c r="AHM51" s="252"/>
      <c r="AHN51" s="252"/>
      <c r="AHO51" s="252"/>
      <c r="AHP51" s="252"/>
      <c r="AHQ51" s="252"/>
      <c r="AHR51" s="252"/>
      <c r="AHS51" s="252"/>
      <c r="AHT51" s="252"/>
      <c r="AHU51" s="252"/>
      <c r="AHV51" s="252"/>
      <c r="AHW51" s="252"/>
      <c r="AHX51" s="252"/>
      <c r="AHY51" s="252"/>
      <c r="AHZ51" s="252"/>
      <c r="AIA51" s="252"/>
      <c r="AIB51" s="252"/>
      <c r="AIC51" s="252"/>
      <c r="AID51" s="252"/>
      <c r="AIE51" s="252"/>
      <c r="AIF51" s="252"/>
      <c r="AIG51" s="252"/>
      <c r="AIH51" s="252"/>
      <c r="AII51" s="252"/>
      <c r="AIJ51" s="252"/>
      <c r="AIK51" s="252"/>
      <c r="AIL51" s="252"/>
      <c r="AIM51" s="252"/>
      <c r="AIN51" s="252"/>
      <c r="AIO51" s="252"/>
      <c r="AIP51" s="252"/>
      <c r="AIQ51" s="252"/>
      <c r="AIR51" s="252"/>
      <c r="AIS51" s="252"/>
      <c r="AIT51" s="252"/>
      <c r="AIU51" s="252"/>
      <c r="AIV51" s="252"/>
      <c r="AIW51" s="252"/>
      <c r="AIX51" s="252"/>
      <c r="AIY51" s="252"/>
      <c r="AIZ51" s="252"/>
      <c r="AJA51" s="252"/>
      <c r="AJB51" s="252"/>
      <c r="AJC51" s="252"/>
      <c r="AJD51" s="252"/>
      <c r="AJE51" s="252"/>
      <c r="AJF51" s="252"/>
      <c r="AJG51" s="252"/>
      <c r="AJH51" s="252"/>
      <c r="AJI51" s="252"/>
      <c r="AJJ51" s="252"/>
      <c r="AJK51" s="252"/>
      <c r="AJL51" s="252"/>
      <c r="AJM51" s="252"/>
      <c r="AJN51" s="252"/>
      <c r="AJO51" s="252"/>
      <c r="AJP51" s="252"/>
      <c r="AJQ51" s="252"/>
      <c r="AJR51" s="252"/>
      <c r="AJS51" s="252"/>
      <c r="AJT51" s="252"/>
      <c r="AJU51" s="252"/>
      <c r="AJV51" s="252"/>
      <c r="AJW51" s="252"/>
      <c r="AJX51" s="252"/>
      <c r="AJY51" s="252"/>
      <c r="AJZ51" s="252"/>
      <c r="AKA51" s="252"/>
      <c r="AKB51" s="252"/>
      <c r="AKC51" s="252"/>
      <c r="AKD51" s="252"/>
      <c r="AKE51" s="252"/>
      <c r="AKF51" s="252"/>
      <c r="AKG51" s="252"/>
      <c r="AKH51" s="252"/>
      <c r="AKI51" s="252"/>
      <c r="AKJ51" s="252"/>
      <c r="AKK51" s="252"/>
      <c r="AKL51" s="252"/>
      <c r="AKM51" s="252"/>
      <c r="AKN51" s="252"/>
      <c r="AKO51" s="252"/>
      <c r="AKP51" s="252"/>
      <c r="AKQ51" s="252"/>
      <c r="AKR51" s="252"/>
      <c r="AKS51" s="252"/>
      <c r="AKT51" s="252"/>
      <c r="AKU51" s="252"/>
      <c r="AKV51" s="252"/>
      <c r="AKW51" s="252"/>
      <c r="AKX51" s="252"/>
      <c r="AKY51" s="252"/>
      <c r="AKZ51" s="252"/>
      <c r="ALA51" s="252"/>
      <c r="ALB51" s="252"/>
      <c r="ALC51" s="252"/>
      <c r="ALD51" s="252"/>
      <c r="ALE51" s="252"/>
      <c r="ALF51" s="252"/>
      <c r="ALG51" s="252"/>
      <c r="ALH51" s="252"/>
      <c r="ALI51" s="252"/>
      <c r="ALJ51" s="252"/>
      <c r="ALK51" s="252"/>
      <c r="ALL51" s="252"/>
      <c r="ALM51" s="252"/>
      <c r="ALN51" s="252"/>
      <c r="ALO51" s="252"/>
      <c r="ALP51" s="252"/>
      <c r="ALQ51" s="252"/>
      <c r="ALR51" s="252"/>
    </row>
    <row r="52" spans="1:1007" s="3" customFormat="1" x14ac:dyDescent="0.2">
      <c r="A52" s="369" t="s">
        <v>298</v>
      </c>
      <c r="B52" s="382"/>
      <c r="C52" s="382"/>
      <c r="D52" s="398">
        <v>9286</v>
      </c>
      <c r="E52" s="733"/>
      <c r="F52" s="730"/>
      <c r="G52" s="730"/>
      <c r="H52" s="730"/>
      <c r="I52" s="730"/>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252"/>
      <c r="AL52" s="252"/>
      <c r="AM52" s="252"/>
      <c r="AN52" s="252"/>
      <c r="AO52" s="252"/>
      <c r="AP52" s="252"/>
      <c r="AQ52" s="252"/>
      <c r="AR52" s="252"/>
      <c r="AS52" s="252"/>
      <c r="AT52" s="252"/>
      <c r="AU52" s="252"/>
      <c r="AV52" s="252"/>
      <c r="AW52" s="252"/>
      <c r="AX52" s="252"/>
      <c r="AY52" s="252"/>
      <c r="AZ52" s="252"/>
      <c r="BA52" s="252"/>
      <c r="BB52" s="252"/>
      <c r="BC52" s="252"/>
      <c r="BD52" s="252"/>
      <c r="BE52" s="252"/>
      <c r="BF52" s="252"/>
      <c r="BG52" s="252"/>
      <c r="BH52" s="252"/>
      <c r="BI52" s="252"/>
      <c r="BJ52" s="252"/>
      <c r="BK52" s="252"/>
      <c r="BL52" s="252"/>
      <c r="BM52" s="252"/>
      <c r="BN52" s="252"/>
      <c r="BO52" s="252"/>
      <c r="BP52" s="252"/>
      <c r="BQ52" s="252"/>
      <c r="BR52" s="252"/>
      <c r="BS52" s="252"/>
      <c r="BT52" s="252"/>
      <c r="BU52" s="252"/>
      <c r="BV52" s="252"/>
      <c r="BW52" s="252"/>
      <c r="BX52" s="252"/>
      <c r="BY52" s="252"/>
      <c r="BZ52" s="252"/>
      <c r="CA52" s="252"/>
      <c r="CB52" s="252"/>
      <c r="CC52" s="252"/>
      <c r="CD52" s="252"/>
      <c r="CE52" s="252"/>
      <c r="CF52" s="252"/>
      <c r="CG52" s="252"/>
      <c r="CH52" s="252"/>
      <c r="CI52" s="252"/>
      <c r="CJ52" s="252"/>
      <c r="CK52" s="252"/>
      <c r="CL52" s="252"/>
      <c r="CM52" s="252"/>
      <c r="CN52" s="252"/>
      <c r="CO52" s="252"/>
      <c r="CP52" s="252"/>
      <c r="CQ52" s="252"/>
      <c r="CR52" s="252"/>
      <c r="CS52" s="252"/>
      <c r="CT52" s="252"/>
      <c r="CU52" s="252"/>
      <c r="CV52" s="252"/>
      <c r="CW52" s="252"/>
      <c r="CX52" s="252"/>
      <c r="CY52" s="252"/>
      <c r="CZ52" s="252"/>
      <c r="DA52" s="252"/>
      <c r="DB52" s="252"/>
      <c r="DC52" s="252"/>
      <c r="DD52" s="252"/>
      <c r="DE52" s="252"/>
      <c r="DF52" s="252"/>
      <c r="DG52" s="252"/>
      <c r="DH52" s="252"/>
      <c r="DI52" s="252"/>
      <c r="DJ52" s="252"/>
      <c r="DK52" s="252"/>
      <c r="DL52" s="252"/>
      <c r="DM52" s="252"/>
      <c r="DN52" s="252"/>
      <c r="DO52" s="252"/>
      <c r="DP52" s="252"/>
      <c r="DQ52" s="252"/>
      <c r="DR52" s="252"/>
      <c r="DS52" s="252"/>
      <c r="DT52" s="252"/>
      <c r="DU52" s="252"/>
      <c r="DV52" s="252"/>
      <c r="DW52" s="252"/>
      <c r="DX52" s="252"/>
      <c r="DY52" s="252"/>
      <c r="DZ52" s="252"/>
      <c r="EA52" s="252"/>
      <c r="EB52" s="252"/>
      <c r="EC52" s="252"/>
      <c r="ED52" s="252"/>
      <c r="EE52" s="252"/>
      <c r="EF52" s="252"/>
      <c r="EG52" s="252"/>
      <c r="EH52" s="252"/>
      <c r="EI52" s="252"/>
      <c r="EJ52" s="252"/>
      <c r="EK52" s="252"/>
      <c r="EL52" s="252"/>
      <c r="EM52" s="252"/>
      <c r="EN52" s="252"/>
      <c r="EO52" s="252"/>
      <c r="EP52" s="252"/>
      <c r="EQ52" s="252"/>
      <c r="ER52" s="252"/>
      <c r="ES52" s="252"/>
      <c r="ET52" s="252"/>
      <c r="EU52" s="252"/>
      <c r="EV52" s="252"/>
      <c r="EW52" s="252"/>
      <c r="EX52" s="252"/>
      <c r="EY52" s="252"/>
      <c r="EZ52" s="252"/>
      <c r="FA52" s="252"/>
      <c r="FB52" s="252"/>
      <c r="FC52" s="252"/>
      <c r="FD52" s="252"/>
      <c r="FE52" s="252"/>
      <c r="FF52" s="252"/>
      <c r="FG52" s="252"/>
      <c r="FH52" s="252"/>
      <c r="FI52" s="252"/>
      <c r="FJ52" s="252"/>
      <c r="FK52" s="252"/>
      <c r="FL52" s="252"/>
      <c r="FM52" s="252"/>
      <c r="FN52" s="252"/>
      <c r="FO52" s="252"/>
      <c r="FP52" s="252"/>
      <c r="FQ52" s="252"/>
      <c r="FR52" s="252"/>
      <c r="FS52" s="252"/>
      <c r="FT52" s="252"/>
      <c r="FU52" s="252"/>
      <c r="FV52" s="252"/>
      <c r="FW52" s="252"/>
      <c r="FX52" s="252"/>
      <c r="FY52" s="252"/>
      <c r="FZ52" s="252"/>
      <c r="GA52" s="252"/>
      <c r="GB52" s="252"/>
      <c r="GC52" s="252"/>
      <c r="GD52" s="252"/>
      <c r="GE52" s="252"/>
      <c r="GF52" s="252"/>
      <c r="GG52" s="252"/>
      <c r="GH52" s="252"/>
      <c r="GI52" s="252"/>
      <c r="GJ52" s="252"/>
      <c r="GK52" s="252"/>
      <c r="GL52" s="252"/>
      <c r="GM52" s="252"/>
      <c r="GN52" s="252"/>
      <c r="GO52" s="252"/>
      <c r="GP52" s="252"/>
      <c r="GQ52" s="252"/>
      <c r="GR52" s="252"/>
      <c r="GS52" s="252"/>
      <c r="GT52" s="252"/>
      <c r="GU52" s="252"/>
      <c r="GV52" s="252"/>
      <c r="GW52" s="252"/>
      <c r="GX52" s="252"/>
      <c r="GY52" s="252"/>
      <c r="GZ52" s="252"/>
      <c r="HA52" s="252"/>
      <c r="HB52" s="252"/>
      <c r="HC52" s="252"/>
      <c r="HD52" s="252"/>
      <c r="HE52" s="252"/>
      <c r="HF52" s="252"/>
      <c r="HG52" s="252"/>
      <c r="HH52" s="252"/>
      <c r="HI52" s="252"/>
      <c r="HJ52" s="252"/>
      <c r="HK52" s="252"/>
      <c r="HL52" s="252"/>
      <c r="HM52" s="252"/>
      <c r="HN52" s="252"/>
      <c r="HO52" s="252"/>
      <c r="HP52" s="252"/>
      <c r="HQ52" s="252"/>
      <c r="HR52" s="252"/>
      <c r="HS52" s="252"/>
      <c r="HT52" s="252"/>
      <c r="HU52" s="252"/>
      <c r="HV52" s="252"/>
      <c r="HW52" s="252"/>
      <c r="HX52" s="252"/>
      <c r="HY52" s="252"/>
      <c r="HZ52" s="252"/>
      <c r="IA52" s="252"/>
      <c r="IB52" s="252"/>
      <c r="IC52" s="252"/>
      <c r="ID52" s="252"/>
      <c r="IE52" s="252"/>
      <c r="IF52" s="252"/>
      <c r="IG52" s="252"/>
      <c r="IH52" s="252"/>
      <c r="II52" s="252"/>
      <c r="IJ52" s="252"/>
      <c r="IK52" s="252"/>
      <c r="IL52" s="252"/>
      <c r="IM52" s="252"/>
      <c r="IN52" s="252"/>
      <c r="IO52" s="252"/>
      <c r="IP52" s="252"/>
      <c r="IQ52" s="252"/>
      <c r="IR52" s="252"/>
      <c r="IS52" s="252"/>
      <c r="IT52" s="252"/>
      <c r="IU52" s="252"/>
      <c r="IV52" s="252"/>
      <c r="IW52" s="252"/>
      <c r="IX52" s="252"/>
      <c r="IY52" s="252"/>
      <c r="IZ52" s="252"/>
      <c r="JA52" s="252"/>
      <c r="JB52" s="252"/>
      <c r="JC52" s="252"/>
      <c r="JD52" s="252"/>
      <c r="JE52" s="252"/>
      <c r="JF52" s="252"/>
      <c r="JG52" s="252"/>
      <c r="JH52" s="252"/>
      <c r="JI52" s="252"/>
      <c r="JJ52" s="252"/>
      <c r="JK52" s="252"/>
      <c r="JL52" s="252"/>
      <c r="JM52" s="252"/>
      <c r="JN52" s="252"/>
      <c r="JO52" s="252"/>
      <c r="JP52" s="252"/>
      <c r="JQ52" s="252"/>
      <c r="JR52" s="252"/>
      <c r="JS52" s="252"/>
      <c r="JT52" s="252"/>
      <c r="JU52" s="252"/>
      <c r="JV52" s="252"/>
      <c r="JW52" s="252"/>
      <c r="JX52" s="252"/>
      <c r="JY52" s="252"/>
      <c r="JZ52" s="252"/>
      <c r="KA52" s="252"/>
      <c r="KB52" s="252"/>
      <c r="KC52" s="252"/>
      <c r="KD52" s="252"/>
      <c r="KE52" s="252"/>
      <c r="KF52" s="252"/>
      <c r="KG52" s="252"/>
      <c r="KH52" s="252"/>
      <c r="KI52" s="252"/>
      <c r="KJ52" s="252"/>
      <c r="KK52" s="252"/>
      <c r="KL52" s="252"/>
      <c r="KM52" s="252"/>
      <c r="KN52" s="252"/>
      <c r="KO52" s="252"/>
      <c r="KP52" s="252"/>
      <c r="KQ52" s="252"/>
      <c r="KR52" s="252"/>
      <c r="KS52" s="252"/>
      <c r="KT52" s="252"/>
      <c r="KU52" s="252"/>
      <c r="KV52" s="252"/>
      <c r="KW52" s="252"/>
      <c r="KX52" s="252"/>
      <c r="KY52" s="252"/>
      <c r="KZ52" s="252"/>
      <c r="LA52" s="252"/>
      <c r="LB52" s="252"/>
      <c r="LC52" s="252"/>
      <c r="LD52" s="252"/>
      <c r="LE52" s="252"/>
      <c r="LF52" s="252"/>
      <c r="LG52" s="252"/>
      <c r="LH52" s="252"/>
      <c r="LI52" s="252"/>
      <c r="LJ52" s="252"/>
      <c r="LK52" s="252"/>
      <c r="LL52" s="252"/>
      <c r="LM52" s="252"/>
      <c r="LN52" s="252"/>
      <c r="LO52" s="252"/>
      <c r="LP52" s="252"/>
      <c r="LQ52" s="252"/>
      <c r="LR52" s="252"/>
      <c r="LS52" s="252"/>
      <c r="LT52" s="252"/>
      <c r="LU52" s="252"/>
      <c r="LV52" s="252"/>
      <c r="LW52" s="252"/>
      <c r="LX52" s="252"/>
      <c r="LY52" s="252"/>
      <c r="LZ52" s="252"/>
      <c r="MA52" s="252"/>
      <c r="MB52" s="252"/>
      <c r="MC52" s="252"/>
      <c r="MD52" s="252"/>
      <c r="ME52" s="252"/>
      <c r="MF52" s="252"/>
      <c r="MG52" s="252"/>
      <c r="MH52" s="252"/>
      <c r="MI52" s="252"/>
      <c r="MJ52" s="252"/>
      <c r="MK52" s="252"/>
      <c r="ML52" s="252"/>
      <c r="MM52" s="252"/>
      <c r="MN52" s="252"/>
      <c r="MO52" s="252"/>
      <c r="MP52" s="252"/>
      <c r="MQ52" s="252"/>
      <c r="MR52" s="252"/>
      <c r="MS52" s="252"/>
      <c r="MT52" s="252"/>
      <c r="MU52" s="252"/>
      <c r="MV52" s="252"/>
      <c r="MW52" s="252"/>
      <c r="MX52" s="252"/>
      <c r="MY52" s="252"/>
      <c r="MZ52" s="252"/>
      <c r="NA52" s="252"/>
      <c r="NB52" s="252"/>
      <c r="NC52" s="252"/>
      <c r="ND52" s="252"/>
      <c r="NE52" s="252"/>
      <c r="NF52" s="252"/>
      <c r="NG52" s="252"/>
      <c r="NH52" s="252"/>
      <c r="NI52" s="252"/>
      <c r="NJ52" s="252"/>
      <c r="NK52" s="252"/>
      <c r="NL52" s="252"/>
      <c r="NM52" s="252"/>
      <c r="NN52" s="252"/>
      <c r="NO52" s="252"/>
      <c r="NP52" s="252"/>
      <c r="NQ52" s="252"/>
      <c r="NR52" s="252"/>
      <c r="NS52" s="252"/>
      <c r="NT52" s="252"/>
      <c r="NU52" s="252"/>
      <c r="NV52" s="252"/>
      <c r="NW52" s="252"/>
      <c r="NX52" s="252"/>
      <c r="NY52" s="252"/>
      <c r="NZ52" s="252"/>
      <c r="OA52" s="252"/>
      <c r="OB52" s="252"/>
      <c r="OC52" s="252"/>
      <c r="OD52" s="252"/>
      <c r="OE52" s="252"/>
      <c r="OF52" s="252"/>
      <c r="OG52" s="252"/>
      <c r="OH52" s="252"/>
      <c r="OI52" s="252"/>
      <c r="OJ52" s="252"/>
      <c r="OK52" s="252"/>
      <c r="OL52" s="252"/>
      <c r="OM52" s="252"/>
      <c r="ON52" s="252"/>
      <c r="OO52" s="252"/>
      <c r="OP52" s="252"/>
      <c r="OQ52" s="252"/>
      <c r="OR52" s="252"/>
      <c r="OS52" s="252"/>
      <c r="OT52" s="252"/>
      <c r="OU52" s="252"/>
      <c r="OV52" s="252"/>
      <c r="OW52" s="252"/>
      <c r="OX52" s="252"/>
      <c r="OY52" s="252"/>
      <c r="OZ52" s="252"/>
      <c r="PA52" s="252"/>
      <c r="PB52" s="252"/>
      <c r="PC52" s="252"/>
      <c r="PD52" s="252"/>
      <c r="PE52" s="252"/>
      <c r="PF52" s="252"/>
      <c r="PG52" s="252"/>
      <c r="PH52" s="252"/>
      <c r="PI52" s="252"/>
      <c r="PJ52" s="252"/>
      <c r="PK52" s="252"/>
      <c r="PL52" s="252"/>
      <c r="PM52" s="252"/>
      <c r="PN52" s="252"/>
      <c r="PO52" s="252"/>
      <c r="PP52" s="252"/>
      <c r="PQ52" s="252"/>
      <c r="PR52" s="252"/>
      <c r="PS52" s="252"/>
      <c r="PT52" s="252"/>
      <c r="PU52" s="252"/>
      <c r="PV52" s="252"/>
      <c r="PW52" s="252"/>
      <c r="PX52" s="252"/>
      <c r="PY52" s="252"/>
      <c r="PZ52" s="252"/>
      <c r="QA52" s="252"/>
      <c r="QB52" s="252"/>
      <c r="QC52" s="252"/>
      <c r="QD52" s="252"/>
      <c r="QE52" s="252"/>
      <c r="QF52" s="252"/>
      <c r="QG52" s="252"/>
      <c r="QH52" s="252"/>
      <c r="QI52" s="252"/>
      <c r="QJ52" s="252"/>
      <c r="QK52" s="252"/>
      <c r="QL52" s="252"/>
      <c r="QM52" s="252"/>
      <c r="QN52" s="252"/>
      <c r="QO52" s="252"/>
      <c r="QP52" s="252"/>
      <c r="QQ52" s="252"/>
      <c r="QR52" s="252"/>
      <c r="QS52" s="252"/>
      <c r="QT52" s="252"/>
      <c r="QU52" s="252"/>
      <c r="QV52" s="252"/>
      <c r="QW52" s="252"/>
      <c r="QX52" s="252"/>
      <c r="QY52" s="252"/>
      <c r="QZ52" s="252"/>
      <c r="RA52" s="252"/>
      <c r="RB52" s="252"/>
      <c r="RC52" s="252"/>
      <c r="RD52" s="252"/>
      <c r="RE52" s="252"/>
      <c r="RF52" s="252"/>
      <c r="RG52" s="252"/>
      <c r="RH52" s="252"/>
      <c r="RI52" s="252"/>
      <c r="RJ52" s="252"/>
      <c r="RK52" s="252"/>
      <c r="RL52" s="252"/>
      <c r="RM52" s="252"/>
      <c r="RN52" s="252"/>
      <c r="RO52" s="252"/>
      <c r="RP52" s="252"/>
      <c r="RQ52" s="252"/>
      <c r="RR52" s="252"/>
      <c r="RS52" s="252"/>
      <c r="RT52" s="252"/>
      <c r="RU52" s="252"/>
      <c r="RV52" s="252"/>
      <c r="RW52" s="252"/>
      <c r="RX52" s="252"/>
      <c r="RY52" s="252"/>
      <c r="RZ52" s="252"/>
      <c r="SA52" s="252"/>
      <c r="SB52" s="252"/>
      <c r="SC52" s="252"/>
      <c r="SD52" s="252"/>
      <c r="SE52" s="252"/>
      <c r="SF52" s="252"/>
      <c r="SG52" s="252"/>
      <c r="SH52" s="252"/>
      <c r="SI52" s="252"/>
      <c r="SJ52" s="252"/>
      <c r="SK52" s="252"/>
      <c r="SL52" s="252"/>
      <c r="SM52" s="252"/>
      <c r="SN52" s="252"/>
      <c r="SO52" s="252"/>
      <c r="SP52" s="252"/>
      <c r="SQ52" s="252"/>
      <c r="SR52" s="252"/>
      <c r="SS52" s="252"/>
      <c r="ST52" s="252"/>
      <c r="SU52" s="252"/>
      <c r="SV52" s="252"/>
      <c r="SW52" s="252"/>
      <c r="SX52" s="252"/>
      <c r="SY52" s="252"/>
      <c r="SZ52" s="252"/>
      <c r="TA52" s="252"/>
      <c r="TB52" s="252"/>
      <c r="TC52" s="252"/>
      <c r="TD52" s="252"/>
      <c r="TE52" s="252"/>
      <c r="TF52" s="252"/>
      <c r="TG52" s="252"/>
      <c r="TH52" s="252"/>
      <c r="TI52" s="252"/>
      <c r="TJ52" s="252"/>
      <c r="TK52" s="252"/>
      <c r="TL52" s="252"/>
      <c r="TM52" s="252"/>
      <c r="TN52" s="252"/>
      <c r="TO52" s="252"/>
      <c r="TP52" s="252"/>
      <c r="TQ52" s="252"/>
      <c r="TR52" s="252"/>
      <c r="TS52" s="252"/>
      <c r="TT52" s="252"/>
      <c r="TU52" s="252"/>
      <c r="TV52" s="252"/>
      <c r="TW52" s="252"/>
      <c r="TX52" s="252"/>
      <c r="TY52" s="252"/>
      <c r="TZ52" s="252"/>
      <c r="UA52" s="252"/>
      <c r="UB52" s="252"/>
      <c r="UC52" s="252"/>
      <c r="UD52" s="252"/>
      <c r="UE52" s="252"/>
      <c r="UF52" s="252"/>
      <c r="UG52" s="252"/>
      <c r="UH52" s="252"/>
      <c r="UI52" s="252"/>
      <c r="UJ52" s="252"/>
      <c r="UK52" s="252"/>
      <c r="UL52" s="252"/>
      <c r="UM52" s="252"/>
      <c r="UN52" s="252"/>
      <c r="UO52" s="252"/>
      <c r="UP52" s="252"/>
      <c r="UQ52" s="252"/>
      <c r="UR52" s="252"/>
      <c r="US52" s="252"/>
      <c r="UT52" s="252"/>
      <c r="UU52" s="252"/>
      <c r="UV52" s="252"/>
      <c r="UW52" s="252"/>
      <c r="UX52" s="252"/>
      <c r="UY52" s="252"/>
      <c r="UZ52" s="252"/>
      <c r="VA52" s="252"/>
      <c r="VB52" s="252"/>
      <c r="VC52" s="252"/>
      <c r="VD52" s="252"/>
      <c r="VE52" s="252"/>
      <c r="VF52" s="252"/>
      <c r="VG52" s="252"/>
      <c r="VH52" s="252"/>
      <c r="VI52" s="252"/>
      <c r="VJ52" s="252"/>
      <c r="VK52" s="252"/>
      <c r="VL52" s="252"/>
      <c r="VM52" s="252"/>
      <c r="VN52" s="252"/>
      <c r="VO52" s="252"/>
      <c r="VP52" s="252"/>
      <c r="VQ52" s="252"/>
      <c r="VR52" s="252"/>
      <c r="VS52" s="252"/>
      <c r="VT52" s="252"/>
      <c r="VU52" s="252"/>
      <c r="VV52" s="252"/>
      <c r="VW52" s="252"/>
      <c r="VX52" s="252"/>
      <c r="VY52" s="252"/>
      <c r="VZ52" s="252"/>
      <c r="WA52" s="252"/>
      <c r="WB52" s="252"/>
      <c r="WC52" s="252"/>
      <c r="WD52" s="252"/>
      <c r="WE52" s="252"/>
      <c r="WF52" s="252"/>
      <c r="WG52" s="252"/>
      <c r="WH52" s="252"/>
      <c r="WI52" s="252"/>
      <c r="WJ52" s="252"/>
      <c r="WK52" s="252"/>
      <c r="WL52" s="252"/>
      <c r="WM52" s="252"/>
      <c r="WN52" s="252"/>
      <c r="WO52" s="252"/>
      <c r="WP52" s="252"/>
      <c r="WQ52" s="252"/>
      <c r="WR52" s="252"/>
      <c r="WS52" s="252"/>
      <c r="WT52" s="252"/>
      <c r="WU52" s="252"/>
      <c r="WV52" s="252"/>
      <c r="WW52" s="252"/>
      <c r="WX52" s="252"/>
      <c r="WY52" s="252"/>
      <c r="WZ52" s="252"/>
      <c r="XA52" s="252"/>
      <c r="XB52" s="252"/>
      <c r="XC52" s="252"/>
      <c r="XD52" s="252"/>
      <c r="XE52" s="252"/>
      <c r="XF52" s="252"/>
      <c r="XG52" s="252"/>
      <c r="XH52" s="252"/>
      <c r="XI52" s="252"/>
      <c r="XJ52" s="252"/>
      <c r="XK52" s="252"/>
      <c r="XL52" s="252"/>
      <c r="XM52" s="252"/>
      <c r="XN52" s="252"/>
      <c r="XO52" s="252"/>
      <c r="XP52" s="252"/>
      <c r="XQ52" s="252"/>
      <c r="XR52" s="252"/>
      <c r="XS52" s="252"/>
      <c r="XT52" s="252"/>
      <c r="XU52" s="252"/>
      <c r="XV52" s="252"/>
      <c r="XW52" s="252"/>
      <c r="XX52" s="252"/>
      <c r="XY52" s="252"/>
      <c r="XZ52" s="252"/>
      <c r="YA52" s="252"/>
      <c r="YB52" s="252"/>
      <c r="YC52" s="252"/>
      <c r="YD52" s="252"/>
      <c r="YE52" s="252"/>
      <c r="YF52" s="252"/>
      <c r="YG52" s="252"/>
      <c r="YH52" s="252"/>
      <c r="YI52" s="252"/>
      <c r="YJ52" s="252"/>
      <c r="YK52" s="252"/>
      <c r="YL52" s="252"/>
      <c r="YM52" s="252"/>
      <c r="YN52" s="252"/>
      <c r="YO52" s="252"/>
      <c r="YP52" s="252"/>
      <c r="YQ52" s="252"/>
      <c r="YR52" s="252"/>
      <c r="YS52" s="252"/>
      <c r="YT52" s="252"/>
      <c r="YU52" s="252"/>
      <c r="YV52" s="252"/>
      <c r="YW52" s="252"/>
      <c r="YX52" s="252"/>
      <c r="YY52" s="252"/>
      <c r="YZ52" s="252"/>
      <c r="ZA52" s="252"/>
      <c r="ZB52" s="252"/>
      <c r="ZC52" s="252"/>
      <c r="ZD52" s="252"/>
      <c r="ZE52" s="252"/>
      <c r="ZF52" s="252"/>
      <c r="ZG52" s="252"/>
      <c r="ZH52" s="252"/>
      <c r="ZI52" s="252"/>
      <c r="ZJ52" s="252"/>
      <c r="ZK52" s="252"/>
      <c r="ZL52" s="252"/>
      <c r="ZM52" s="252"/>
      <c r="ZN52" s="252"/>
      <c r="ZO52" s="252"/>
      <c r="ZP52" s="252"/>
      <c r="ZQ52" s="252"/>
      <c r="ZR52" s="252"/>
      <c r="ZS52" s="252"/>
      <c r="ZT52" s="252"/>
      <c r="ZU52" s="252"/>
      <c r="ZV52" s="252"/>
      <c r="ZW52" s="252"/>
      <c r="ZX52" s="252"/>
      <c r="ZY52" s="252"/>
      <c r="ZZ52" s="252"/>
      <c r="AAA52" s="252"/>
      <c r="AAB52" s="252"/>
      <c r="AAC52" s="252"/>
      <c r="AAD52" s="252"/>
      <c r="AAE52" s="252"/>
      <c r="AAF52" s="252"/>
      <c r="AAG52" s="252"/>
      <c r="AAH52" s="252"/>
      <c r="AAI52" s="252"/>
      <c r="AAJ52" s="252"/>
      <c r="AAK52" s="252"/>
      <c r="AAL52" s="252"/>
      <c r="AAM52" s="252"/>
      <c r="AAN52" s="252"/>
      <c r="AAO52" s="252"/>
      <c r="AAP52" s="252"/>
      <c r="AAQ52" s="252"/>
      <c r="AAR52" s="252"/>
      <c r="AAS52" s="252"/>
      <c r="AAT52" s="252"/>
      <c r="AAU52" s="252"/>
      <c r="AAV52" s="252"/>
      <c r="AAW52" s="252"/>
      <c r="AAX52" s="252"/>
      <c r="AAY52" s="252"/>
      <c r="AAZ52" s="252"/>
      <c r="ABA52" s="252"/>
      <c r="ABB52" s="252"/>
      <c r="ABC52" s="252"/>
      <c r="ABD52" s="252"/>
      <c r="ABE52" s="252"/>
      <c r="ABF52" s="252"/>
      <c r="ABG52" s="252"/>
      <c r="ABH52" s="252"/>
      <c r="ABI52" s="252"/>
      <c r="ABJ52" s="252"/>
      <c r="ABK52" s="252"/>
      <c r="ABL52" s="252"/>
      <c r="ABM52" s="252"/>
      <c r="ABN52" s="252"/>
      <c r="ABO52" s="252"/>
      <c r="ABP52" s="252"/>
      <c r="ABQ52" s="252"/>
      <c r="ABR52" s="252"/>
      <c r="ABS52" s="252"/>
      <c r="ABT52" s="252"/>
      <c r="ABU52" s="252"/>
      <c r="ABV52" s="252"/>
      <c r="ABW52" s="252"/>
      <c r="ABX52" s="252"/>
      <c r="ABY52" s="252"/>
      <c r="ABZ52" s="252"/>
      <c r="ACA52" s="252"/>
      <c r="ACB52" s="252"/>
      <c r="ACC52" s="252"/>
      <c r="ACD52" s="252"/>
      <c r="ACE52" s="252"/>
      <c r="ACF52" s="252"/>
      <c r="ACG52" s="252"/>
      <c r="ACH52" s="252"/>
      <c r="ACI52" s="252"/>
      <c r="ACJ52" s="252"/>
      <c r="ACK52" s="252"/>
      <c r="ACL52" s="252"/>
      <c r="ACM52" s="252"/>
      <c r="ACN52" s="252"/>
      <c r="ACO52" s="252"/>
      <c r="ACP52" s="252"/>
      <c r="ACQ52" s="252"/>
      <c r="ACR52" s="252"/>
      <c r="ACS52" s="252"/>
      <c r="ACT52" s="252"/>
      <c r="ACU52" s="252"/>
      <c r="ACV52" s="252"/>
      <c r="ACW52" s="252"/>
      <c r="ACX52" s="252"/>
      <c r="ACY52" s="252"/>
      <c r="ACZ52" s="252"/>
      <c r="ADA52" s="252"/>
      <c r="ADB52" s="252"/>
      <c r="ADC52" s="252"/>
      <c r="ADD52" s="252"/>
      <c r="ADE52" s="252"/>
      <c r="ADF52" s="252"/>
      <c r="ADG52" s="252"/>
      <c r="ADH52" s="252"/>
      <c r="ADI52" s="252"/>
      <c r="ADJ52" s="252"/>
      <c r="ADK52" s="252"/>
      <c r="ADL52" s="252"/>
      <c r="ADM52" s="252"/>
      <c r="ADN52" s="252"/>
      <c r="ADO52" s="252"/>
      <c r="ADP52" s="252"/>
      <c r="ADQ52" s="252"/>
      <c r="ADR52" s="252"/>
      <c r="ADS52" s="252"/>
      <c r="ADT52" s="252"/>
      <c r="ADU52" s="252"/>
      <c r="ADV52" s="252"/>
      <c r="ADW52" s="252"/>
      <c r="ADX52" s="252"/>
      <c r="ADY52" s="252"/>
      <c r="ADZ52" s="252"/>
      <c r="AEA52" s="252"/>
      <c r="AEB52" s="252"/>
      <c r="AEC52" s="252"/>
      <c r="AED52" s="252"/>
      <c r="AEE52" s="252"/>
      <c r="AEF52" s="252"/>
      <c r="AEG52" s="252"/>
      <c r="AEH52" s="252"/>
      <c r="AEI52" s="252"/>
      <c r="AEJ52" s="252"/>
      <c r="AEK52" s="252"/>
      <c r="AEL52" s="252"/>
      <c r="AEM52" s="252"/>
      <c r="AEN52" s="252"/>
      <c r="AEO52" s="252"/>
      <c r="AEP52" s="252"/>
      <c r="AEQ52" s="252"/>
      <c r="AER52" s="252"/>
      <c r="AES52" s="252"/>
      <c r="AET52" s="252"/>
      <c r="AEU52" s="252"/>
      <c r="AEV52" s="252"/>
      <c r="AEW52" s="252"/>
      <c r="AEX52" s="252"/>
      <c r="AEY52" s="252"/>
      <c r="AEZ52" s="252"/>
      <c r="AFA52" s="252"/>
      <c r="AFB52" s="252"/>
      <c r="AFC52" s="252"/>
      <c r="AFD52" s="252"/>
      <c r="AFE52" s="252"/>
      <c r="AFF52" s="252"/>
      <c r="AFG52" s="252"/>
      <c r="AFH52" s="252"/>
      <c r="AFI52" s="252"/>
      <c r="AFJ52" s="252"/>
      <c r="AFK52" s="252"/>
      <c r="AFL52" s="252"/>
      <c r="AFM52" s="252"/>
      <c r="AFN52" s="252"/>
      <c r="AFO52" s="252"/>
      <c r="AFP52" s="252"/>
      <c r="AFQ52" s="252"/>
      <c r="AFR52" s="252"/>
      <c r="AFS52" s="252"/>
      <c r="AFT52" s="252"/>
      <c r="AFU52" s="252"/>
      <c r="AFV52" s="252"/>
      <c r="AFW52" s="252"/>
      <c r="AFX52" s="252"/>
      <c r="AFY52" s="252"/>
      <c r="AFZ52" s="252"/>
      <c r="AGA52" s="252"/>
      <c r="AGB52" s="252"/>
      <c r="AGC52" s="252"/>
      <c r="AGD52" s="252"/>
      <c r="AGE52" s="252"/>
      <c r="AGF52" s="252"/>
      <c r="AGG52" s="252"/>
      <c r="AGH52" s="252"/>
      <c r="AGI52" s="252"/>
      <c r="AGJ52" s="252"/>
      <c r="AGK52" s="252"/>
      <c r="AGL52" s="252"/>
      <c r="AGM52" s="252"/>
      <c r="AGN52" s="252"/>
      <c r="AGO52" s="252"/>
      <c r="AGP52" s="252"/>
      <c r="AGQ52" s="252"/>
      <c r="AGR52" s="252"/>
      <c r="AGS52" s="252"/>
      <c r="AGT52" s="252"/>
      <c r="AGU52" s="252"/>
      <c r="AGV52" s="252"/>
      <c r="AGW52" s="252"/>
      <c r="AGX52" s="252"/>
      <c r="AGY52" s="252"/>
      <c r="AGZ52" s="252"/>
      <c r="AHA52" s="252"/>
      <c r="AHB52" s="252"/>
      <c r="AHC52" s="252"/>
      <c r="AHD52" s="252"/>
      <c r="AHE52" s="252"/>
      <c r="AHF52" s="252"/>
      <c r="AHG52" s="252"/>
      <c r="AHH52" s="252"/>
      <c r="AHI52" s="252"/>
      <c r="AHJ52" s="252"/>
      <c r="AHK52" s="252"/>
      <c r="AHL52" s="252"/>
      <c r="AHM52" s="252"/>
      <c r="AHN52" s="252"/>
      <c r="AHO52" s="252"/>
      <c r="AHP52" s="252"/>
      <c r="AHQ52" s="252"/>
      <c r="AHR52" s="252"/>
      <c r="AHS52" s="252"/>
      <c r="AHT52" s="252"/>
      <c r="AHU52" s="252"/>
      <c r="AHV52" s="252"/>
      <c r="AHW52" s="252"/>
      <c r="AHX52" s="252"/>
      <c r="AHY52" s="252"/>
      <c r="AHZ52" s="252"/>
      <c r="AIA52" s="252"/>
      <c r="AIB52" s="252"/>
      <c r="AIC52" s="252"/>
      <c r="AID52" s="252"/>
      <c r="AIE52" s="252"/>
      <c r="AIF52" s="252"/>
      <c r="AIG52" s="252"/>
      <c r="AIH52" s="252"/>
      <c r="AII52" s="252"/>
      <c r="AIJ52" s="252"/>
      <c r="AIK52" s="252"/>
      <c r="AIL52" s="252"/>
      <c r="AIM52" s="252"/>
      <c r="AIN52" s="252"/>
      <c r="AIO52" s="252"/>
      <c r="AIP52" s="252"/>
      <c r="AIQ52" s="252"/>
      <c r="AIR52" s="252"/>
      <c r="AIS52" s="252"/>
      <c r="AIT52" s="252"/>
      <c r="AIU52" s="252"/>
      <c r="AIV52" s="252"/>
      <c r="AIW52" s="252"/>
      <c r="AIX52" s="252"/>
      <c r="AIY52" s="252"/>
      <c r="AIZ52" s="252"/>
      <c r="AJA52" s="252"/>
      <c r="AJB52" s="252"/>
      <c r="AJC52" s="252"/>
      <c r="AJD52" s="252"/>
      <c r="AJE52" s="252"/>
      <c r="AJF52" s="252"/>
      <c r="AJG52" s="252"/>
      <c r="AJH52" s="252"/>
      <c r="AJI52" s="252"/>
      <c r="AJJ52" s="252"/>
      <c r="AJK52" s="252"/>
      <c r="AJL52" s="252"/>
      <c r="AJM52" s="252"/>
      <c r="AJN52" s="252"/>
      <c r="AJO52" s="252"/>
      <c r="AJP52" s="252"/>
      <c r="AJQ52" s="252"/>
      <c r="AJR52" s="252"/>
      <c r="AJS52" s="252"/>
      <c r="AJT52" s="252"/>
      <c r="AJU52" s="252"/>
      <c r="AJV52" s="252"/>
      <c r="AJW52" s="252"/>
      <c r="AJX52" s="252"/>
      <c r="AJY52" s="252"/>
      <c r="AJZ52" s="252"/>
      <c r="AKA52" s="252"/>
      <c r="AKB52" s="252"/>
      <c r="AKC52" s="252"/>
      <c r="AKD52" s="252"/>
      <c r="AKE52" s="252"/>
      <c r="AKF52" s="252"/>
      <c r="AKG52" s="252"/>
      <c r="AKH52" s="252"/>
      <c r="AKI52" s="252"/>
      <c r="AKJ52" s="252"/>
      <c r="AKK52" s="252"/>
      <c r="AKL52" s="252"/>
      <c r="AKM52" s="252"/>
      <c r="AKN52" s="252"/>
      <c r="AKO52" s="252"/>
      <c r="AKP52" s="252"/>
      <c r="AKQ52" s="252"/>
      <c r="AKR52" s="252"/>
      <c r="AKS52" s="252"/>
      <c r="AKT52" s="252"/>
      <c r="AKU52" s="252"/>
      <c r="AKV52" s="252"/>
      <c r="AKW52" s="252"/>
      <c r="AKX52" s="252"/>
      <c r="AKY52" s="252"/>
      <c r="AKZ52" s="252"/>
      <c r="ALA52" s="252"/>
      <c r="ALB52" s="252"/>
      <c r="ALC52" s="252"/>
      <c r="ALD52" s="252"/>
      <c r="ALE52" s="252"/>
      <c r="ALF52" s="252"/>
      <c r="ALG52" s="252"/>
      <c r="ALH52" s="252"/>
      <c r="ALI52" s="252"/>
      <c r="ALJ52" s="252"/>
      <c r="ALK52" s="252"/>
      <c r="ALL52" s="252"/>
      <c r="ALM52" s="252"/>
      <c r="ALN52" s="252"/>
      <c r="ALO52" s="252"/>
      <c r="ALP52" s="252"/>
      <c r="ALQ52" s="252"/>
      <c r="ALR52" s="252"/>
    </row>
    <row r="53" spans="1:1007" s="3" customFormat="1" x14ac:dyDescent="0.2">
      <c r="A53" s="749" t="s">
        <v>528</v>
      </c>
      <c r="B53" s="382"/>
      <c r="C53" s="382"/>
      <c r="D53" s="382"/>
      <c r="E53" s="740">
        <v>15000</v>
      </c>
      <c r="F53" s="730"/>
      <c r="G53" s="730"/>
      <c r="H53" s="730"/>
      <c r="I53" s="730"/>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2"/>
      <c r="AO53" s="252"/>
      <c r="AP53" s="252"/>
      <c r="AQ53" s="252"/>
      <c r="AR53" s="252"/>
      <c r="AS53" s="252"/>
      <c r="AT53" s="252"/>
      <c r="AU53" s="252"/>
      <c r="AV53" s="252"/>
      <c r="AW53" s="252"/>
      <c r="AX53" s="252"/>
      <c r="AY53" s="252"/>
      <c r="AZ53" s="252"/>
      <c r="BA53" s="252"/>
      <c r="BB53" s="252"/>
      <c r="BC53" s="252"/>
      <c r="BD53" s="252"/>
      <c r="BE53" s="252"/>
      <c r="BF53" s="252"/>
      <c r="BG53" s="252"/>
      <c r="BH53" s="252"/>
      <c r="BI53" s="252"/>
      <c r="BJ53" s="252"/>
      <c r="BK53" s="252"/>
      <c r="BL53" s="252"/>
      <c r="BM53" s="252"/>
      <c r="BN53" s="252"/>
      <c r="BO53" s="252"/>
      <c r="BP53" s="252"/>
      <c r="BQ53" s="252"/>
      <c r="BR53" s="252"/>
      <c r="BS53" s="252"/>
      <c r="BT53" s="252"/>
      <c r="BU53" s="252"/>
      <c r="BV53" s="252"/>
      <c r="BW53" s="252"/>
      <c r="BX53" s="252"/>
      <c r="BY53" s="252"/>
      <c r="BZ53" s="252"/>
      <c r="CA53" s="252"/>
      <c r="CB53" s="252"/>
      <c r="CC53" s="252"/>
      <c r="CD53" s="252"/>
      <c r="CE53" s="252"/>
      <c r="CF53" s="252"/>
      <c r="CG53" s="252"/>
      <c r="CH53" s="252"/>
      <c r="CI53" s="252"/>
      <c r="CJ53" s="252"/>
      <c r="CK53" s="252"/>
      <c r="CL53" s="252"/>
      <c r="CM53" s="252"/>
      <c r="CN53" s="252"/>
      <c r="CO53" s="252"/>
      <c r="CP53" s="252"/>
      <c r="CQ53" s="252"/>
      <c r="CR53" s="252"/>
      <c r="CS53" s="252"/>
      <c r="CT53" s="252"/>
      <c r="CU53" s="252"/>
      <c r="CV53" s="252"/>
      <c r="CW53" s="252"/>
      <c r="CX53" s="252"/>
      <c r="CY53" s="252"/>
      <c r="CZ53" s="252"/>
      <c r="DA53" s="252"/>
      <c r="DB53" s="252"/>
      <c r="DC53" s="252"/>
      <c r="DD53" s="252"/>
      <c r="DE53" s="252"/>
      <c r="DF53" s="252"/>
      <c r="DG53" s="252"/>
      <c r="DH53" s="252"/>
      <c r="DI53" s="252"/>
      <c r="DJ53" s="252"/>
      <c r="DK53" s="252"/>
      <c r="DL53" s="252"/>
      <c r="DM53" s="252"/>
      <c r="DN53" s="252"/>
      <c r="DO53" s="252"/>
      <c r="DP53" s="252"/>
      <c r="DQ53" s="252"/>
      <c r="DR53" s="252"/>
      <c r="DS53" s="252"/>
      <c r="DT53" s="252"/>
      <c r="DU53" s="252"/>
      <c r="DV53" s="252"/>
      <c r="DW53" s="252"/>
      <c r="DX53" s="252"/>
      <c r="DY53" s="252"/>
      <c r="DZ53" s="252"/>
      <c r="EA53" s="252"/>
      <c r="EB53" s="252"/>
      <c r="EC53" s="252"/>
      <c r="ED53" s="252"/>
      <c r="EE53" s="252"/>
      <c r="EF53" s="252"/>
      <c r="EG53" s="252"/>
      <c r="EH53" s="252"/>
      <c r="EI53" s="252"/>
      <c r="EJ53" s="252"/>
      <c r="EK53" s="252"/>
      <c r="EL53" s="252"/>
      <c r="EM53" s="252"/>
      <c r="EN53" s="252"/>
      <c r="EO53" s="252"/>
      <c r="EP53" s="252"/>
      <c r="EQ53" s="252"/>
      <c r="ER53" s="252"/>
      <c r="ES53" s="252"/>
      <c r="ET53" s="252"/>
      <c r="EU53" s="252"/>
      <c r="EV53" s="252"/>
      <c r="EW53" s="252"/>
      <c r="EX53" s="252"/>
      <c r="EY53" s="252"/>
      <c r="EZ53" s="252"/>
      <c r="FA53" s="252"/>
      <c r="FB53" s="252"/>
      <c r="FC53" s="252"/>
      <c r="FD53" s="252"/>
      <c r="FE53" s="252"/>
      <c r="FF53" s="252"/>
      <c r="FG53" s="252"/>
      <c r="FH53" s="252"/>
      <c r="FI53" s="252"/>
      <c r="FJ53" s="252"/>
      <c r="FK53" s="252"/>
      <c r="FL53" s="252"/>
      <c r="FM53" s="252"/>
      <c r="FN53" s="252"/>
      <c r="FO53" s="252"/>
      <c r="FP53" s="252"/>
      <c r="FQ53" s="252"/>
      <c r="FR53" s="252"/>
      <c r="FS53" s="252"/>
      <c r="FT53" s="252"/>
      <c r="FU53" s="252"/>
      <c r="FV53" s="252"/>
      <c r="FW53" s="252"/>
      <c r="FX53" s="252"/>
      <c r="FY53" s="252"/>
      <c r="FZ53" s="252"/>
      <c r="GA53" s="252"/>
      <c r="GB53" s="252"/>
      <c r="GC53" s="252"/>
      <c r="GD53" s="252"/>
      <c r="GE53" s="252"/>
      <c r="GF53" s="252"/>
      <c r="GG53" s="252"/>
      <c r="GH53" s="252"/>
      <c r="GI53" s="252"/>
      <c r="GJ53" s="252"/>
      <c r="GK53" s="252"/>
      <c r="GL53" s="252"/>
      <c r="GM53" s="252"/>
      <c r="GN53" s="252"/>
      <c r="GO53" s="252"/>
      <c r="GP53" s="252"/>
      <c r="GQ53" s="252"/>
      <c r="GR53" s="252"/>
      <c r="GS53" s="252"/>
      <c r="GT53" s="252"/>
      <c r="GU53" s="252"/>
      <c r="GV53" s="252"/>
      <c r="GW53" s="252"/>
      <c r="GX53" s="252"/>
      <c r="GY53" s="252"/>
      <c r="GZ53" s="252"/>
      <c r="HA53" s="252"/>
      <c r="HB53" s="252"/>
      <c r="HC53" s="252"/>
      <c r="HD53" s="252"/>
      <c r="HE53" s="252"/>
      <c r="HF53" s="252"/>
      <c r="HG53" s="252"/>
      <c r="HH53" s="252"/>
      <c r="HI53" s="252"/>
      <c r="HJ53" s="252"/>
      <c r="HK53" s="252"/>
      <c r="HL53" s="252"/>
      <c r="HM53" s="252"/>
      <c r="HN53" s="252"/>
      <c r="HO53" s="252"/>
      <c r="HP53" s="252"/>
      <c r="HQ53" s="252"/>
      <c r="HR53" s="252"/>
      <c r="HS53" s="252"/>
      <c r="HT53" s="252"/>
      <c r="HU53" s="252"/>
      <c r="HV53" s="252"/>
      <c r="HW53" s="252"/>
      <c r="HX53" s="252"/>
      <c r="HY53" s="252"/>
      <c r="HZ53" s="252"/>
      <c r="IA53" s="252"/>
      <c r="IB53" s="252"/>
      <c r="IC53" s="252"/>
      <c r="ID53" s="252"/>
      <c r="IE53" s="252"/>
      <c r="IF53" s="252"/>
      <c r="IG53" s="252"/>
      <c r="IH53" s="252"/>
      <c r="II53" s="252"/>
      <c r="IJ53" s="252"/>
      <c r="IK53" s="252"/>
      <c r="IL53" s="252"/>
      <c r="IM53" s="252"/>
      <c r="IN53" s="252"/>
      <c r="IO53" s="252"/>
      <c r="IP53" s="252"/>
      <c r="IQ53" s="252"/>
      <c r="IR53" s="252"/>
      <c r="IS53" s="252"/>
      <c r="IT53" s="252"/>
      <c r="IU53" s="252"/>
      <c r="IV53" s="252"/>
      <c r="IW53" s="252"/>
      <c r="IX53" s="252"/>
      <c r="IY53" s="252"/>
      <c r="IZ53" s="252"/>
      <c r="JA53" s="252"/>
      <c r="JB53" s="252"/>
      <c r="JC53" s="252"/>
      <c r="JD53" s="252"/>
      <c r="JE53" s="252"/>
      <c r="JF53" s="252"/>
      <c r="JG53" s="252"/>
      <c r="JH53" s="252"/>
      <c r="JI53" s="252"/>
      <c r="JJ53" s="252"/>
      <c r="JK53" s="252"/>
      <c r="JL53" s="252"/>
      <c r="JM53" s="252"/>
      <c r="JN53" s="252"/>
      <c r="JO53" s="252"/>
      <c r="JP53" s="252"/>
      <c r="JQ53" s="252"/>
      <c r="JR53" s="252"/>
      <c r="JS53" s="252"/>
      <c r="JT53" s="252"/>
      <c r="JU53" s="252"/>
      <c r="JV53" s="252"/>
      <c r="JW53" s="252"/>
      <c r="JX53" s="252"/>
      <c r="JY53" s="252"/>
      <c r="JZ53" s="252"/>
      <c r="KA53" s="252"/>
      <c r="KB53" s="252"/>
      <c r="KC53" s="252"/>
      <c r="KD53" s="252"/>
      <c r="KE53" s="252"/>
      <c r="KF53" s="252"/>
      <c r="KG53" s="252"/>
      <c r="KH53" s="252"/>
      <c r="KI53" s="252"/>
      <c r="KJ53" s="252"/>
      <c r="KK53" s="252"/>
      <c r="KL53" s="252"/>
      <c r="KM53" s="252"/>
      <c r="KN53" s="252"/>
      <c r="KO53" s="252"/>
      <c r="KP53" s="252"/>
      <c r="KQ53" s="252"/>
      <c r="KR53" s="252"/>
      <c r="KS53" s="252"/>
      <c r="KT53" s="252"/>
      <c r="KU53" s="252"/>
      <c r="KV53" s="252"/>
      <c r="KW53" s="252"/>
      <c r="KX53" s="252"/>
      <c r="KY53" s="252"/>
      <c r="KZ53" s="252"/>
      <c r="LA53" s="252"/>
      <c r="LB53" s="252"/>
      <c r="LC53" s="252"/>
      <c r="LD53" s="252"/>
      <c r="LE53" s="252"/>
      <c r="LF53" s="252"/>
      <c r="LG53" s="252"/>
      <c r="LH53" s="252"/>
      <c r="LI53" s="252"/>
      <c r="LJ53" s="252"/>
      <c r="LK53" s="252"/>
      <c r="LL53" s="252"/>
      <c r="LM53" s="252"/>
      <c r="LN53" s="252"/>
      <c r="LO53" s="252"/>
      <c r="LP53" s="252"/>
      <c r="LQ53" s="252"/>
      <c r="LR53" s="252"/>
      <c r="LS53" s="252"/>
      <c r="LT53" s="252"/>
      <c r="LU53" s="252"/>
      <c r="LV53" s="252"/>
      <c r="LW53" s="252"/>
      <c r="LX53" s="252"/>
      <c r="LY53" s="252"/>
      <c r="LZ53" s="252"/>
      <c r="MA53" s="252"/>
      <c r="MB53" s="252"/>
      <c r="MC53" s="252"/>
      <c r="MD53" s="252"/>
      <c r="ME53" s="252"/>
      <c r="MF53" s="252"/>
      <c r="MG53" s="252"/>
      <c r="MH53" s="252"/>
      <c r="MI53" s="252"/>
      <c r="MJ53" s="252"/>
      <c r="MK53" s="252"/>
      <c r="ML53" s="252"/>
      <c r="MM53" s="252"/>
      <c r="MN53" s="252"/>
      <c r="MO53" s="252"/>
      <c r="MP53" s="252"/>
      <c r="MQ53" s="252"/>
      <c r="MR53" s="252"/>
      <c r="MS53" s="252"/>
      <c r="MT53" s="252"/>
      <c r="MU53" s="252"/>
      <c r="MV53" s="252"/>
      <c r="MW53" s="252"/>
      <c r="MX53" s="252"/>
      <c r="MY53" s="252"/>
      <c r="MZ53" s="252"/>
      <c r="NA53" s="252"/>
      <c r="NB53" s="252"/>
      <c r="NC53" s="252"/>
      <c r="ND53" s="252"/>
      <c r="NE53" s="252"/>
      <c r="NF53" s="252"/>
      <c r="NG53" s="252"/>
      <c r="NH53" s="252"/>
      <c r="NI53" s="252"/>
      <c r="NJ53" s="252"/>
      <c r="NK53" s="252"/>
      <c r="NL53" s="252"/>
      <c r="NM53" s="252"/>
      <c r="NN53" s="252"/>
      <c r="NO53" s="252"/>
      <c r="NP53" s="252"/>
      <c r="NQ53" s="252"/>
      <c r="NR53" s="252"/>
      <c r="NS53" s="252"/>
      <c r="NT53" s="252"/>
      <c r="NU53" s="252"/>
      <c r="NV53" s="252"/>
      <c r="NW53" s="252"/>
      <c r="NX53" s="252"/>
      <c r="NY53" s="252"/>
      <c r="NZ53" s="252"/>
      <c r="OA53" s="252"/>
      <c r="OB53" s="252"/>
      <c r="OC53" s="252"/>
      <c r="OD53" s="252"/>
      <c r="OE53" s="252"/>
      <c r="OF53" s="252"/>
      <c r="OG53" s="252"/>
      <c r="OH53" s="252"/>
      <c r="OI53" s="252"/>
      <c r="OJ53" s="252"/>
      <c r="OK53" s="252"/>
      <c r="OL53" s="252"/>
      <c r="OM53" s="252"/>
      <c r="ON53" s="252"/>
      <c r="OO53" s="252"/>
      <c r="OP53" s="252"/>
      <c r="OQ53" s="252"/>
      <c r="OR53" s="252"/>
      <c r="OS53" s="252"/>
      <c r="OT53" s="252"/>
      <c r="OU53" s="252"/>
      <c r="OV53" s="252"/>
      <c r="OW53" s="252"/>
      <c r="OX53" s="252"/>
      <c r="OY53" s="252"/>
      <c r="OZ53" s="252"/>
      <c r="PA53" s="252"/>
      <c r="PB53" s="252"/>
      <c r="PC53" s="252"/>
      <c r="PD53" s="252"/>
      <c r="PE53" s="252"/>
      <c r="PF53" s="252"/>
      <c r="PG53" s="252"/>
      <c r="PH53" s="252"/>
      <c r="PI53" s="252"/>
      <c r="PJ53" s="252"/>
      <c r="PK53" s="252"/>
      <c r="PL53" s="252"/>
      <c r="PM53" s="252"/>
      <c r="PN53" s="252"/>
      <c r="PO53" s="252"/>
      <c r="PP53" s="252"/>
      <c r="PQ53" s="252"/>
      <c r="PR53" s="252"/>
      <c r="PS53" s="252"/>
      <c r="PT53" s="252"/>
      <c r="PU53" s="252"/>
      <c r="PV53" s="252"/>
      <c r="PW53" s="252"/>
      <c r="PX53" s="252"/>
      <c r="PY53" s="252"/>
      <c r="PZ53" s="252"/>
      <c r="QA53" s="252"/>
      <c r="QB53" s="252"/>
      <c r="QC53" s="252"/>
      <c r="QD53" s="252"/>
      <c r="QE53" s="252"/>
      <c r="QF53" s="252"/>
      <c r="QG53" s="252"/>
      <c r="QH53" s="252"/>
      <c r="QI53" s="252"/>
      <c r="QJ53" s="252"/>
      <c r="QK53" s="252"/>
      <c r="QL53" s="252"/>
      <c r="QM53" s="252"/>
      <c r="QN53" s="252"/>
      <c r="QO53" s="252"/>
      <c r="QP53" s="252"/>
      <c r="QQ53" s="252"/>
      <c r="QR53" s="252"/>
      <c r="QS53" s="252"/>
      <c r="QT53" s="252"/>
      <c r="QU53" s="252"/>
      <c r="QV53" s="252"/>
      <c r="QW53" s="252"/>
      <c r="QX53" s="252"/>
      <c r="QY53" s="252"/>
      <c r="QZ53" s="252"/>
      <c r="RA53" s="252"/>
      <c r="RB53" s="252"/>
      <c r="RC53" s="252"/>
      <c r="RD53" s="252"/>
      <c r="RE53" s="252"/>
      <c r="RF53" s="252"/>
      <c r="RG53" s="252"/>
      <c r="RH53" s="252"/>
      <c r="RI53" s="252"/>
      <c r="RJ53" s="252"/>
      <c r="RK53" s="252"/>
      <c r="RL53" s="252"/>
      <c r="RM53" s="252"/>
      <c r="RN53" s="252"/>
      <c r="RO53" s="252"/>
      <c r="RP53" s="252"/>
      <c r="RQ53" s="252"/>
      <c r="RR53" s="252"/>
      <c r="RS53" s="252"/>
      <c r="RT53" s="252"/>
      <c r="RU53" s="252"/>
      <c r="RV53" s="252"/>
      <c r="RW53" s="252"/>
      <c r="RX53" s="252"/>
      <c r="RY53" s="252"/>
      <c r="RZ53" s="252"/>
      <c r="SA53" s="252"/>
      <c r="SB53" s="252"/>
      <c r="SC53" s="252"/>
      <c r="SD53" s="252"/>
      <c r="SE53" s="252"/>
      <c r="SF53" s="252"/>
      <c r="SG53" s="252"/>
      <c r="SH53" s="252"/>
      <c r="SI53" s="252"/>
      <c r="SJ53" s="252"/>
      <c r="SK53" s="252"/>
      <c r="SL53" s="252"/>
      <c r="SM53" s="252"/>
      <c r="SN53" s="252"/>
      <c r="SO53" s="252"/>
      <c r="SP53" s="252"/>
      <c r="SQ53" s="252"/>
      <c r="SR53" s="252"/>
      <c r="SS53" s="252"/>
      <c r="ST53" s="252"/>
      <c r="SU53" s="252"/>
      <c r="SV53" s="252"/>
      <c r="SW53" s="252"/>
      <c r="SX53" s="252"/>
      <c r="SY53" s="252"/>
      <c r="SZ53" s="252"/>
      <c r="TA53" s="252"/>
      <c r="TB53" s="252"/>
      <c r="TC53" s="252"/>
      <c r="TD53" s="252"/>
      <c r="TE53" s="252"/>
      <c r="TF53" s="252"/>
      <c r="TG53" s="252"/>
      <c r="TH53" s="252"/>
      <c r="TI53" s="252"/>
      <c r="TJ53" s="252"/>
      <c r="TK53" s="252"/>
      <c r="TL53" s="252"/>
      <c r="TM53" s="252"/>
      <c r="TN53" s="252"/>
      <c r="TO53" s="252"/>
      <c r="TP53" s="252"/>
      <c r="TQ53" s="252"/>
      <c r="TR53" s="252"/>
      <c r="TS53" s="252"/>
      <c r="TT53" s="252"/>
      <c r="TU53" s="252"/>
      <c r="TV53" s="252"/>
      <c r="TW53" s="252"/>
      <c r="TX53" s="252"/>
      <c r="TY53" s="252"/>
      <c r="TZ53" s="252"/>
      <c r="UA53" s="252"/>
      <c r="UB53" s="252"/>
      <c r="UC53" s="252"/>
      <c r="UD53" s="252"/>
      <c r="UE53" s="252"/>
      <c r="UF53" s="252"/>
      <c r="UG53" s="252"/>
      <c r="UH53" s="252"/>
      <c r="UI53" s="252"/>
      <c r="UJ53" s="252"/>
      <c r="UK53" s="252"/>
      <c r="UL53" s="252"/>
      <c r="UM53" s="252"/>
      <c r="UN53" s="252"/>
      <c r="UO53" s="252"/>
      <c r="UP53" s="252"/>
      <c r="UQ53" s="252"/>
      <c r="UR53" s="252"/>
      <c r="US53" s="252"/>
      <c r="UT53" s="252"/>
      <c r="UU53" s="252"/>
      <c r="UV53" s="252"/>
      <c r="UW53" s="252"/>
      <c r="UX53" s="252"/>
      <c r="UY53" s="252"/>
      <c r="UZ53" s="252"/>
      <c r="VA53" s="252"/>
      <c r="VB53" s="252"/>
      <c r="VC53" s="252"/>
      <c r="VD53" s="252"/>
      <c r="VE53" s="252"/>
      <c r="VF53" s="252"/>
      <c r="VG53" s="252"/>
      <c r="VH53" s="252"/>
      <c r="VI53" s="252"/>
      <c r="VJ53" s="252"/>
      <c r="VK53" s="252"/>
      <c r="VL53" s="252"/>
      <c r="VM53" s="252"/>
      <c r="VN53" s="252"/>
      <c r="VO53" s="252"/>
      <c r="VP53" s="252"/>
      <c r="VQ53" s="252"/>
      <c r="VR53" s="252"/>
      <c r="VS53" s="252"/>
      <c r="VT53" s="252"/>
      <c r="VU53" s="252"/>
      <c r="VV53" s="252"/>
      <c r="VW53" s="252"/>
      <c r="VX53" s="252"/>
      <c r="VY53" s="252"/>
      <c r="VZ53" s="252"/>
      <c r="WA53" s="252"/>
      <c r="WB53" s="252"/>
      <c r="WC53" s="252"/>
      <c r="WD53" s="252"/>
      <c r="WE53" s="252"/>
      <c r="WF53" s="252"/>
      <c r="WG53" s="252"/>
      <c r="WH53" s="252"/>
      <c r="WI53" s="252"/>
      <c r="WJ53" s="252"/>
      <c r="WK53" s="252"/>
      <c r="WL53" s="252"/>
      <c r="WM53" s="252"/>
      <c r="WN53" s="252"/>
      <c r="WO53" s="252"/>
      <c r="WP53" s="252"/>
      <c r="WQ53" s="252"/>
      <c r="WR53" s="252"/>
      <c r="WS53" s="252"/>
      <c r="WT53" s="252"/>
      <c r="WU53" s="252"/>
      <c r="WV53" s="252"/>
      <c r="WW53" s="252"/>
      <c r="WX53" s="252"/>
      <c r="WY53" s="252"/>
      <c r="WZ53" s="252"/>
      <c r="XA53" s="252"/>
      <c r="XB53" s="252"/>
      <c r="XC53" s="252"/>
      <c r="XD53" s="252"/>
      <c r="XE53" s="252"/>
      <c r="XF53" s="252"/>
      <c r="XG53" s="252"/>
      <c r="XH53" s="252"/>
      <c r="XI53" s="252"/>
      <c r="XJ53" s="252"/>
      <c r="XK53" s="252"/>
      <c r="XL53" s="252"/>
      <c r="XM53" s="252"/>
      <c r="XN53" s="252"/>
      <c r="XO53" s="252"/>
      <c r="XP53" s="252"/>
      <c r="XQ53" s="252"/>
      <c r="XR53" s="252"/>
      <c r="XS53" s="252"/>
      <c r="XT53" s="252"/>
      <c r="XU53" s="252"/>
      <c r="XV53" s="252"/>
      <c r="XW53" s="252"/>
      <c r="XX53" s="252"/>
      <c r="XY53" s="252"/>
      <c r="XZ53" s="252"/>
      <c r="YA53" s="252"/>
      <c r="YB53" s="252"/>
      <c r="YC53" s="252"/>
      <c r="YD53" s="252"/>
      <c r="YE53" s="252"/>
      <c r="YF53" s="252"/>
      <c r="YG53" s="252"/>
      <c r="YH53" s="252"/>
      <c r="YI53" s="252"/>
      <c r="YJ53" s="252"/>
      <c r="YK53" s="252"/>
      <c r="YL53" s="252"/>
      <c r="YM53" s="252"/>
      <c r="YN53" s="252"/>
      <c r="YO53" s="252"/>
      <c r="YP53" s="252"/>
      <c r="YQ53" s="252"/>
      <c r="YR53" s="252"/>
      <c r="YS53" s="252"/>
      <c r="YT53" s="252"/>
      <c r="YU53" s="252"/>
      <c r="YV53" s="252"/>
      <c r="YW53" s="252"/>
      <c r="YX53" s="252"/>
      <c r="YY53" s="252"/>
      <c r="YZ53" s="252"/>
      <c r="ZA53" s="252"/>
      <c r="ZB53" s="252"/>
      <c r="ZC53" s="252"/>
      <c r="ZD53" s="252"/>
      <c r="ZE53" s="252"/>
      <c r="ZF53" s="252"/>
      <c r="ZG53" s="252"/>
      <c r="ZH53" s="252"/>
      <c r="ZI53" s="252"/>
      <c r="ZJ53" s="252"/>
      <c r="ZK53" s="252"/>
      <c r="ZL53" s="252"/>
      <c r="ZM53" s="252"/>
      <c r="ZN53" s="252"/>
      <c r="ZO53" s="252"/>
      <c r="ZP53" s="252"/>
      <c r="ZQ53" s="252"/>
      <c r="ZR53" s="252"/>
      <c r="ZS53" s="252"/>
      <c r="ZT53" s="252"/>
      <c r="ZU53" s="252"/>
      <c r="ZV53" s="252"/>
      <c r="ZW53" s="252"/>
      <c r="ZX53" s="252"/>
      <c r="ZY53" s="252"/>
      <c r="ZZ53" s="252"/>
      <c r="AAA53" s="252"/>
      <c r="AAB53" s="252"/>
      <c r="AAC53" s="252"/>
      <c r="AAD53" s="252"/>
      <c r="AAE53" s="252"/>
      <c r="AAF53" s="252"/>
      <c r="AAG53" s="252"/>
      <c r="AAH53" s="252"/>
      <c r="AAI53" s="252"/>
      <c r="AAJ53" s="252"/>
      <c r="AAK53" s="252"/>
      <c r="AAL53" s="252"/>
      <c r="AAM53" s="252"/>
      <c r="AAN53" s="252"/>
      <c r="AAO53" s="252"/>
      <c r="AAP53" s="252"/>
      <c r="AAQ53" s="252"/>
      <c r="AAR53" s="252"/>
      <c r="AAS53" s="252"/>
      <c r="AAT53" s="252"/>
      <c r="AAU53" s="252"/>
      <c r="AAV53" s="252"/>
      <c r="AAW53" s="252"/>
      <c r="AAX53" s="252"/>
      <c r="AAY53" s="252"/>
      <c r="AAZ53" s="252"/>
      <c r="ABA53" s="252"/>
      <c r="ABB53" s="252"/>
      <c r="ABC53" s="252"/>
      <c r="ABD53" s="252"/>
      <c r="ABE53" s="252"/>
      <c r="ABF53" s="252"/>
      <c r="ABG53" s="252"/>
      <c r="ABH53" s="252"/>
      <c r="ABI53" s="252"/>
      <c r="ABJ53" s="252"/>
      <c r="ABK53" s="252"/>
      <c r="ABL53" s="252"/>
      <c r="ABM53" s="252"/>
      <c r="ABN53" s="252"/>
      <c r="ABO53" s="252"/>
      <c r="ABP53" s="252"/>
      <c r="ABQ53" s="252"/>
      <c r="ABR53" s="252"/>
      <c r="ABS53" s="252"/>
      <c r="ABT53" s="252"/>
      <c r="ABU53" s="252"/>
      <c r="ABV53" s="252"/>
      <c r="ABW53" s="252"/>
      <c r="ABX53" s="252"/>
      <c r="ABY53" s="252"/>
      <c r="ABZ53" s="252"/>
      <c r="ACA53" s="252"/>
      <c r="ACB53" s="252"/>
      <c r="ACC53" s="252"/>
      <c r="ACD53" s="252"/>
      <c r="ACE53" s="252"/>
      <c r="ACF53" s="252"/>
      <c r="ACG53" s="252"/>
      <c r="ACH53" s="252"/>
      <c r="ACI53" s="252"/>
      <c r="ACJ53" s="252"/>
      <c r="ACK53" s="252"/>
      <c r="ACL53" s="252"/>
      <c r="ACM53" s="252"/>
      <c r="ACN53" s="252"/>
      <c r="ACO53" s="252"/>
      <c r="ACP53" s="252"/>
      <c r="ACQ53" s="252"/>
      <c r="ACR53" s="252"/>
      <c r="ACS53" s="252"/>
      <c r="ACT53" s="252"/>
      <c r="ACU53" s="252"/>
      <c r="ACV53" s="252"/>
      <c r="ACW53" s="252"/>
      <c r="ACX53" s="252"/>
      <c r="ACY53" s="252"/>
      <c r="ACZ53" s="252"/>
      <c r="ADA53" s="252"/>
      <c r="ADB53" s="252"/>
      <c r="ADC53" s="252"/>
      <c r="ADD53" s="252"/>
      <c r="ADE53" s="252"/>
      <c r="ADF53" s="252"/>
      <c r="ADG53" s="252"/>
      <c r="ADH53" s="252"/>
      <c r="ADI53" s="252"/>
      <c r="ADJ53" s="252"/>
      <c r="ADK53" s="252"/>
      <c r="ADL53" s="252"/>
      <c r="ADM53" s="252"/>
      <c r="ADN53" s="252"/>
      <c r="ADO53" s="252"/>
      <c r="ADP53" s="252"/>
      <c r="ADQ53" s="252"/>
      <c r="ADR53" s="252"/>
      <c r="ADS53" s="252"/>
      <c r="ADT53" s="252"/>
      <c r="ADU53" s="252"/>
      <c r="ADV53" s="252"/>
      <c r="ADW53" s="252"/>
      <c r="ADX53" s="252"/>
      <c r="ADY53" s="252"/>
      <c r="ADZ53" s="252"/>
      <c r="AEA53" s="252"/>
      <c r="AEB53" s="252"/>
      <c r="AEC53" s="252"/>
      <c r="AED53" s="252"/>
      <c r="AEE53" s="252"/>
      <c r="AEF53" s="252"/>
      <c r="AEG53" s="252"/>
      <c r="AEH53" s="252"/>
      <c r="AEI53" s="252"/>
      <c r="AEJ53" s="252"/>
      <c r="AEK53" s="252"/>
      <c r="AEL53" s="252"/>
      <c r="AEM53" s="252"/>
      <c r="AEN53" s="252"/>
      <c r="AEO53" s="252"/>
      <c r="AEP53" s="252"/>
      <c r="AEQ53" s="252"/>
      <c r="AER53" s="252"/>
      <c r="AES53" s="252"/>
      <c r="AET53" s="252"/>
      <c r="AEU53" s="252"/>
      <c r="AEV53" s="252"/>
      <c r="AEW53" s="252"/>
      <c r="AEX53" s="252"/>
      <c r="AEY53" s="252"/>
      <c r="AEZ53" s="252"/>
      <c r="AFA53" s="252"/>
      <c r="AFB53" s="252"/>
      <c r="AFC53" s="252"/>
      <c r="AFD53" s="252"/>
      <c r="AFE53" s="252"/>
      <c r="AFF53" s="252"/>
      <c r="AFG53" s="252"/>
      <c r="AFH53" s="252"/>
      <c r="AFI53" s="252"/>
      <c r="AFJ53" s="252"/>
      <c r="AFK53" s="252"/>
      <c r="AFL53" s="252"/>
      <c r="AFM53" s="252"/>
      <c r="AFN53" s="252"/>
      <c r="AFO53" s="252"/>
      <c r="AFP53" s="252"/>
      <c r="AFQ53" s="252"/>
      <c r="AFR53" s="252"/>
      <c r="AFS53" s="252"/>
      <c r="AFT53" s="252"/>
      <c r="AFU53" s="252"/>
      <c r="AFV53" s="252"/>
      <c r="AFW53" s="252"/>
      <c r="AFX53" s="252"/>
      <c r="AFY53" s="252"/>
      <c r="AFZ53" s="252"/>
      <c r="AGA53" s="252"/>
      <c r="AGB53" s="252"/>
      <c r="AGC53" s="252"/>
      <c r="AGD53" s="252"/>
      <c r="AGE53" s="252"/>
      <c r="AGF53" s="252"/>
      <c r="AGG53" s="252"/>
      <c r="AGH53" s="252"/>
      <c r="AGI53" s="252"/>
      <c r="AGJ53" s="252"/>
      <c r="AGK53" s="252"/>
      <c r="AGL53" s="252"/>
      <c r="AGM53" s="252"/>
      <c r="AGN53" s="252"/>
      <c r="AGO53" s="252"/>
      <c r="AGP53" s="252"/>
      <c r="AGQ53" s="252"/>
      <c r="AGR53" s="252"/>
      <c r="AGS53" s="252"/>
      <c r="AGT53" s="252"/>
      <c r="AGU53" s="252"/>
      <c r="AGV53" s="252"/>
      <c r="AGW53" s="252"/>
      <c r="AGX53" s="252"/>
      <c r="AGY53" s="252"/>
      <c r="AGZ53" s="252"/>
      <c r="AHA53" s="252"/>
      <c r="AHB53" s="252"/>
      <c r="AHC53" s="252"/>
      <c r="AHD53" s="252"/>
      <c r="AHE53" s="252"/>
      <c r="AHF53" s="252"/>
      <c r="AHG53" s="252"/>
      <c r="AHH53" s="252"/>
      <c r="AHI53" s="252"/>
      <c r="AHJ53" s="252"/>
      <c r="AHK53" s="252"/>
      <c r="AHL53" s="252"/>
      <c r="AHM53" s="252"/>
      <c r="AHN53" s="252"/>
      <c r="AHO53" s="252"/>
      <c r="AHP53" s="252"/>
      <c r="AHQ53" s="252"/>
      <c r="AHR53" s="252"/>
      <c r="AHS53" s="252"/>
      <c r="AHT53" s="252"/>
      <c r="AHU53" s="252"/>
      <c r="AHV53" s="252"/>
      <c r="AHW53" s="252"/>
      <c r="AHX53" s="252"/>
      <c r="AHY53" s="252"/>
      <c r="AHZ53" s="252"/>
      <c r="AIA53" s="252"/>
      <c r="AIB53" s="252"/>
      <c r="AIC53" s="252"/>
      <c r="AID53" s="252"/>
      <c r="AIE53" s="252"/>
      <c r="AIF53" s="252"/>
      <c r="AIG53" s="252"/>
      <c r="AIH53" s="252"/>
      <c r="AII53" s="252"/>
      <c r="AIJ53" s="252"/>
      <c r="AIK53" s="252"/>
      <c r="AIL53" s="252"/>
      <c r="AIM53" s="252"/>
      <c r="AIN53" s="252"/>
      <c r="AIO53" s="252"/>
      <c r="AIP53" s="252"/>
      <c r="AIQ53" s="252"/>
      <c r="AIR53" s="252"/>
      <c r="AIS53" s="252"/>
      <c r="AIT53" s="252"/>
      <c r="AIU53" s="252"/>
      <c r="AIV53" s="252"/>
      <c r="AIW53" s="252"/>
      <c r="AIX53" s="252"/>
      <c r="AIY53" s="252"/>
      <c r="AIZ53" s="252"/>
      <c r="AJA53" s="252"/>
      <c r="AJB53" s="252"/>
      <c r="AJC53" s="252"/>
      <c r="AJD53" s="252"/>
      <c r="AJE53" s="252"/>
      <c r="AJF53" s="252"/>
      <c r="AJG53" s="252"/>
      <c r="AJH53" s="252"/>
      <c r="AJI53" s="252"/>
      <c r="AJJ53" s="252"/>
      <c r="AJK53" s="252"/>
      <c r="AJL53" s="252"/>
      <c r="AJM53" s="252"/>
      <c r="AJN53" s="252"/>
      <c r="AJO53" s="252"/>
      <c r="AJP53" s="252"/>
      <c r="AJQ53" s="252"/>
      <c r="AJR53" s="252"/>
      <c r="AJS53" s="252"/>
      <c r="AJT53" s="252"/>
      <c r="AJU53" s="252"/>
      <c r="AJV53" s="252"/>
      <c r="AJW53" s="252"/>
      <c r="AJX53" s="252"/>
      <c r="AJY53" s="252"/>
      <c r="AJZ53" s="252"/>
      <c r="AKA53" s="252"/>
      <c r="AKB53" s="252"/>
      <c r="AKC53" s="252"/>
      <c r="AKD53" s="252"/>
      <c r="AKE53" s="252"/>
      <c r="AKF53" s="252"/>
      <c r="AKG53" s="252"/>
      <c r="AKH53" s="252"/>
      <c r="AKI53" s="252"/>
      <c r="AKJ53" s="252"/>
      <c r="AKK53" s="252"/>
      <c r="AKL53" s="252"/>
      <c r="AKM53" s="252"/>
      <c r="AKN53" s="252"/>
      <c r="AKO53" s="252"/>
      <c r="AKP53" s="252"/>
      <c r="AKQ53" s="252"/>
      <c r="AKR53" s="252"/>
      <c r="AKS53" s="252"/>
      <c r="AKT53" s="252"/>
      <c r="AKU53" s="252"/>
      <c r="AKV53" s="252"/>
      <c r="AKW53" s="252"/>
      <c r="AKX53" s="252"/>
      <c r="AKY53" s="252"/>
      <c r="AKZ53" s="252"/>
      <c r="ALA53" s="252"/>
      <c r="ALB53" s="252"/>
      <c r="ALC53" s="252"/>
      <c r="ALD53" s="252"/>
      <c r="ALE53" s="252"/>
      <c r="ALF53" s="252"/>
      <c r="ALG53" s="252"/>
      <c r="ALH53" s="252"/>
      <c r="ALI53" s="252"/>
      <c r="ALJ53" s="252"/>
      <c r="ALK53" s="252"/>
      <c r="ALL53" s="252"/>
      <c r="ALM53" s="252"/>
      <c r="ALN53" s="252"/>
      <c r="ALO53" s="252"/>
      <c r="ALP53" s="252"/>
      <c r="ALQ53" s="252"/>
      <c r="ALR53" s="252"/>
    </row>
    <row r="54" spans="1:1007" s="3" customFormat="1" x14ac:dyDescent="0.2">
      <c r="A54" s="749" t="s">
        <v>531</v>
      </c>
      <c r="B54" s="382"/>
      <c r="C54" s="382"/>
      <c r="D54" s="382"/>
      <c r="E54" s="740">
        <v>15000</v>
      </c>
      <c r="F54" s="730"/>
      <c r="G54" s="730"/>
      <c r="H54" s="730"/>
      <c r="I54" s="730"/>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c r="AI54" s="252"/>
      <c r="AJ54" s="252"/>
      <c r="AK54" s="252"/>
      <c r="AL54" s="252"/>
      <c r="AM54" s="252"/>
      <c r="AN54" s="252"/>
      <c r="AO54" s="252"/>
      <c r="AP54" s="252"/>
      <c r="AQ54" s="252"/>
      <c r="AR54" s="252"/>
      <c r="AS54" s="252"/>
      <c r="AT54" s="252"/>
      <c r="AU54" s="252"/>
      <c r="AV54" s="252"/>
      <c r="AW54" s="252"/>
      <c r="AX54" s="252"/>
      <c r="AY54" s="252"/>
      <c r="AZ54" s="252"/>
      <c r="BA54" s="252"/>
      <c r="BB54" s="252"/>
      <c r="BC54" s="252"/>
      <c r="BD54" s="252"/>
      <c r="BE54" s="252"/>
      <c r="BF54" s="252"/>
      <c r="BG54" s="252"/>
      <c r="BH54" s="252"/>
      <c r="BI54" s="252"/>
      <c r="BJ54" s="252"/>
      <c r="BK54" s="252"/>
      <c r="BL54" s="252"/>
      <c r="BM54" s="252"/>
      <c r="BN54" s="252"/>
      <c r="BO54" s="252"/>
      <c r="BP54" s="252"/>
      <c r="BQ54" s="252"/>
      <c r="BR54" s="252"/>
      <c r="BS54" s="252"/>
      <c r="BT54" s="252"/>
      <c r="BU54" s="252"/>
      <c r="BV54" s="252"/>
      <c r="BW54" s="252"/>
      <c r="BX54" s="252"/>
      <c r="BY54" s="252"/>
      <c r="BZ54" s="252"/>
      <c r="CA54" s="252"/>
      <c r="CB54" s="252"/>
      <c r="CC54" s="252"/>
      <c r="CD54" s="252"/>
      <c r="CE54" s="252"/>
      <c r="CF54" s="252"/>
      <c r="CG54" s="252"/>
      <c r="CH54" s="252"/>
      <c r="CI54" s="252"/>
      <c r="CJ54" s="252"/>
      <c r="CK54" s="252"/>
      <c r="CL54" s="252"/>
      <c r="CM54" s="252"/>
      <c r="CN54" s="252"/>
      <c r="CO54" s="252"/>
      <c r="CP54" s="252"/>
      <c r="CQ54" s="252"/>
      <c r="CR54" s="252"/>
      <c r="CS54" s="252"/>
      <c r="CT54" s="252"/>
      <c r="CU54" s="252"/>
      <c r="CV54" s="252"/>
      <c r="CW54" s="252"/>
      <c r="CX54" s="252"/>
      <c r="CY54" s="252"/>
      <c r="CZ54" s="252"/>
      <c r="DA54" s="252"/>
      <c r="DB54" s="252"/>
      <c r="DC54" s="252"/>
      <c r="DD54" s="252"/>
      <c r="DE54" s="252"/>
      <c r="DF54" s="252"/>
      <c r="DG54" s="252"/>
      <c r="DH54" s="252"/>
      <c r="DI54" s="252"/>
      <c r="DJ54" s="252"/>
      <c r="DK54" s="252"/>
      <c r="DL54" s="252"/>
      <c r="DM54" s="252"/>
      <c r="DN54" s="252"/>
      <c r="DO54" s="252"/>
      <c r="DP54" s="252"/>
      <c r="DQ54" s="252"/>
      <c r="DR54" s="252"/>
      <c r="DS54" s="252"/>
      <c r="DT54" s="252"/>
      <c r="DU54" s="252"/>
      <c r="DV54" s="252"/>
      <c r="DW54" s="252"/>
      <c r="DX54" s="252"/>
      <c r="DY54" s="252"/>
      <c r="DZ54" s="252"/>
      <c r="EA54" s="252"/>
      <c r="EB54" s="252"/>
      <c r="EC54" s="252"/>
      <c r="ED54" s="252"/>
      <c r="EE54" s="252"/>
      <c r="EF54" s="252"/>
      <c r="EG54" s="252"/>
      <c r="EH54" s="252"/>
      <c r="EI54" s="252"/>
      <c r="EJ54" s="252"/>
      <c r="EK54" s="252"/>
      <c r="EL54" s="252"/>
      <c r="EM54" s="252"/>
      <c r="EN54" s="252"/>
      <c r="EO54" s="252"/>
      <c r="EP54" s="252"/>
      <c r="EQ54" s="252"/>
      <c r="ER54" s="252"/>
      <c r="ES54" s="252"/>
      <c r="ET54" s="252"/>
      <c r="EU54" s="252"/>
      <c r="EV54" s="252"/>
      <c r="EW54" s="252"/>
      <c r="EX54" s="252"/>
      <c r="EY54" s="252"/>
      <c r="EZ54" s="252"/>
      <c r="FA54" s="252"/>
      <c r="FB54" s="252"/>
      <c r="FC54" s="252"/>
      <c r="FD54" s="252"/>
      <c r="FE54" s="252"/>
      <c r="FF54" s="252"/>
      <c r="FG54" s="252"/>
      <c r="FH54" s="252"/>
      <c r="FI54" s="252"/>
      <c r="FJ54" s="252"/>
      <c r="FK54" s="252"/>
      <c r="FL54" s="252"/>
      <c r="FM54" s="252"/>
      <c r="FN54" s="252"/>
      <c r="FO54" s="252"/>
      <c r="FP54" s="252"/>
      <c r="FQ54" s="252"/>
      <c r="FR54" s="252"/>
      <c r="FS54" s="252"/>
      <c r="FT54" s="252"/>
      <c r="FU54" s="252"/>
      <c r="FV54" s="252"/>
      <c r="FW54" s="252"/>
      <c r="FX54" s="252"/>
      <c r="FY54" s="252"/>
      <c r="FZ54" s="252"/>
      <c r="GA54" s="252"/>
      <c r="GB54" s="252"/>
      <c r="GC54" s="252"/>
      <c r="GD54" s="252"/>
      <c r="GE54" s="252"/>
      <c r="GF54" s="252"/>
      <c r="GG54" s="252"/>
      <c r="GH54" s="252"/>
      <c r="GI54" s="252"/>
      <c r="GJ54" s="252"/>
      <c r="GK54" s="252"/>
      <c r="GL54" s="252"/>
      <c r="GM54" s="252"/>
      <c r="GN54" s="252"/>
      <c r="GO54" s="252"/>
      <c r="GP54" s="252"/>
      <c r="GQ54" s="252"/>
      <c r="GR54" s="252"/>
      <c r="GS54" s="252"/>
      <c r="GT54" s="252"/>
      <c r="GU54" s="252"/>
      <c r="GV54" s="252"/>
      <c r="GW54" s="252"/>
      <c r="GX54" s="252"/>
      <c r="GY54" s="252"/>
      <c r="GZ54" s="252"/>
      <c r="HA54" s="252"/>
      <c r="HB54" s="252"/>
      <c r="HC54" s="252"/>
      <c r="HD54" s="252"/>
      <c r="HE54" s="252"/>
      <c r="HF54" s="252"/>
      <c r="HG54" s="252"/>
      <c r="HH54" s="252"/>
      <c r="HI54" s="252"/>
      <c r="HJ54" s="252"/>
      <c r="HK54" s="252"/>
      <c r="HL54" s="252"/>
      <c r="HM54" s="252"/>
      <c r="HN54" s="252"/>
      <c r="HO54" s="252"/>
      <c r="HP54" s="252"/>
      <c r="HQ54" s="252"/>
      <c r="HR54" s="252"/>
      <c r="HS54" s="252"/>
      <c r="HT54" s="252"/>
      <c r="HU54" s="252"/>
      <c r="HV54" s="252"/>
      <c r="HW54" s="252"/>
      <c r="HX54" s="252"/>
      <c r="HY54" s="252"/>
      <c r="HZ54" s="252"/>
      <c r="IA54" s="252"/>
      <c r="IB54" s="252"/>
      <c r="IC54" s="252"/>
      <c r="ID54" s="252"/>
      <c r="IE54" s="252"/>
      <c r="IF54" s="252"/>
      <c r="IG54" s="252"/>
      <c r="IH54" s="252"/>
      <c r="II54" s="252"/>
      <c r="IJ54" s="252"/>
      <c r="IK54" s="252"/>
      <c r="IL54" s="252"/>
      <c r="IM54" s="252"/>
      <c r="IN54" s="252"/>
      <c r="IO54" s="252"/>
      <c r="IP54" s="252"/>
      <c r="IQ54" s="252"/>
      <c r="IR54" s="252"/>
      <c r="IS54" s="252"/>
      <c r="IT54" s="252"/>
      <c r="IU54" s="252"/>
      <c r="IV54" s="252"/>
      <c r="IW54" s="252"/>
      <c r="IX54" s="252"/>
      <c r="IY54" s="252"/>
      <c r="IZ54" s="252"/>
      <c r="JA54" s="252"/>
      <c r="JB54" s="252"/>
      <c r="JC54" s="252"/>
      <c r="JD54" s="252"/>
      <c r="JE54" s="252"/>
      <c r="JF54" s="252"/>
      <c r="JG54" s="252"/>
      <c r="JH54" s="252"/>
      <c r="JI54" s="252"/>
      <c r="JJ54" s="252"/>
      <c r="JK54" s="252"/>
      <c r="JL54" s="252"/>
      <c r="JM54" s="252"/>
      <c r="JN54" s="252"/>
      <c r="JO54" s="252"/>
      <c r="JP54" s="252"/>
      <c r="JQ54" s="252"/>
      <c r="JR54" s="252"/>
      <c r="JS54" s="252"/>
      <c r="JT54" s="252"/>
      <c r="JU54" s="252"/>
      <c r="JV54" s="252"/>
      <c r="JW54" s="252"/>
      <c r="JX54" s="252"/>
      <c r="JY54" s="252"/>
      <c r="JZ54" s="252"/>
      <c r="KA54" s="252"/>
      <c r="KB54" s="252"/>
      <c r="KC54" s="252"/>
      <c r="KD54" s="252"/>
      <c r="KE54" s="252"/>
      <c r="KF54" s="252"/>
      <c r="KG54" s="252"/>
      <c r="KH54" s="252"/>
      <c r="KI54" s="252"/>
      <c r="KJ54" s="252"/>
      <c r="KK54" s="252"/>
      <c r="KL54" s="252"/>
      <c r="KM54" s="252"/>
      <c r="KN54" s="252"/>
      <c r="KO54" s="252"/>
      <c r="KP54" s="252"/>
      <c r="KQ54" s="252"/>
      <c r="KR54" s="252"/>
      <c r="KS54" s="252"/>
      <c r="KT54" s="252"/>
      <c r="KU54" s="252"/>
      <c r="KV54" s="252"/>
      <c r="KW54" s="252"/>
      <c r="KX54" s="252"/>
      <c r="KY54" s="252"/>
      <c r="KZ54" s="252"/>
      <c r="LA54" s="252"/>
      <c r="LB54" s="252"/>
      <c r="LC54" s="252"/>
      <c r="LD54" s="252"/>
      <c r="LE54" s="252"/>
      <c r="LF54" s="252"/>
      <c r="LG54" s="252"/>
      <c r="LH54" s="252"/>
      <c r="LI54" s="252"/>
      <c r="LJ54" s="252"/>
      <c r="LK54" s="252"/>
      <c r="LL54" s="252"/>
      <c r="LM54" s="252"/>
      <c r="LN54" s="252"/>
      <c r="LO54" s="252"/>
      <c r="LP54" s="252"/>
      <c r="LQ54" s="252"/>
      <c r="LR54" s="252"/>
      <c r="LS54" s="252"/>
      <c r="LT54" s="252"/>
      <c r="LU54" s="252"/>
      <c r="LV54" s="252"/>
      <c r="LW54" s="252"/>
      <c r="LX54" s="252"/>
      <c r="LY54" s="252"/>
      <c r="LZ54" s="252"/>
      <c r="MA54" s="252"/>
      <c r="MB54" s="252"/>
      <c r="MC54" s="252"/>
      <c r="MD54" s="252"/>
      <c r="ME54" s="252"/>
      <c r="MF54" s="252"/>
      <c r="MG54" s="252"/>
      <c r="MH54" s="252"/>
      <c r="MI54" s="252"/>
      <c r="MJ54" s="252"/>
      <c r="MK54" s="252"/>
      <c r="ML54" s="252"/>
      <c r="MM54" s="252"/>
      <c r="MN54" s="252"/>
      <c r="MO54" s="252"/>
      <c r="MP54" s="252"/>
      <c r="MQ54" s="252"/>
      <c r="MR54" s="252"/>
      <c r="MS54" s="252"/>
      <c r="MT54" s="252"/>
      <c r="MU54" s="252"/>
      <c r="MV54" s="252"/>
      <c r="MW54" s="252"/>
      <c r="MX54" s="252"/>
      <c r="MY54" s="252"/>
      <c r="MZ54" s="252"/>
      <c r="NA54" s="252"/>
      <c r="NB54" s="252"/>
      <c r="NC54" s="252"/>
      <c r="ND54" s="252"/>
      <c r="NE54" s="252"/>
      <c r="NF54" s="252"/>
      <c r="NG54" s="252"/>
      <c r="NH54" s="252"/>
      <c r="NI54" s="252"/>
      <c r="NJ54" s="252"/>
      <c r="NK54" s="252"/>
      <c r="NL54" s="252"/>
      <c r="NM54" s="252"/>
      <c r="NN54" s="252"/>
      <c r="NO54" s="252"/>
      <c r="NP54" s="252"/>
      <c r="NQ54" s="252"/>
      <c r="NR54" s="252"/>
      <c r="NS54" s="252"/>
      <c r="NT54" s="252"/>
      <c r="NU54" s="252"/>
      <c r="NV54" s="252"/>
      <c r="NW54" s="252"/>
      <c r="NX54" s="252"/>
      <c r="NY54" s="252"/>
      <c r="NZ54" s="252"/>
      <c r="OA54" s="252"/>
      <c r="OB54" s="252"/>
      <c r="OC54" s="252"/>
      <c r="OD54" s="252"/>
      <c r="OE54" s="252"/>
      <c r="OF54" s="252"/>
      <c r="OG54" s="252"/>
      <c r="OH54" s="252"/>
      <c r="OI54" s="252"/>
      <c r="OJ54" s="252"/>
      <c r="OK54" s="252"/>
      <c r="OL54" s="252"/>
      <c r="OM54" s="252"/>
      <c r="ON54" s="252"/>
      <c r="OO54" s="252"/>
      <c r="OP54" s="252"/>
      <c r="OQ54" s="252"/>
      <c r="OR54" s="252"/>
      <c r="OS54" s="252"/>
      <c r="OT54" s="252"/>
      <c r="OU54" s="252"/>
      <c r="OV54" s="252"/>
      <c r="OW54" s="252"/>
      <c r="OX54" s="252"/>
      <c r="OY54" s="252"/>
      <c r="OZ54" s="252"/>
      <c r="PA54" s="252"/>
      <c r="PB54" s="252"/>
      <c r="PC54" s="252"/>
      <c r="PD54" s="252"/>
      <c r="PE54" s="252"/>
      <c r="PF54" s="252"/>
      <c r="PG54" s="252"/>
      <c r="PH54" s="252"/>
      <c r="PI54" s="252"/>
      <c r="PJ54" s="252"/>
      <c r="PK54" s="252"/>
      <c r="PL54" s="252"/>
      <c r="PM54" s="252"/>
      <c r="PN54" s="252"/>
      <c r="PO54" s="252"/>
      <c r="PP54" s="252"/>
      <c r="PQ54" s="252"/>
      <c r="PR54" s="252"/>
      <c r="PS54" s="252"/>
      <c r="PT54" s="252"/>
      <c r="PU54" s="252"/>
      <c r="PV54" s="252"/>
      <c r="PW54" s="252"/>
      <c r="PX54" s="252"/>
      <c r="PY54" s="252"/>
      <c r="PZ54" s="252"/>
      <c r="QA54" s="252"/>
      <c r="QB54" s="252"/>
      <c r="QC54" s="252"/>
      <c r="QD54" s="252"/>
      <c r="QE54" s="252"/>
      <c r="QF54" s="252"/>
      <c r="QG54" s="252"/>
      <c r="QH54" s="252"/>
      <c r="QI54" s="252"/>
      <c r="QJ54" s="252"/>
      <c r="QK54" s="252"/>
      <c r="QL54" s="252"/>
      <c r="QM54" s="252"/>
      <c r="QN54" s="252"/>
      <c r="QO54" s="252"/>
      <c r="QP54" s="252"/>
      <c r="QQ54" s="252"/>
      <c r="QR54" s="252"/>
      <c r="QS54" s="252"/>
      <c r="QT54" s="252"/>
      <c r="QU54" s="252"/>
      <c r="QV54" s="252"/>
      <c r="QW54" s="252"/>
      <c r="QX54" s="252"/>
      <c r="QY54" s="252"/>
      <c r="QZ54" s="252"/>
      <c r="RA54" s="252"/>
      <c r="RB54" s="252"/>
      <c r="RC54" s="252"/>
      <c r="RD54" s="252"/>
      <c r="RE54" s="252"/>
      <c r="RF54" s="252"/>
      <c r="RG54" s="252"/>
      <c r="RH54" s="252"/>
      <c r="RI54" s="252"/>
      <c r="RJ54" s="252"/>
      <c r="RK54" s="252"/>
      <c r="RL54" s="252"/>
      <c r="RM54" s="252"/>
      <c r="RN54" s="252"/>
      <c r="RO54" s="252"/>
      <c r="RP54" s="252"/>
      <c r="RQ54" s="252"/>
      <c r="RR54" s="252"/>
      <c r="RS54" s="252"/>
      <c r="RT54" s="252"/>
      <c r="RU54" s="252"/>
      <c r="RV54" s="252"/>
      <c r="RW54" s="252"/>
      <c r="RX54" s="252"/>
      <c r="RY54" s="252"/>
      <c r="RZ54" s="252"/>
      <c r="SA54" s="252"/>
      <c r="SB54" s="252"/>
      <c r="SC54" s="252"/>
      <c r="SD54" s="252"/>
      <c r="SE54" s="252"/>
      <c r="SF54" s="252"/>
      <c r="SG54" s="252"/>
      <c r="SH54" s="252"/>
      <c r="SI54" s="252"/>
      <c r="SJ54" s="252"/>
      <c r="SK54" s="252"/>
      <c r="SL54" s="252"/>
      <c r="SM54" s="252"/>
      <c r="SN54" s="252"/>
      <c r="SO54" s="252"/>
      <c r="SP54" s="252"/>
      <c r="SQ54" s="252"/>
      <c r="SR54" s="252"/>
      <c r="SS54" s="252"/>
      <c r="ST54" s="252"/>
      <c r="SU54" s="252"/>
      <c r="SV54" s="252"/>
      <c r="SW54" s="252"/>
      <c r="SX54" s="252"/>
      <c r="SY54" s="252"/>
      <c r="SZ54" s="252"/>
      <c r="TA54" s="252"/>
      <c r="TB54" s="252"/>
      <c r="TC54" s="252"/>
      <c r="TD54" s="252"/>
      <c r="TE54" s="252"/>
      <c r="TF54" s="252"/>
      <c r="TG54" s="252"/>
      <c r="TH54" s="252"/>
      <c r="TI54" s="252"/>
      <c r="TJ54" s="252"/>
      <c r="TK54" s="252"/>
      <c r="TL54" s="252"/>
      <c r="TM54" s="252"/>
      <c r="TN54" s="252"/>
      <c r="TO54" s="252"/>
      <c r="TP54" s="252"/>
      <c r="TQ54" s="252"/>
      <c r="TR54" s="252"/>
      <c r="TS54" s="252"/>
      <c r="TT54" s="252"/>
      <c r="TU54" s="252"/>
      <c r="TV54" s="252"/>
      <c r="TW54" s="252"/>
      <c r="TX54" s="252"/>
      <c r="TY54" s="252"/>
      <c r="TZ54" s="252"/>
      <c r="UA54" s="252"/>
      <c r="UB54" s="252"/>
      <c r="UC54" s="252"/>
      <c r="UD54" s="252"/>
      <c r="UE54" s="252"/>
      <c r="UF54" s="252"/>
      <c r="UG54" s="252"/>
      <c r="UH54" s="252"/>
      <c r="UI54" s="252"/>
      <c r="UJ54" s="252"/>
      <c r="UK54" s="252"/>
      <c r="UL54" s="252"/>
      <c r="UM54" s="252"/>
      <c r="UN54" s="252"/>
      <c r="UO54" s="252"/>
      <c r="UP54" s="252"/>
      <c r="UQ54" s="252"/>
      <c r="UR54" s="252"/>
      <c r="US54" s="252"/>
      <c r="UT54" s="252"/>
      <c r="UU54" s="252"/>
      <c r="UV54" s="252"/>
      <c r="UW54" s="252"/>
      <c r="UX54" s="252"/>
      <c r="UY54" s="252"/>
      <c r="UZ54" s="252"/>
      <c r="VA54" s="252"/>
      <c r="VB54" s="252"/>
      <c r="VC54" s="252"/>
      <c r="VD54" s="252"/>
      <c r="VE54" s="252"/>
      <c r="VF54" s="252"/>
      <c r="VG54" s="252"/>
      <c r="VH54" s="252"/>
      <c r="VI54" s="252"/>
      <c r="VJ54" s="252"/>
      <c r="VK54" s="252"/>
      <c r="VL54" s="252"/>
      <c r="VM54" s="252"/>
      <c r="VN54" s="252"/>
      <c r="VO54" s="252"/>
      <c r="VP54" s="252"/>
      <c r="VQ54" s="252"/>
      <c r="VR54" s="252"/>
      <c r="VS54" s="252"/>
      <c r="VT54" s="252"/>
      <c r="VU54" s="252"/>
      <c r="VV54" s="252"/>
      <c r="VW54" s="252"/>
      <c r="VX54" s="252"/>
      <c r="VY54" s="252"/>
      <c r="VZ54" s="252"/>
      <c r="WA54" s="252"/>
      <c r="WB54" s="252"/>
      <c r="WC54" s="252"/>
      <c r="WD54" s="252"/>
      <c r="WE54" s="252"/>
      <c r="WF54" s="252"/>
      <c r="WG54" s="252"/>
      <c r="WH54" s="252"/>
      <c r="WI54" s="252"/>
      <c r="WJ54" s="252"/>
      <c r="WK54" s="252"/>
      <c r="WL54" s="252"/>
      <c r="WM54" s="252"/>
      <c r="WN54" s="252"/>
      <c r="WO54" s="252"/>
      <c r="WP54" s="252"/>
      <c r="WQ54" s="252"/>
      <c r="WR54" s="252"/>
      <c r="WS54" s="252"/>
      <c r="WT54" s="252"/>
      <c r="WU54" s="252"/>
      <c r="WV54" s="252"/>
      <c r="WW54" s="252"/>
      <c r="WX54" s="252"/>
      <c r="WY54" s="252"/>
      <c r="WZ54" s="252"/>
      <c r="XA54" s="252"/>
      <c r="XB54" s="252"/>
      <c r="XC54" s="252"/>
      <c r="XD54" s="252"/>
      <c r="XE54" s="252"/>
      <c r="XF54" s="252"/>
      <c r="XG54" s="252"/>
      <c r="XH54" s="252"/>
      <c r="XI54" s="252"/>
      <c r="XJ54" s="252"/>
      <c r="XK54" s="252"/>
      <c r="XL54" s="252"/>
      <c r="XM54" s="252"/>
      <c r="XN54" s="252"/>
      <c r="XO54" s="252"/>
      <c r="XP54" s="252"/>
      <c r="XQ54" s="252"/>
      <c r="XR54" s="252"/>
      <c r="XS54" s="252"/>
      <c r="XT54" s="252"/>
      <c r="XU54" s="252"/>
      <c r="XV54" s="252"/>
      <c r="XW54" s="252"/>
      <c r="XX54" s="252"/>
      <c r="XY54" s="252"/>
      <c r="XZ54" s="252"/>
      <c r="YA54" s="252"/>
      <c r="YB54" s="252"/>
      <c r="YC54" s="252"/>
      <c r="YD54" s="252"/>
      <c r="YE54" s="252"/>
      <c r="YF54" s="252"/>
      <c r="YG54" s="252"/>
      <c r="YH54" s="252"/>
      <c r="YI54" s="252"/>
      <c r="YJ54" s="252"/>
      <c r="YK54" s="252"/>
      <c r="YL54" s="252"/>
      <c r="YM54" s="252"/>
      <c r="YN54" s="252"/>
      <c r="YO54" s="252"/>
      <c r="YP54" s="252"/>
      <c r="YQ54" s="252"/>
      <c r="YR54" s="252"/>
      <c r="YS54" s="252"/>
      <c r="YT54" s="252"/>
      <c r="YU54" s="252"/>
      <c r="YV54" s="252"/>
      <c r="YW54" s="252"/>
      <c r="YX54" s="252"/>
      <c r="YY54" s="252"/>
      <c r="YZ54" s="252"/>
      <c r="ZA54" s="252"/>
      <c r="ZB54" s="252"/>
      <c r="ZC54" s="252"/>
      <c r="ZD54" s="252"/>
      <c r="ZE54" s="252"/>
      <c r="ZF54" s="252"/>
      <c r="ZG54" s="252"/>
      <c r="ZH54" s="252"/>
      <c r="ZI54" s="252"/>
      <c r="ZJ54" s="252"/>
      <c r="ZK54" s="252"/>
      <c r="ZL54" s="252"/>
      <c r="ZM54" s="252"/>
      <c r="ZN54" s="252"/>
      <c r="ZO54" s="252"/>
      <c r="ZP54" s="252"/>
      <c r="ZQ54" s="252"/>
      <c r="ZR54" s="252"/>
      <c r="ZS54" s="252"/>
      <c r="ZT54" s="252"/>
      <c r="ZU54" s="252"/>
      <c r="ZV54" s="252"/>
      <c r="ZW54" s="252"/>
      <c r="ZX54" s="252"/>
      <c r="ZY54" s="252"/>
      <c r="ZZ54" s="252"/>
      <c r="AAA54" s="252"/>
      <c r="AAB54" s="252"/>
      <c r="AAC54" s="252"/>
      <c r="AAD54" s="252"/>
      <c r="AAE54" s="252"/>
      <c r="AAF54" s="252"/>
      <c r="AAG54" s="252"/>
      <c r="AAH54" s="252"/>
      <c r="AAI54" s="252"/>
      <c r="AAJ54" s="252"/>
      <c r="AAK54" s="252"/>
      <c r="AAL54" s="252"/>
      <c r="AAM54" s="252"/>
      <c r="AAN54" s="252"/>
      <c r="AAO54" s="252"/>
      <c r="AAP54" s="252"/>
      <c r="AAQ54" s="252"/>
      <c r="AAR54" s="252"/>
      <c r="AAS54" s="252"/>
      <c r="AAT54" s="252"/>
      <c r="AAU54" s="252"/>
      <c r="AAV54" s="252"/>
      <c r="AAW54" s="252"/>
      <c r="AAX54" s="252"/>
      <c r="AAY54" s="252"/>
      <c r="AAZ54" s="252"/>
      <c r="ABA54" s="252"/>
      <c r="ABB54" s="252"/>
      <c r="ABC54" s="252"/>
      <c r="ABD54" s="252"/>
      <c r="ABE54" s="252"/>
      <c r="ABF54" s="252"/>
      <c r="ABG54" s="252"/>
      <c r="ABH54" s="252"/>
      <c r="ABI54" s="252"/>
      <c r="ABJ54" s="252"/>
      <c r="ABK54" s="252"/>
      <c r="ABL54" s="252"/>
      <c r="ABM54" s="252"/>
      <c r="ABN54" s="252"/>
      <c r="ABO54" s="252"/>
      <c r="ABP54" s="252"/>
      <c r="ABQ54" s="252"/>
      <c r="ABR54" s="252"/>
      <c r="ABS54" s="252"/>
      <c r="ABT54" s="252"/>
      <c r="ABU54" s="252"/>
      <c r="ABV54" s="252"/>
      <c r="ABW54" s="252"/>
      <c r="ABX54" s="252"/>
      <c r="ABY54" s="252"/>
      <c r="ABZ54" s="252"/>
      <c r="ACA54" s="252"/>
      <c r="ACB54" s="252"/>
      <c r="ACC54" s="252"/>
      <c r="ACD54" s="252"/>
      <c r="ACE54" s="252"/>
      <c r="ACF54" s="252"/>
      <c r="ACG54" s="252"/>
      <c r="ACH54" s="252"/>
      <c r="ACI54" s="252"/>
      <c r="ACJ54" s="252"/>
      <c r="ACK54" s="252"/>
      <c r="ACL54" s="252"/>
      <c r="ACM54" s="252"/>
      <c r="ACN54" s="252"/>
      <c r="ACO54" s="252"/>
      <c r="ACP54" s="252"/>
      <c r="ACQ54" s="252"/>
      <c r="ACR54" s="252"/>
      <c r="ACS54" s="252"/>
      <c r="ACT54" s="252"/>
      <c r="ACU54" s="252"/>
      <c r="ACV54" s="252"/>
      <c r="ACW54" s="252"/>
      <c r="ACX54" s="252"/>
      <c r="ACY54" s="252"/>
      <c r="ACZ54" s="252"/>
      <c r="ADA54" s="252"/>
      <c r="ADB54" s="252"/>
      <c r="ADC54" s="252"/>
      <c r="ADD54" s="252"/>
      <c r="ADE54" s="252"/>
      <c r="ADF54" s="252"/>
      <c r="ADG54" s="252"/>
      <c r="ADH54" s="252"/>
      <c r="ADI54" s="252"/>
      <c r="ADJ54" s="252"/>
      <c r="ADK54" s="252"/>
      <c r="ADL54" s="252"/>
      <c r="ADM54" s="252"/>
      <c r="ADN54" s="252"/>
      <c r="ADO54" s="252"/>
      <c r="ADP54" s="252"/>
      <c r="ADQ54" s="252"/>
      <c r="ADR54" s="252"/>
      <c r="ADS54" s="252"/>
      <c r="ADT54" s="252"/>
      <c r="ADU54" s="252"/>
      <c r="ADV54" s="252"/>
      <c r="ADW54" s="252"/>
      <c r="ADX54" s="252"/>
      <c r="ADY54" s="252"/>
      <c r="ADZ54" s="252"/>
      <c r="AEA54" s="252"/>
      <c r="AEB54" s="252"/>
      <c r="AEC54" s="252"/>
      <c r="AED54" s="252"/>
      <c r="AEE54" s="252"/>
      <c r="AEF54" s="252"/>
      <c r="AEG54" s="252"/>
      <c r="AEH54" s="252"/>
      <c r="AEI54" s="252"/>
      <c r="AEJ54" s="252"/>
      <c r="AEK54" s="252"/>
      <c r="AEL54" s="252"/>
      <c r="AEM54" s="252"/>
      <c r="AEN54" s="252"/>
      <c r="AEO54" s="252"/>
      <c r="AEP54" s="252"/>
      <c r="AEQ54" s="252"/>
      <c r="AER54" s="252"/>
      <c r="AES54" s="252"/>
      <c r="AET54" s="252"/>
      <c r="AEU54" s="252"/>
      <c r="AEV54" s="252"/>
      <c r="AEW54" s="252"/>
      <c r="AEX54" s="252"/>
      <c r="AEY54" s="252"/>
      <c r="AEZ54" s="252"/>
      <c r="AFA54" s="252"/>
      <c r="AFB54" s="252"/>
      <c r="AFC54" s="252"/>
      <c r="AFD54" s="252"/>
      <c r="AFE54" s="252"/>
      <c r="AFF54" s="252"/>
      <c r="AFG54" s="252"/>
      <c r="AFH54" s="252"/>
      <c r="AFI54" s="252"/>
      <c r="AFJ54" s="252"/>
      <c r="AFK54" s="252"/>
      <c r="AFL54" s="252"/>
      <c r="AFM54" s="252"/>
      <c r="AFN54" s="252"/>
      <c r="AFO54" s="252"/>
      <c r="AFP54" s="252"/>
      <c r="AFQ54" s="252"/>
      <c r="AFR54" s="252"/>
      <c r="AFS54" s="252"/>
      <c r="AFT54" s="252"/>
      <c r="AFU54" s="252"/>
      <c r="AFV54" s="252"/>
      <c r="AFW54" s="252"/>
      <c r="AFX54" s="252"/>
      <c r="AFY54" s="252"/>
      <c r="AFZ54" s="252"/>
      <c r="AGA54" s="252"/>
      <c r="AGB54" s="252"/>
      <c r="AGC54" s="252"/>
      <c r="AGD54" s="252"/>
      <c r="AGE54" s="252"/>
      <c r="AGF54" s="252"/>
      <c r="AGG54" s="252"/>
      <c r="AGH54" s="252"/>
      <c r="AGI54" s="252"/>
      <c r="AGJ54" s="252"/>
      <c r="AGK54" s="252"/>
      <c r="AGL54" s="252"/>
      <c r="AGM54" s="252"/>
      <c r="AGN54" s="252"/>
      <c r="AGO54" s="252"/>
      <c r="AGP54" s="252"/>
      <c r="AGQ54" s="252"/>
      <c r="AGR54" s="252"/>
      <c r="AGS54" s="252"/>
      <c r="AGT54" s="252"/>
      <c r="AGU54" s="252"/>
      <c r="AGV54" s="252"/>
      <c r="AGW54" s="252"/>
      <c r="AGX54" s="252"/>
      <c r="AGY54" s="252"/>
      <c r="AGZ54" s="252"/>
      <c r="AHA54" s="252"/>
      <c r="AHB54" s="252"/>
      <c r="AHC54" s="252"/>
      <c r="AHD54" s="252"/>
      <c r="AHE54" s="252"/>
      <c r="AHF54" s="252"/>
      <c r="AHG54" s="252"/>
      <c r="AHH54" s="252"/>
      <c r="AHI54" s="252"/>
      <c r="AHJ54" s="252"/>
      <c r="AHK54" s="252"/>
      <c r="AHL54" s="252"/>
      <c r="AHM54" s="252"/>
      <c r="AHN54" s="252"/>
      <c r="AHO54" s="252"/>
      <c r="AHP54" s="252"/>
      <c r="AHQ54" s="252"/>
      <c r="AHR54" s="252"/>
      <c r="AHS54" s="252"/>
      <c r="AHT54" s="252"/>
      <c r="AHU54" s="252"/>
      <c r="AHV54" s="252"/>
      <c r="AHW54" s="252"/>
      <c r="AHX54" s="252"/>
      <c r="AHY54" s="252"/>
      <c r="AHZ54" s="252"/>
      <c r="AIA54" s="252"/>
      <c r="AIB54" s="252"/>
      <c r="AIC54" s="252"/>
      <c r="AID54" s="252"/>
      <c r="AIE54" s="252"/>
      <c r="AIF54" s="252"/>
      <c r="AIG54" s="252"/>
      <c r="AIH54" s="252"/>
      <c r="AII54" s="252"/>
      <c r="AIJ54" s="252"/>
      <c r="AIK54" s="252"/>
      <c r="AIL54" s="252"/>
      <c r="AIM54" s="252"/>
      <c r="AIN54" s="252"/>
      <c r="AIO54" s="252"/>
      <c r="AIP54" s="252"/>
      <c r="AIQ54" s="252"/>
      <c r="AIR54" s="252"/>
      <c r="AIS54" s="252"/>
      <c r="AIT54" s="252"/>
      <c r="AIU54" s="252"/>
      <c r="AIV54" s="252"/>
      <c r="AIW54" s="252"/>
      <c r="AIX54" s="252"/>
      <c r="AIY54" s="252"/>
      <c r="AIZ54" s="252"/>
      <c r="AJA54" s="252"/>
      <c r="AJB54" s="252"/>
      <c r="AJC54" s="252"/>
      <c r="AJD54" s="252"/>
      <c r="AJE54" s="252"/>
      <c r="AJF54" s="252"/>
      <c r="AJG54" s="252"/>
      <c r="AJH54" s="252"/>
      <c r="AJI54" s="252"/>
      <c r="AJJ54" s="252"/>
      <c r="AJK54" s="252"/>
      <c r="AJL54" s="252"/>
      <c r="AJM54" s="252"/>
      <c r="AJN54" s="252"/>
      <c r="AJO54" s="252"/>
      <c r="AJP54" s="252"/>
      <c r="AJQ54" s="252"/>
      <c r="AJR54" s="252"/>
      <c r="AJS54" s="252"/>
      <c r="AJT54" s="252"/>
      <c r="AJU54" s="252"/>
      <c r="AJV54" s="252"/>
      <c r="AJW54" s="252"/>
      <c r="AJX54" s="252"/>
      <c r="AJY54" s="252"/>
      <c r="AJZ54" s="252"/>
      <c r="AKA54" s="252"/>
      <c r="AKB54" s="252"/>
      <c r="AKC54" s="252"/>
      <c r="AKD54" s="252"/>
      <c r="AKE54" s="252"/>
      <c r="AKF54" s="252"/>
      <c r="AKG54" s="252"/>
      <c r="AKH54" s="252"/>
      <c r="AKI54" s="252"/>
      <c r="AKJ54" s="252"/>
      <c r="AKK54" s="252"/>
      <c r="AKL54" s="252"/>
      <c r="AKM54" s="252"/>
      <c r="AKN54" s="252"/>
      <c r="AKO54" s="252"/>
      <c r="AKP54" s="252"/>
      <c r="AKQ54" s="252"/>
      <c r="AKR54" s="252"/>
      <c r="AKS54" s="252"/>
      <c r="AKT54" s="252"/>
      <c r="AKU54" s="252"/>
      <c r="AKV54" s="252"/>
      <c r="AKW54" s="252"/>
      <c r="AKX54" s="252"/>
      <c r="AKY54" s="252"/>
      <c r="AKZ54" s="252"/>
      <c r="ALA54" s="252"/>
      <c r="ALB54" s="252"/>
      <c r="ALC54" s="252"/>
      <c r="ALD54" s="252"/>
      <c r="ALE54" s="252"/>
      <c r="ALF54" s="252"/>
      <c r="ALG54" s="252"/>
      <c r="ALH54" s="252"/>
      <c r="ALI54" s="252"/>
      <c r="ALJ54" s="252"/>
      <c r="ALK54" s="252"/>
      <c r="ALL54" s="252"/>
      <c r="ALM54" s="252"/>
      <c r="ALN54" s="252"/>
      <c r="ALO54" s="252"/>
      <c r="ALP54" s="252"/>
      <c r="ALQ54" s="252"/>
      <c r="ALR54" s="252"/>
    </row>
    <row r="55" spans="1:1007" s="3" customFormat="1" x14ac:dyDescent="0.2">
      <c r="A55" s="369" t="s">
        <v>291</v>
      </c>
      <c r="B55" s="382">
        <v>32000</v>
      </c>
      <c r="C55" s="382">
        <v>17000</v>
      </c>
      <c r="D55" s="382"/>
      <c r="E55" s="733"/>
      <c r="F55" s="730"/>
      <c r="G55" s="730"/>
      <c r="H55" s="730"/>
      <c r="I55" s="730"/>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252"/>
      <c r="AI55" s="252"/>
      <c r="AJ55" s="252"/>
      <c r="AK55" s="252"/>
      <c r="AL55" s="252"/>
      <c r="AM55" s="252"/>
      <c r="AN55" s="252"/>
      <c r="AO55" s="252"/>
      <c r="AP55" s="252"/>
      <c r="AQ55" s="252"/>
      <c r="AR55" s="252"/>
      <c r="AS55" s="252"/>
      <c r="AT55" s="252"/>
      <c r="AU55" s="252"/>
      <c r="AV55" s="252"/>
      <c r="AW55" s="252"/>
      <c r="AX55" s="252"/>
      <c r="AY55" s="252"/>
      <c r="AZ55" s="252"/>
      <c r="BA55" s="252"/>
      <c r="BB55" s="252"/>
      <c r="BC55" s="252"/>
      <c r="BD55" s="252"/>
      <c r="BE55" s="252"/>
      <c r="BF55" s="252"/>
      <c r="BG55" s="252"/>
      <c r="BH55" s="252"/>
      <c r="BI55" s="252"/>
      <c r="BJ55" s="252"/>
      <c r="BK55" s="252"/>
      <c r="BL55" s="252"/>
      <c r="BM55" s="252"/>
      <c r="BN55" s="252"/>
      <c r="BO55" s="252"/>
      <c r="BP55" s="252"/>
      <c r="BQ55" s="252"/>
      <c r="BR55" s="252"/>
      <c r="BS55" s="252"/>
      <c r="BT55" s="252"/>
      <c r="BU55" s="252"/>
      <c r="BV55" s="252"/>
      <c r="BW55" s="252"/>
      <c r="BX55" s="252"/>
      <c r="BY55" s="252"/>
      <c r="BZ55" s="252"/>
      <c r="CA55" s="252"/>
      <c r="CB55" s="252"/>
      <c r="CC55" s="252"/>
      <c r="CD55" s="252"/>
      <c r="CE55" s="252"/>
      <c r="CF55" s="252"/>
      <c r="CG55" s="252"/>
      <c r="CH55" s="252"/>
      <c r="CI55" s="252"/>
      <c r="CJ55" s="252"/>
      <c r="CK55" s="252"/>
      <c r="CL55" s="252"/>
      <c r="CM55" s="252"/>
      <c r="CN55" s="252"/>
      <c r="CO55" s="252"/>
      <c r="CP55" s="252"/>
      <c r="CQ55" s="252"/>
      <c r="CR55" s="252"/>
      <c r="CS55" s="252"/>
      <c r="CT55" s="252"/>
      <c r="CU55" s="252"/>
      <c r="CV55" s="252"/>
      <c r="CW55" s="252"/>
      <c r="CX55" s="252"/>
      <c r="CY55" s="252"/>
      <c r="CZ55" s="252"/>
      <c r="DA55" s="252"/>
      <c r="DB55" s="252"/>
      <c r="DC55" s="252"/>
      <c r="DD55" s="252"/>
      <c r="DE55" s="252"/>
      <c r="DF55" s="252"/>
      <c r="DG55" s="252"/>
      <c r="DH55" s="252"/>
      <c r="DI55" s="252"/>
      <c r="DJ55" s="252"/>
      <c r="DK55" s="252"/>
      <c r="DL55" s="252"/>
      <c r="DM55" s="252"/>
      <c r="DN55" s="252"/>
      <c r="DO55" s="252"/>
      <c r="DP55" s="252"/>
      <c r="DQ55" s="252"/>
      <c r="DR55" s="252"/>
      <c r="DS55" s="252"/>
      <c r="DT55" s="252"/>
      <c r="DU55" s="252"/>
      <c r="DV55" s="252"/>
      <c r="DW55" s="252"/>
      <c r="DX55" s="252"/>
      <c r="DY55" s="252"/>
      <c r="DZ55" s="252"/>
      <c r="EA55" s="252"/>
      <c r="EB55" s="252"/>
      <c r="EC55" s="252"/>
      <c r="ED55" s="252"/>
      <c r="EE55" s="252"/>
      <c r="EF55" s="252"/>
      <c r="EG55" s="252"/>
      <c r="EH55" s="252"/>
      <c r="EI55" s="252"/>
      <c r="EJ55" s="252"/>
      <c r="EK55" s="252"/>
      <c r="EL55" s="252"/>
      <c r="EM55" s="252"/>
      <c r="EN55" s="252"/>
      <c r="EO55" s="252"/>
      <c r="EP55" s="252"/>
      <c r="EQ55" s="252"/>
      <c r="ER55" s="252"/>
      <c r="ES55" s="252"/>
      <c r="ET55" s="252"/>
      <c r="EU55" s="252"/>
      <c r="EV55" s="252"/>
      <c r="EW55" s="252"/>
      <c r="EX55" s="252"/>
      <c r="EY55" s="252"/>
      <c r="EZ55" s="252"/>
      <c r="FA55" s="252"/>
      <c r="FB55" s="252"/>
      <c r="FC55" s="252"/>
      <c r="FD55" s="252"/>
      <c r="FE55" s="252"/>
      <c r="FF55" s="252"/>
      <c r="FG55" s="252"/>
      <c r="FH55" s="252"/>
      <c r="FI55" s="252"/>
      <c r="FJ55" s="252"/>
      <c r="FK55" s="252"/>
      <c r="FL55" s="252"/>
      <c r="FM55" s="252"/>
      <c r="FN55" s="252"/>
      <c r="FO55" s="252"/>
      <c r="FP55" s="252"/>
      <c r="FQ55" s="252"/>
      <c r="FR55" s="252"/>
      <c r="FS55" s="252"/>
      <c r="FT55" s="252"/>
      <c r="FU55" s="252"/>
      <c r="FV55" s="252"/>
      <c r="FW55" s="252"/>
      <c r="FX55" s="252"/>
      <c r="FY55" s="252"/>
      <c r="FZ55" s="252"/>
      <c r="GA55" s="252"/>
      <c r="GB55" s="252"/>
      <c r="GC55" s="252"/>
      <c r="GD55" s="252"/>
      <c r="GE55" s="252"/>
      <c r="GF55" s="252"/>
      <c r="GG55" s="252"/>
      <c r="GH55" s="252"/>
      <c r="GI55" s="252"/>
      <c r="GJ55" s="252"/>
      <c r="GK55" s="252"/>
      <c r="GL55" s="252"/>
      <c r="GM55" s="252"/>
      <c r="GN55" s="252"/>
      <c r="GO55" s="252"/>
      <c r="GP55" s="252"/>
      <c r="GQ55" s="252"/>
      <c r="GR55" s="252"/>
      <c r="GS55" s="252"/>
      <c r="GT55" s="252"/>
      <c r="GU55" s="252"/>
      <c r="GV55" s="252"/>
      <c r="GW55" s="252"/>
      <c r="GX55" s="252"/>
      <c r="GY55" s="252"/>
      <c r="GZ55" s="252"/>
      <c r="HA55" s="252"/>
      <c r="HB55" s="252"/>
      <c r="HC55" s="252"/>
      <c r="HD55" s="252"/>
      <c r="HE55" s="252"/>
      <c r="HF55" s="252"/>
      <c r="HG55" s="252"/>
      <c r="HH55" s="252"/>
      <c r="HI55" s="252"/>
      <c r="HJ55" s="252"/>
      <c r="HK55" s="252"/>
      <c r="HL55" s="252"/>
      <c r="HM55" s="252"/>
      <c r="HN55" s="252"/>
      <c r="HO55" s="252"/>
      <c r="HP55" s="252"/>
      <c r="HQ55" s="252"/>
      <c r="HR55" s="252"/>
      <c r="HS55" s="252"/>
      <c r="HT55" s="252"/>
      <c r="HU55" s="252"/>
      <c r="HV55" s="252"/>
      <c r="HW55" s="252"/>
      <c r="HX55" s="252"/>
      <c r="HY55" s="252"/>
      <c r="HZ55" s="252"/>
      <c r="IA55" s="252"/>
      <c r="IB55" s="252"/>
      <c r="IC55" s="252"/>
      <c r="ID55" s="252"/>
      <c r="IE55" s="252"/>
      <c r="IF55" s="252"/>
      <c r="IG55" s="252"/>
      <c r="IH55" s="252"/>
      <c r="II55" s="252"/>
      <c r="IJ55" s="252"/>
      <c r="IK55" s="252"/>
      <c r="IL55" s="252"/>
      <c r="IM55" s="252"/>
      <c r="IN55" s="252"/>
      <c r="IO55" s="252"/>
      <c r="IP55" s="252"/>
      <c r="IQ55" s="252"/>
      <c r="IR55" s="252"/>
      <c r="IS55" s="252"/>
      <c r="IT55" s="252"/>
      <c r="IU55" s="252"/>
      <c r="IV55" s="252"/>
      <c r="IW55" s="252"/>
      <c r="IX55" s="252"/>
      <c r="IY55" s="252"/>
      <c r="IZ55" s="252"/>
      <c r="JA55" s="252"/>
      <c r="JB55" s="252"/>
      <c r="JC55" s="252"/>
      <c r="JD55" s="252"/>
      <c r="JE55" s="252"/>
      <c r="JF55" s="252"/>
      <c r="JG55" s="252"/>
      <c r="JH55" s="252"/>
      <c r="JI55" s="252"/>
      <c r="JJ55" s="252"/>
      <c r="JK55" s="252"/>
      <c r="JL55" s="252"/>
      <c r="JM55" s="252"/>
      <c r="JN55" s="252"/>
      <c r="JO55" s="252"/>
      <c r="JP55" s="252"/>
      <c r="JQ55" s="252"/>
      <c r="JR55" s="252"/>
      <c r="JS55" s="252"/>
      <c r="JT55" s="252"/>
      <c r="JU55" s="252"/>
      <c r="JV55" s="252"/>
      <c r="JW55" s="252"/>
      <c r="JX55" s="252"/>
      <c r="JY55" s="252"/>
      <c r="JZ55" s="252"/>
      <c r="KA55" s="252"/>
      <c r="KB55" s="252"/>
      <c r="KC55" s="252"/>
      <c r="KD55" s="252"/>
      <c r="KE55" s="252"/>
      <c r="KF55" s="252"/>
      <c r="KG55" s="252"/>
      <c r="KH55" s="252"/>
      <c r="KI55" s="252"/>
      <c r="KJ55" s="252"/>
      <c r="KK55" s="252"/>
      <c r="KL55" s="252"/>
      <c r="KM55" s="252"/>
      <c r="KN55" s="252"/>
      <c r="KO55" s="252"/>
      <c r="KP55" s="252"/>
      <c r="KQ55" s="252"/>
      <c r="KR55" s="252"/>
      <c r="KS55" s="252"/>
      <c r="KT55" s="252"/>
      <c r="KU55" s="252"/>
      <c r="KV55" s="252"/>
      <c r="KW55" s="252"/>
      <c r="KX55" s="252"/>
      <c r="KY55" s="252"/>
      <c r="KZ55" s="252"/>
      <c r="LA55" s="252"/>
      <c r="LB55" s="252"/>
      <c r="LC55" s="252"/>
      <c r="LD55" s="252"/>
      <c r="LE55" s="252"/>
      <c r="LF55" s="252"/>
      <c r="LG55" s="252"/>
      <c r="LH55" s="252"/>
      <c r="LI55" s="252"/>
      <c r="LJ55" s="252"/>
      <c r="LK55" s="252"/>
      <c r="LL55" s="252"/>
      <c r="LM55" s="252"/>
      <c r="LN55" s="252"/>
      <c r="LO55" s="252"/>
      <c r="LP55" s="252"/>
      <c r="LQ55" s="252"/>
      <c r="LR55" s="252"/>
      <c r="LS55" s="252"/>
      <c r="LT55" s="252"/>
      <c r="LU55" s="252"/>
      <c r="LV55" s="252"/>
      <c r="LW55" s="252"/>
      <c r="LX55" s="252"/>
      <c r="LY55" s="252"/>
      <c r="LZ55" s="252"/>
      <c r="MA55" s="252"/>
      <c r="MB55" s="252"/>
      <c r="MC55" s="252"/>
      <c r="MD55" s="252"/>
      <c r="ME55" s="252"/>
      <c r="MF55" s="252"/>
      <c r="MG55" s="252"/>
      <c r="MH55" s="252"/>
      <c r="MI55" s="252"/>
      <c r="MJ55" s="252"/>
      <c r="MK55" s="252"/>
      <c r="ML55" s="252"/>
      <c r="MM55" s="252"/>
      <c r="MN55" s="252"/>
      <c r="MO55" s="252"/>
      <c r="MP55" s="252"/>
      <c r="MQ55" s="252"/>
      <c r="MR55" s="252"/>
      <c r="MS55" s="252"/>
      <c r="MT55" s="252"/>
      <c r="MU55" s="252"/>
      <c r="MV55" s="252"/>
      <c r="MW55" s="252"/>
      <c r="MX55" s="252"/>
      <c r="MY55" s="252"/>
      <c r="MZ55" s="252"/>
      <c r="NA55" s="252"/>
      <c r="NB55" s="252"/>
      <c r="NC55" s="252"/>
      <c r="ND55" s="252"/>
      <c r="NE55" s="252"/>
      <c r="NF55" s="252"/>
      <c r="NG55" s="252"/>
      <c r="NH55" s="252"/>
      <c r="NI55" s="252"/>
      <c r="NJ55" s="252"/>
      <c r="NK55" s="252"/>
      <c r="NL55" s="252"/>
      <c r="NM55" s="252"/>
      <c r="NN55" s="252"/>
      <c r="NO55" s="252"/>
      <c r="NP55" s="252"/>
      <c r="NQ55" s="252"/>
      <c r="NR55" s="252"/>
      <c r="NS55" s="252"/>
      <c r="NT55" s="252"/>
      <c r="NU55" s="252"/>
      <c r="NV55" s="252"/>
      <c r="NW55" s="252"/>
      <c r="NX55" s="252"/>
      <c r="NY55" s="252"/>
      <c r="NZ55" s="252"/>
      <c r="OA55" s="252"/>
      <c r="OB55" s="252"/>
      <c r="OC55" s="252"/>
      <c r="OD55" s="252"/>
      <c r="OE55" s="252"/>
      <c r="OF55" s="252"/>
      <c r="OG55" s="252"/>
      <c r="OH55" s="252"/>
      <c r="OI55" s="252"/>
      <c r="OJ55" s="252"/>
      <c r="OK55" s="252"/>
      <c r="OL55" s="252"/>
      <c r="OM55" s="252"/>
      <c r="ON55" s="252"/>
      <c r="OO55" s="252"/>
      <c r="OP55" s="252"/>
      <c r="OQ55" s="252"/>
      <c r="OR55" s="252"/>
      <c r="OS55" s="252"/>
      <c r="OT55" s="252"/>
      <c r="OU55" s="252"/>
      <c r="OV55" s="252"/>
      <c r="OW55" s="252"/>
      <c r="OX55" s="252"/>
      <c r="OY55" s="252"/>
      <c r="OZ55" s="252"/>
      <c r="PA55" s="252"/>
      <c r="PB55" s="252"/>
      <c r="PC55" s="252"/>
      <c r="PD55" s="252"/>
      <c r="PE55" s="252"/>
      <c r="PF55" s="252"/>
      <c r="PG55" s="252"/>
      <c r="PH55" s="252"/>
      <c r="PI55" s="252"/>
      <c r="PJ55" s="252"/>
      <c r="PK55" s="252"/>
      <c r="PL55" s="252"/>
      <c r="PM55" s="252"/>
      <c r="PN55" s="252"/>
      <c r="PO55" s="252"/>
      <c r="PP55" s="252"/>
      <c r="PQ55" s="252"/>
      <c r="PR55" s="252"/>
      <c r="PS55" s="252"/>
      <c r="PT55" s="252"/>
      <c r="PU55" s="252"/>
      <c r="PV55" s="252"/>
      <c r="PW55" s="252"/>
      <c r="PX55" s="252"/>
      <c r="PY55" s="252"/>
      <c r="PZ55" s="252"/>
      <c r="QA55" s="252"/>
      <c r="QB55" s="252"/>
      <c r="QC55" s="252"/>
      <c r="QD55" s="252"/>
      <c r="QE55" s="252"/>
      <c r="QF55" s="252"/>
      <c r="QG55" s="252"/>
      <c r="QH55" s="252"/>
      <c r="QI55" s="252"/>
      <c r="QJ55" s="252"/>
      <c r="QK55" s="252"/>
      <c r="QL55" s="252"/>
      <c r="QM55" s="252"/>
      <c r="QN55" s="252"/>
      <c r="QO55" s="252"/>
      <c r="QP55" s="252"/>
      <c r="QQ55" s="252"/>
      <c r="QR55" s="252"/>
      <c r="QS55" s="252"/>
      <c r="QT55" s="252"/>
      <c r="QU55" s="252"/>
      <c r="QV55" s="252"/>
      <c r="QW55" s="252"/>
      <c r="QX55" s="252"/>
      <c r="QY55" s="252"/>
      <c r="QZ55" s="252"/>
      <c r="RA55" s="252"/>
      <c r="RB55" s="252"/>
      <c r="RC55" s="252"/>
      <c r="RD55" s="252"/>
      <c r="RE55" s="252"/>
      <c r="RF55" s="252"/>
      <c r="RG55" s="252"/>
      <c r="RH55" s="252"/>
      <c r="RI55" s="252"/>
      <c r="RJ55" s="252"/>
      <c r="RK55" s="252"/>
      <c r="RL55" s="252"/>
      <c r="RM55" s="252"/>
      <c r="RN55" s="252"/>
      <c r="RO55" s="252"/>
      <c r="RP55" s="252"/>
      <c r="RQ55" s="252"/>
      <c r="RR55" s="252"/>
      <c r="RS55" s="252"/>
      <c r="RT55" s="252"/>
      <c r="RU55" s="252"/>
      <c r="RV55" s="252"/>
      <c r="RW55" s="252"/>
      <c r="RX55" s="252"/>
      <c r="RY55" s="252"/>
      <c r="RZ55" s="252"/>
      <c r="SA55" s="252"/>
      <c r="SB55" s="252"/>
      <c r="SC55" s="252"/>
      <c r="SD55" s="252"/>
      <c r="SE55" s="252"/>
      <c r="SF55" s="252"/>
      <c r="SG55" s="252"/>
      <c r="SH55" s="252"/>
      <c r="SI55" s="252"/>
      <c r="SJ55" s="252"/>
      <c r="SK55" s="252"/>
      <c r="SL55" s="252"/>
      <c r="SM55" s="252"/>
      <c r="SN55" s="252"/>
      <c r="SO55" s="252"/>
      <c r="SP55" s="252"/>
      <c r="SQ55" s="252"/>
      <c r="SR55" s="252"/>
      <c r="SS55" s="252"/>
      <c r="ST55" s="252"/>
      <c r="SU55" s="252"/>
      <c r="SV55" s="252"/>
      <c r="SW55" s="252"/>
      <c r="SX55" s="252"/>
      <c r="SY55" s="252"/>
      <c r="SZ55" s="252"/>
      <c r="TA55" s="252"/>
      <c r="TB55" s="252"/>
      <c r="TC55" s="252"/>
      <c r="TD55" s="252"/>
      <c r="TE55" s="252"/>
      <c r="TF55" s="252"/>
      <c r="TG55" s="252"/>
      <c r="TH55" s="252"/>
      <c r="TI55" s="252"/>
      <c r="TJ55" s="252"/>
      <c r="TK55" s="252"/>
      <c r="TL55" s="252"/>
      <c r="TM55" s="252"/>
      <c r="TN55" s="252"/>
      <c r="TO55" s="252"/>
      <c r="TP55" s="252"/>
      <c r="TQ55" s="252"/>
      <c r="TR55" s="252"/>
      <c r="TS55" s="252"/>
      <c r="TT55" s="252"/>
      <c r="TU55" s="252"/>
      <c r="TV55" s="252"/>
      <c r="TW55" s="252"/>
      <c r="TX55" s="252"/>
      <c r="TY55" s="252"/>
      <c r="TZ55" s="252"/>
      <c r="UA55" s="252"/>
      <c r="UB55" s="252"/>
      <c r="UC55" s="252"/>
      <c r="UD55" s="252"/>
      <c r="UE55" s="252"/>
      <c r="UF55" s="252"/>
      <c r="UG55" s="252"/>
      <c r="UH55" s="252"/>
      <c r="UI55" s="252"/>
      <c r="UJ55" s="252"/>
      <c r="UK55" s="252"/>
      <c r="UL55" s="252"/>
      <c r="UM55" s="252"/>
      <c r="UN55" s="252"/>
      <c r="UO55" s="252"/>
      <c r="UP55" s="252"/>
      <c r="UQ55" s="252"/>
      <c r="UR55" s="252"/>
      <c r="US55" s="252"/>
      <c r="UT55" s="252"/>
      <c r="UU55" s="252"/>
      <c r="UV55" s="252"/>
      <c r="UW55" s="252"/>
      <c r="UX55" s="252"/>
      <c r="UY55" s="252"/>
      <c r="UZ55" s="252"/>
      <c r="VA55" s="252"/>
      <c r="VB55" s="252"/>
      <c r="VC55" s="252"/>
      <c r="VD55" s="252"/>
      <c r="VE55" s="252"/>
      <c r="VF55" s="252"/>
      <c r="VG55" s="252"/>
      <c r="VH55" s="252"/>
      <c r="VI55" s="252"/>
      <c r="VJ55" s="252"/>
      <c r="VK55" s="252"/>
      <c r="VL55" s="252"/>
      <c r="VM55" s="252"/>
      <c r="VN55" s="252"/>
      <c r="VO55" s="252"/>
      <c r="VP55" s="252"/>
      <c r="VQ55" s="252"/>
      <c r="VR55" s="252"/>
      <c r="VS55" s="252"/>
      <c r="VT55" s="252"/>
      <c r="VU55" s="252"/>
      <c r="VV55" s="252"/>
      <c r="VW55" s="252"/>
      <c r="VX55" s="252"/>
      <c r="VY55" s="252"/>
      <c r="VZ55" s="252"/>
      <c r="WA55" s="252"/>
      <c r="WB55" s="252"/>
      <c r="WC55" s="252"/>
      <c r="WD55" s="252"/>
      <c r="WE55" s="252"/>
      <c r="WF55" s="252"/>
      <c r="WG55" s="252"/>
      <c r="WH55" s="252"/>
      <c r="WI55" s="252"/>
      <c r="WJ55" s="252"/>
      <c r="WK55" s="252"/>
      <c r="WL55" s="252"/>
      <c r="WM55" s="252"/>
      <c r="WN55" s="252"/>
      <c r="WO55" s="252"/>
      <c r="WP55" s="252"/>
      <c r="WQ55" s="252"/>
      <c r="WR55" s="252"/>
      <c r="WS55" s="252"/>
      <c r="WT55" s="252"/>
      <c r="WU55" s="252"/>
      <c r="WV55" s="252"/>
      <c r="WW55" s="252"/>
      <c r="WX55" s="252"/>
      <c r="WY55" s="252"/>
      <c r="WZ55" s="252"/>
      <c r="XA55" s="252"/>
      <c r="XB55" s="252"/>
      <c r="XC55" s="252"/>
      <c r="XD55" s="252"/>
      <c r="XE55" s="252"/>
      <c r="XF55" s="252"/>
      <c r="XG55" s="252"/>
      <c r="XH55" s="252"/>
      <c r="XI55" s="252"/>
      <c r="XJ55" s="252"/>
      <c r="XK55" s="252"/>
      <c r="XL55" s="252"/>
      <c r="XM55" s="252"/>
      <c r="XN55" s="252"/>
      <c r="XO55" s="252"/>
      <c r="XP55" s="252"/>
      <c r="XQ55" s="252"/>
      <c r="XR55" s="252"/>
      <c r="XS55" s="252"/>
      <c r="XT55" s="252"/>
      <c r="XU55" s="252"/>
      <c r="XV55" s="252"/>
      <c r="XW55" s="252"/>
      <c r="XX55" s="252"/>
      <c r="XY55" s="252"/>
      <c r="XZ55" s="252"/>
      <c r="YA55" s="252"/>
      <c r="YB55" s="252"/>
      <c r="YC55" s="252"/>
      <c r="YD55" s="252"/>
      <c r="YE55" s="252"/>
      <c r="YF55" s="252"/>
      <c r="YG55" s="252"/>
      <c r="YH55" s="252"/>
      <c r="YI55" s="252"/>
      <c r="YJ55" s="252"/>
      <c r="YK55" s="252"/>
      <c r="YL55" s="252"/>
      <c r="YM55" s="252"/>
      <c r="YN55" s="252"/>
      <c r="YO55" s="252"/>
      <c r="YP55" s="252"/>
      <c r="YQ55" s="252"/>
      <c r="YR55" s="252"/>
      <c r="YS55" s="252"/>
      <c r="YT55" s="252"/>
      <c r="YU55" s="252"/>
      <c r="YV55" s="252"/>
      <c r="YW55" s="252"/>
      <c r="YX55" s="252"/>
      <c r="YY55" s="252"/>
      <c r="YZ55" s="252"/>
      <c r="ZA55" s="252"/>
      <c r="ZB55" s="252"/>
      <c r="ZC55" s="252"/>
      <c r="ZD55" s="252"/>
      <c r="ZE55" s="252"/>
      <c r="ZF55" s="252"/>
      <c r="ZG55" s="252"/>
      <c r="ZH55" s="252"/>
      <c r="ZI55" s="252"/>
      <c r="ZJ55" s="252"/>
      <c r="ZK55" s="252"/>
      <c r="ZL55" s="252"/>
      <c r="ZM55" s="252"/>
      <c r="ZN55" s="252"/>
      <c r="ZO55" s="252"/>
      <c r="ZP55" s="252"/>
      <c r="ZQ55" s="252"/>
      <c r="ZR55" s="252"/>
      <c r="ZS55" s="252"/>
      <c r="ZT55" s="252"/>
      <c r="ZU55" s="252"/>
      <c r="ZV55" s="252"/>
      <c r="ZW55" s="252"/>
      <c r="ZX55" s="252"/>
      <c r="ZY55" s="252"/>
      <c r="ZZ55" s="252"/>
      <c r="AAA55" s="252"/>
      <c r="AAB55" s="252"/>
      <c r="AAC55" s="252"/>
      <c r="AAD55" s="252"/>
      <c r="AAE55" s="252"/>
      <c r="AAF55" s="252"/>
      <c r="AAG55" s="252"/>
      <c r="AAH55" s="252"/>
      <c r="AAI55" s="252"/>
      <c r="AAJ55" s="252"/>
      <c r="AAK55" s="252"/>
      <c r="AAL55" s="252"/>
      <c r="AAM55" s="252"/>
      <c r="AAN55" s="252"/>
      <c r="AAO55" s="252"/>
      <c r="AAP55" s="252"/>
      <c r="AAQ55" s="252"/>
      <c r="AAR55" s="252"/>
      <c r="AAS55" s="252"/>
      <c r="AAT55" s="252"/>
      <c r="AAU55" s="252"/>
      <c r="AAV55" s="252"/>
      <c r="AAW55" s="252"/>
      <c r="AAX55" s="252"/>
      <c r="AAY55" s="252"/>
      <c r="AAZ55" s="252"/>
      <c r="ABA55" s="252"/>
      <c r="ABB55" s="252"/>
      <c r="ABC55" s="252"/>
      <c r="ABD55" s="252"/>
      <c r="ABE55" s="252"/>
      <c r="ABF55" s="252"/>
      <c r="ABG55" s="252"/>
      <c r="ABH55" s="252"/>
      <c r="ABI55" s="252"/>
      <c r="ABJ55" s="252"/>
      <c r="ABK55" s="252"/>
      <c r="ABL55" s="252"/>
      <c r="ABM55" s="252"/>
      <c r="ABN55" s="252"/>
      <c r="ABO55" s="252"/>
      <c r="ABP55" s="252"/>
      <c r="ABQ55" s="252"/>
      <c r="ABR55" s="252"/>
      <c r="ABS55" s="252"/>
      <c r="ABT55" s="252"/>
      <c r="ABU55" s="252"/>
      <c r="ABV55" s="252"/>
      <c r="ABW55" s="252"/>
      <c r="ABX55" s="252"/>
      <c r="ABY55" s="252"/>
      <c r="ABZ55" s="252"/>
      <c r="ACA55" s="252"/>
      <c r="ACB55" s="252"/>
      <c r="ACC55" s="252"/>
      <c r="ACD55" s="252"/>
      <c r="ACE55" s="252"/>
      <c r="ACF55" s="252"/>
      <c r="ACG55" s="252"/>
      <c r="ACH55" s="252"/>
      <c r="ACI55" s="252"/>
      <c r="ACJ55" s="252"/>
      <c r="ACK55" s="252"/>
      <c r="ACL55" s="252"/>
      <c r="ACM55" s="252"/>
      <c r="ACN55" s="252"/>
      <c r="ACO55" s="252"/>
      <c r="ACP55" s="252"/>
      <c r="ACQ55" s="252"/>
      <c r="ACR55" s="252"/>
      <c r="ACS55" s="252"/>
      <c r="ACT55" s="252"/>
      <c r="ACU55" s="252"/>
      <c r="ACV55" s="252"/>
      <c r="ACW55" s="252"/>
      <c r="ACX55" s="252"/>
      <c r="ACY55" s="252"/>
      <c r="ACZ55" s="252"/>
      <c r="ADA55" s="252"/>
      <c r="ADB55" s="252"/>
      <c r="ADC55" s="252"/>
      <c r="ADD55" s="252"/>
      <c r="ADE55" s="252"/>
      <c r="ADF55" s="252"/>
      <c r="ADG55" s="252"/>
      <c r="ADH55" s="252"/>
      <c r="ADI55" s="252"/>
      <c r="ADJ55" s="252"/>
      <c r="ADK55" s="252"/>
      <c r="ADL55" s="252"/>
      <c r="ADM55" s="252"/>
      <c r="ADN55" s="252"/>
      <c r="ADO55" s="252"/>
      <c r="ADP55" s="252"/>
      <c r="ADQ55" s="252"/>
      <c r="ADR55" s="252"/>
      <c r="ADS55" s="252"/>
      <c r="ADT55" s="252"/>
      <c r="ADU55" s="252"/>
      <c r="ADV55" s="252"/>
      <c r="ADW55" s="252"/>
      <c r="ADX55" s="252"/>
      <c r="ADY55" s="252"/>
      <c r="ADZ55" s="252"/>
      <c r="AEA55" s="252"/>
      <c r="AEB55" s="252"/>
      <c r="AEC55" s="252"/>
      <c r="AED55" s="252"/>
      <c r="AEE55" s="252"/>
      <c r="AEF55" s="252"/>
      <c r="AEG55" s="252"/>
      <c r="AEH55" s="252"/>
      <c r="AEI55" s="252"/>
      <c r="AEJ55" s="252"/>
      <c r="AEK55" s="252"/>
      <c r="AEL55" s="252"/>
      <c r="AEM55" s="252"/>
      <c r="AEN55" s="252"/>
      <c r="AEO55" s="252"/>
      <c r="AEP55" s="252"/>
      <c r="AEQ55" s="252"/>
      <c r="AER55" s="252"/>
      <c r="AES55" s="252"/>
      <c r="AET55" s="252"/>
      <c r="AEU55" s="252"/>
      <c r="AEV55" s="252"/>
      <c r="AEW55" s="252"/>
      <c r="AEX55" s="252"/>
      <c r="AEY55" s="252"/>
      <c r="AEZ55" s="252"/>
      <c r="AFA55" s="252"/>
      <c r="AFB55" s="252"/>
      <c r="AFC55" s="252"/>
      <c r="AFD55" s="252"/>
      <c r="AFE55" s="252"/>
      <c r="AFF55" s="252"/>
      <c r="AFG55" s="252"/>
      <c r="AFH55" s="252"/>
      <c r="AFI55" s="252"/>
      <c r="AFJ55" s="252"/>
      <c r="AFK55" s="252"/>
      <c r="AFL55" s="252"/>
      <c r="AFM55" s="252"/>
      <c r="AFN55" s="252"/>
      <c r="AFO55" s="252"/>
      <c r="AFP55" s="252"/>
      <c r="AFQ55" s="252"/>
      <c r="AFR55" s="252"/>
      <c r="AFS55" s="252"/>
      <c r="AFT55" s="252"/>
      <c r="AFU55" s="252"/>
      <c r="AFV55" s="252"/>
      <c r="AFW55" s="252"/>
      <c r="AFX55" s="252"/>
      <c r="AFY55" s="252"/>
      <c r="AFZ55" s="252"/>
      <c r="AGA55" s="252"/>
      <c r="AGB55" s="252"/>
      <c r="AGC55" s="252"/>
      <c r="AGD55" s="252"/>
      <c r="AGE55" s="252"/>
      <c r="AGF55" s="252"/>
      <c r="AGG55" s="252"/>
      <c r="AGH55" s="252"/>
      <c r="AGI55" s="252"/>
      <c r="AGJ55" s="252"/>
      <c r="AGK55" s="252"/>
      <c r="AGL55" s="252"/>
      <c r="AGM55" s="252"/>
      <c r="AGN55" s="252"/>
      <c r="AGO55" s="252"/>
      <c r="AGP55" s="252"/>
      <c r="AGQ55" s="252"/>
      <c r="AGR55" s="252"/>
      <c r="AGS55" s="252"/>
      <c r="AGT55" s="252"/>
      <c r="AGU55" s="252"/>
      <c r="AGV55" s="252"/>
      <c r="AGW55" s="252"/>
      <c r="AGX55" s="252"/>
      <c r="AGY55" s="252"/>
      <c r="AGZ55" s="252"/>
      <c r="AHA55" s="252"/>
      <c r="AHB55" s="252"/>
      <c r="AHC55" s="252"/>
      <c r="AHD55" s="252"/>
      <c r="AHE55" s="252"/>
      <c r="AHF55" s="252"/>
      <c r="AHG55" s="252"/>
      <c r="AHH55" s="252"/>
      <c r="AHI55" s="252"/>
      <c r="AHJ55" s="252"/>
      <c r="AHK55" s="252"/>
      <c r="AHL55" s="252"/>
      <c r="AHM55" s="252"/>
      <c r="AHN55" s="252"/>
      <c r="AHO55" s="252"/>
      <c r="AHP55" s="252"/>
      <c r="AHQ55" s="252"/>
      <c r="AHR55" s="252"/>
      <c r="AHS55" s="252"/>
      <c r="AHT55" s="252"/>
      <c r="AHU55" s="252"/>
      <c r="AHV55" s="252"/>
      <c r="AHW55" s="252"/>
      <c r="AHX55" s="252"/>
      <c r="AHY55" s="252"/>
      <c r="AHZ55" s="252"/>
      <c r="AIA55" s="252"/>
      <c r="AIB55" s="252"/>
      <c r="AIC55" s="252"/>
      <c r="AID55" s="252"/>
      <c r="AIE55" s="252"/>
      <c r="AIF55" s="252"/>
      <c r="AIG55" s="252"/>
      <c r="AIH55" s="252"/>
      <c r="AII55" s="252"/>
      <c r="AIJ55" s="252"/>
      <c r="AIK55" s="252"/>
      <c r="AIL55" s="252"/>
      <c r="AIM55" s="252"/>
      <c r="AIN55" s="252"/>
      <c r="AIO55" s="252"/>
      <c r="AIP55" s="252"/>
      <c r="AIQ55" s="252"/>
      <c r="AIR55" s="252"/>
      <c r="AIS55" s="252"/>
      <c r="AIT55" s="252"/>
      <c r="AIU55" s="252"/>
      <c r="AIV55" s="252"/>
      <c r="AIW55" s="252"/>
      <c r="AIX55" s="252"/>
      <c r="AIY55" s="252"/>
      <c r="AIZ55" s="252"/>
      <c r="AJA55" s="252"/>
      <c r="AJB55" s="252"/>
      <c r="AJC55" s="252"/>
      <c r="AJD55" s="252"/>
      <c r="AJE55" s="252"/>
      <c r="AJF55" s="252"/>
      <c r="AJG55" s="252"/>
      <c r="AJH55" s="252"/>
      <c r="AJI55" s="252"/>
      <c r="AJJ55" s="252"/>
      <c r="AJK55" s="252"/>
      <c r="AJL55" s="252"/>
      <c r="AJM55" s="252"/>
      <c r="AJN55" s="252"/>
      <c r="AJO55" s="252"/>
      <c r="AJP55" s="252"/>
      <c r="AJQ55" s="252"/>
      <c r="AJR55" s="252"/>
      <c r="AJS55" s="252"/>
      <c r="AJT55" s="252"/>
      <c r="AJU55" s="252"/>
      <c r="AJV55" s="252"/>
      <c r="AJW55" s="252"/>
      <c r="AJX55" s="252"/>
      <c r="AJY55" s="252"/>
      <c r="AJZ55" s="252"/>
      <c r="AKA55" s="252"/>
      <c r="AKB55" s="252"/>
      <c r="AKC55" s="252"/>
      <c r="AKD55" s="252"/>
      <c r="AKE55" s="252"/>
      <c r="AKF55" s="252"/>
      <c r="AKG55" s="252"/>
      <c r="AKH55" s="252"/>
      <c r="AKI55" s="252"/>
      <c r="AKJ55" s="252"/>
      <c r="AKK55" s="252"/>
      <c r="AKL55" s="252"/>
      <c r="AKM55" s="252"/>
      <c r="AKN55" s="252"/>
      <c r="AKO55" s="252"/>
      <c r="AKP55" s="252"/>
      <c r="AKQ55" s="252"/>
      <c r="AKR55" s="252"/>
      <c r="AKS55" s="252"/>
      <c r="AKT55" s="252"/>
      <c r="AKU55" s="252"/>
      <c r="AKV55" s="252"/>
      <c r="AKW55" s="252"/>
      <c r="AKX55" s="252"/>
      <c r="AKY55" s="252"/>
      <c r="AKZ55" s="252"/>
      <c r="ALA55" s="252"/>
      <c r="ALB55" s="252"/>
      <c r="ALC55" s="252"/>
      <c r="ALD55" s="252"/>
      <c r="ALE55" s="252"/>
      <c r="ALF55" s="252"/>
      <c r="ALG55" s="252"/>
      <c r="ALH55" s="252"/>
      <c r="ALI55" s="252"/>
      <c r="ALJ55" s="252"/>
      <c r="ALK55" s="252"/>
      <c r="ALL55" s="252"/>
      <c r="ALM55" s="252"/>
      <c r="ALN55" s="252"/>
      <c r="ALO55" s="252"/>
      <c r="ALP55" s="252"/>
      <c r="ALQ55" s="252"/>
      <c r="ALR55" s="252"/>
    </row>
    <row r="56" spans="1:1007" s="3" customFormat="1" x14ac:dyDescent="0.2">
      <c r="A56" s="369" t="s">
        <v>299</v>
      </c>
      <c r="B56" s="389"/>
      <c r="C56" s="382"/>
      <c r="D56" s="382">
        <v>13000</v>
      </c>
      <c r="E56" s="733"/>
      <c r="F56" s="730"/>
      <c r="G56" s="730"/>
      <c r="H56" s="730"/>
      <c r="I56" s="730"/>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2"/>
      <c r="AY56" s="252"/>
      <c r="AZ56" s="252"/>
      <c r="BA56" s="252"/>
      <c r="BB56" s="252"/>
      <c r="BC56" s="252"/>
      <c r="BD56" s="252"/>
      <c r="BE56" s="252"/>
      <c r="BF56" s="252"/>
      <c r="BG56" s="252"/>
      <c r="BH56" s="252"/>
      <c r="BI56" s="252"/>
      <c r="BJ56" s="252"/>
      <c r="BK56" s="252"/>
      <c r="BL56" s="252"/>
      <c r="BM56" s="252"/>
      <c r="BN56" s="252"/>
      <c r="BO56" s="252"/>
      <c r="BP56" s="252"/>
      <c r="BQ56" s="252"/>
      <c r="BR56" s="252"/>
      <c r="BS56" s="252"/>
      <c r="BT56" s="252"/>
      <c r="BU56" s="252"/>
      <c r="BV56" s="252"/>
      <c r="BW56" s="252"/>
      <c r="BX56" s="252"/>
      <c r="BY56" s="252"/>
      <c r="BZ56" s="252"/>
      <c r="CA56" s="252"/>
      <c r="CB56" s="252"/>
      <c r="CC56" s="252"/>
      <c r="CD56" s="252"/>
      <c r="CE56" s="252"/>
      <c r="CF56" s="252"/>
      <c r="CG56" s="252"/>
      <c r="CH56" s="252"/>
      <c r="CI56" s="252"/>
      <c r="CJ56" s="252"/>
      <c r="CK56" s="252"/>
      <c r="CL56" s="252"/>
      <c r="CM56" s="252"/>
      <c r="CN56" s="252"/>
      <c r="CO56" s="252"/>
      <c r="CP56" s="252"/>
      <c r="CQ56" s="252"/>
      <c r="CR56" s="252"/>
      <c r="CS56" s="252"/>
      <c r="CT56" s="252"/>
      <c r="CU56" s="252"/>
      <c r="CV56" s="252"/>
      <c r="CW56" s="252"/>
      <c r="CX56" s="252"/>
      <c r="CY56" s="252"/>
      <c r="CZ56" s="252"/>
      <c r="DA56" s="252"/>
      <c r="DB56" s="252"/>
      <c r="DC56" s="252"/>
      <c r="DD56" s="252"/>
      <c r="DE56" s="252"/>
      <c r="DF56" s="252"/>
      <c r="DG56" s="252"/>
      <c r="DH56" s="252"/>
      <c r="DI56" s="252"/>
      <c r="DJ56" s="252"/>
      <c r="DK56" s="252"/>
      <c r="DL56" s="252"/>
      <c r="DM56" s="252"/>
      <c r="DN56" s="252"/>
      <c r="DO56" s="252"/>
      <c r="DP56" s="252"/>
      <c r="DQ56" s="252"/>
      <c r="DR56" s="252"/>
      <c r="DS56" s="252"/>
      <c r="DT56" s="252"/>
      <c r="DU56" s="252"/>
      <c r="DV56" s="252"/>
      <c r="DW56" s="252"/>
      <c r="DX56" s="252"/>
      <c r="DY56" s="252"/>
      <c r="DZ56" s="252"/>
      <c r="EA56" s="252"/>
      <c r="EB56" s="252"/>
      <c r="EC56" s="252"/>
      <c r="ED56" s="252"/>
      <c r="EE56" s="252"/>
      <c r="EF56" s="252"/>
      <c r="EG56" s="252"/>
      <c r="EH56" s="252"/>
      <c r="EI56" s="252"/>
      <c r="EJ56" s="252"/>
      <c r="EK56" s="252"/>
      <c r="EL56" s="252"/>
      <c r="EM56" s="252"/>
      <c r="EN56" s="252"/>
      <c r="EO56" s="252"/>
      <c r="EP56" s="252"/>
      <c r="EQ56" s="252"/>
      <c r="ER56" s="252"/>
      <c r="ES56" s="252"/>
      <c r="ET56" s="252"/>
      <c r="EU56" s="252"/>
      <c r="EV56" s="252"/>
      <c r="EW56" s="252"/>
      <c r="EX56" s="252"/>
      <c r="EY56" s="252"/>
      <c r="EZ56" s="252"/>
      <c r="FA56" s="252"/>
      <c r="FB56" s="252"/>
      <c r="FC56" s="252"/>
      <c r="FD56" s="252"/>
      <c r="FE56" s="252"/>
      <c r="FF56" s="252"/>
      <c r="FG56" s="252"/>
      <c r="FH56" s="252"/>
      <c r="FI56" s="252"/>
      <c r="FJ56" s="252"/>
      <c r="FK56" s="252"/>
      <c r="FL56" s="252"/>
      <c r="FM56" s="252"/>
      <c r="FN56" s="252"/>
      <c r="FO56" s="252"/>
      <c r="FP56" s="252"/>
      <c r="FQ56" s="252"/>
      <c r="FR56" s="252"/>
      <c r="FS56" s="252"/>
      <c r="FT56" s="252"/>
      <c r="FU56" s="252"/>
      <c r="FV56" s="252"/>
      <c r="FW56" s="252"/>
      <c r="FX56" s="252"/>
      <c r="FY56" s="252"/>
      <c r="FZ56" s="252"/>
      <c r="GA56" s="252"/>
      <c r="GB56" s="252"/>
      <c r="GC56" s="252"/>
      <c r="GD56" s="252"/>
      <c r="GE56" s="252"/>
      <c r="GF56" s="252"/>
      <c r="GG56" s="252"/>
      <c r="GH56" s="252"/>
      <c r="GI56" s="252"/>
      <c r="GJ56" s="252"/>
      <c r="GK56" s="252"/>
      <c r="GL56" s="252"/>
      <c r="GM56" s="252"/>
      <c r="GN56" s="252"/>
      <c r="GO56" s="252"/>
      <c r="GP56" s="252"/>
      <c r="GQ56" s="252"/>
      <c r="GR56" s="252"/>
      <c r="GS56" s="252"/>
      <c r="GT56" s="252"/>
      <c r="GU56" s="252"/>
      <c r="GV56" s="252"/>
      <c r="GW56" s="252"/>
      <c r="GX56" s="252"/>
      <c r="GY56" s="252"/>
      <c r="GZ56" s="252"/>
      <c r="HA56" s="252"/>
      <c r="HB56" s="252"/>
      <c r="HC56" s="252"/>
      <c r="HD56" s="252"/>
      <c r="HE56" s="252"/>
      <c r="HF56" s="252"/>
      <c r="HG56" s="252"/>
      <c r="HH56" s="252"/>
      <c r="HI56" s="252"/>
      <c r="HJ56" s="252"/>
      <c r="HK56" s="252"/>
      <c r="HL56" s="252"/>
      <c r="HM56" s="252"/>
      <c r="HN56" s="252"/>
      <c r="HO56" s="252"/>
      <c r="HP56" s="252"/>
      <c r="HQ56" s="252"/>
      <c r="HR56" s="252"/>
      <c r="HS56" s="252"/>
      <c r="HT56" s="252"/>
      <c r="HU56" s="252"/>
      <c r="HV56" s="252"/>
      <c r="HW56" s="252"/>
      <c r="HX56" s="252"/>
      <c r="HY56" s="252"/>
      <c r="HZ56" s="252"/>
      <c r="IA56" s="252"/>
      <c r="IB56" s="252"/>
      <c r="IC56" s="252"/>
      <c r="ID56" s="252"/>
      <c r="IE56" s="252"/>
      <c r="IF56" s="252"/>
      <c r="IG56" s="252"/>
      <c r="IH56" s="252"/>
      <c r="II56" s="252"/>
      <c r="IJ56" s="252"/>
      <c r="IK56" s="252"/>
      <c r="IL56" s="252"/>
      <c r="IM56" s="252"/>
      <c r="IN56" s="252"/>
      <c r="IO56" s="252"/>
      <c r="IP56" s="252"/>
      <c r="IQ56" s="252"/>
      <c r="IR56" s="252"/>
      <c r="IS56" s="252"/>
      <c r="IT56" s="252"/>
      <c r="IU56" s="252"/>
      <c r="IV56" s="252"/>
      <c r="IW56" s="252"/>
      <c r="IX56" s="252"/>
      <c r="IY56" s="252"/>
      <c r="IZ56" s="252"/>
      <c r="JA56" s="252"/>
      <c r="JB56" s="252"/>
      <c r="JC56" s="252"/>
      <c r="JD56" s="252"/>
      <c r="JE56" s="252"/>
      <c r="JF56" s="252"/>
      <c r="JG56" s="252"/>
      <c r="JH56" s="252"/>
      <c r="JI56" s="252"/>
      <c r="JJ56" s="252"/>
      <c r="JK56" s="252"/>
      <c r="JL56" s="252"/>
      <c r="JM56" s="252"/>
      <c r="JN56" s="252"/>
      <c r="JO56" s="252"/>
      <c r="JP56" s="252"/>
      <c r="JQ56" s="252"/>
      <c r="JR56" s="252"/>
      <c r="JS56" s="252"/>
      <c r="JT56" s="252"/>
      <c r="JU56" s="252"/>
      <c r="JV56" s="252"/>
      <c r="JW56" s="252"/>
      <c r="JX56" s="252"/>
      <c r="JY56" s="252"/>
      <c r="JZ56" s="252"/>
      <c r="KA56" s="252"/>
      <c r="KB56" s="252"/>
      <c r="KC56" s="252"/>
      <c r="KD56" s="252"/>
      <c r="KE56" s="252"/>
      <c r="KF56" s="252"/>
      <c r="KG56" s="252"/>
      <c r="KH56" s="252"/>
      <c r="KI56" s="252"/>
      <c r="KJ56" s="252"/>
      <c r="KK56" s="252"/>
      <c r="KL56" s="252"/>
      <c r="KM56" s="252"/>
      <c r="KN56" s="252"/>
      <c r="KO56" s="252"/>
      <c r="KP56" s="252"/>
      <c r="KQ56" s="252"/>
      <c r="KR56" s="252"/>
      <c r="KS56" s="252"/>
      <c r="KT56" s="252"/>
      <c r="KU56" s="252"/>
      <c r="KV56" s="252"/>
      <c r="KW56" s="252"/>
      <c r="KX56" s="252"/>
      <c r="KY56" s="252"/>
      <c r="KZ56" s="252"/>
      <c r="LA56" s="252"/>
      <c r="LB56" s="252"/>
      <c r="LC56" s="252"/>
      <c r="LD56" s="252"/>
      <c r="LE56" s="252"/>
      <c r="LF56" s="252"/>
      <c r="LG56" s="252"/>
      <c r="LH56" s="252"/>
      <c r="LI56" s="252"/>
      <c r="LJ56" s="252"/>
      <c r="LK56" s="252"/>
      <c r="LL56" s="252"/>
      <c r="LM56" s="252"/>
      <c r="LN56" s="252"/>
      <c r="LO56" s="252"/>
      <c r="LP56" s="252"/>
      <c r="LQ56" s="252"/>
      <c r="LR56" s="252"/>
      <c r="LS56" s="252"/>
      <c r="LT56" s="252"/>
      <c r="LU56" s="252"/>
      <c r="LV56" s="252"/>
      <c r="LW56" s="252"/>
      <c r="LX56" s="252"/>
      <c r="LY56" s="252"/>
      <c r="LZ56" s="252"/>
      <c r="MA56" s="252"/>
      <c r="MB56" s="252"/>
      <c r="MC56" s="252"/>
      <c r="MD56" s="252"/>
      <c r="ME56" s="252"/>
      <c r="MF56" s="252"/>
      <c r="MG56" s="252"/>
      <c r="MH56" s="252"/>
      <c r="MI56" s="252"/>
      <c r="MJ56" s="252"/>
      <c r="MK56" s="252"/>
      <c r="ML56" s="252"/>
      <c r="MM56" s="252"/>
      <c r="MN56" s="252"/>
      <c r="MO56" s="252"/>
      <c r="MP56" s="252"/>
      <c r="MQ56" s="252"/>
      <c r="MR56" s="252"/>
      <c r="MS56" s="252"/>
      <c r="MT56" s="252"/>
      <c r="MU56" s="252"/>
      <c r="MV56" s="252"/>
      <c r="MW56" s="252"/>
      <c r="MX56" s="252"/>
      <c r="MY56" s="252"/>
      <c r="MZ56" s="252"/>
      <c r="NA56" s="252"/>
      <c r="NB56" s="252"/>
      <c r="NC56" s="252"/>
      <c r="ND56" s="252"/>
      <c r="NE56" s="252"/>
      <c r="NF56" s="252"/>
      <c r="NG56" s="252"/>
      <c r="NH56" s="252"/>
      <c r="NI56" s="252"/>
      <c r="NJ56" s="252"/>
      <c r="NK56" s="252"/>
      <c r="NL56" s="252"/>
      <c r="NM56" s="252"/>
      <c r="NN56" s="252"/>
      <c r="NO56" s="252"/>
      <c r="NP56" s="252"/>
      <c r="NQ56" s="252"/>
      <c r="NR56" s="252"/>
      <c r="NS56" s="252"/>
      <c r="NT56" s="252"/>
      <c r="NU56" s="252"/>
      <c r="NV56" s="252"/>
      <c r="NW56" s="252"/>
      <c r="NX56" s="252"/>
      <c r="NY56" s="252"/>
      <c r="NZ56" s="252"/>
      <c r="OA56" s="252"/>
      <c r="OB56" s="252"/>
      <c r="OC56" s="252"/>
      <c r="OD56" s="252"/>
      <c r="OE56" s="252"/>
      <c r="OF56" s="252"/>
      <c r="OG56" s="252"/>
      <c r="OH56" s="252"/>
      <c r="OI56" s="252"/>
      <c r="OJ56" s="252"/>
      <c r="OK56" s="252"/>
      <c r="OL56" s="252"/>
      <c r="OM56" s="252"/>
      <c r="ON56" s="252"/>
      <c r="OO56" s="252"/>
      <c r="OP56" s="252"/>
      <c r="OQ56" s="252"/>
      <c r="OR56" s="252"/>
      <c r="OS56" s="252"/>
      <c r="OT56" s="252"/>
      <c r="OU56" s="252"/>
      <c r="OV56" s="252"/>
      <c r="OW56" s="252"/>
      <c r="OX56" s="252"/>
      <c r="OY56" s="252"/>
      <c r="OZ56" s="252"/>
      <c r="PA56" s="252"/>
      <c r="PB56" s="252"/>
      <c r="PC56" s="252"/>
      <c r="PD56" s="252"/>
      <c r="PE56" s="252"/>
      <c r="PF56" s="252"/>
      <c r="PG56" s="252"/>
      <c r="PH56" s="252"/>
      <c r="PI56" s="252"/>
      <c r="PJ56" s="252"/>
      <c r="PK56" s="252"/>
      <c r="PL56" s="252"/>
      <c r="PM56" s="252"/>
      <c r="PN56" s="252"/>
      <c r="PO56" s="252"/>
      <c r="PP56" s="252"/>
      <c r="PQ56" s="252"/>
      <c r="PR56" s="252"/>
      <c r="PS56" s="252"/>
      <c r="PT56" s="252"/>
      <c r="PU56" s="252"/>
      <c r="PV56" s="252"/>
      <c r="PW56" s="252"/>
      <c r="PX56" s="252"/>
      <c r="PY56" s="252"/>
      <c r="PZ56" s="252"/>
      <c r="QA56" s="252"/>
      <c r="QB56" s="252"/>
      <c r="QC56" s="252"/>
      <c r="QD56" s="252"/>
      <c r="QE56" s="252"/>
      <c r="QF56" s="252"/>
      <c r="QG56" s="252"/>
      <c r="QH56" s="252"/>
      <c r="QI56" s="252"/>
      <c r="QJ56" s="252"/>
      <c r="QK56" s="252"/>
      <c r="QL56" s="252"/>
      <c r="QM56" s="252"/>
      <c r="QN56" s="252"/>
      <c r="QO56" s="252"/>
      <c r="QP56" s="252"/>
      <c r="QQ56" s="252"/>
      <c r="QR56" s="252"/>
      <c r="QS56" s="252"/>
      <c r="QT56" s="252"/>
      <c r="QU56" s="252"/>
      <c r="QV56" s="252"/>
      <c r="QW56" s="252"/>
      <c r="QX56" s="252"/>
      <c r="QY56" s="252"/>
      <c r="QZ56" s="252"/>
      <c r="RA56" s="252"/>
      <c r="RB56" s="252"/>
      <c r="RC56" s="252"/>
      <c r="RD56" s="252"/>
      <c r="RE56" s="252"/>
      <c r="RF56" s="252"/>
      <c r="RG56" s="252"/>
      <c r="RH56" s="252"/>
      <c r="RI56" s="252"/>
      <c r="RJ56" s="252"/>
      <c r="RK56" s="252"/>
      <c r="RL56" s="252"/>
      <c r="RM56" s="252"/>
      <c r="RN56" s="252"/>
      <c r="RO56" s="252"/>
      <c r="RP56" s="252"/>
      <c r="RQ56" s="252"/>
      <c r="RR56" s="252"/>
      <c r="RS56" s="252"/>
      <c r="RT56" s="252"/>
      <c r="RU56" s="252"/>
      <c r="RV56" s="252"/>
      <c r="RW56" s="252"/>
      <c r="RX56" s="252"/>
      <c r="RY56" s="252"/>
      <c r="RZ56" s="252"/>
      <c r="SA56" s="252"/>
      <c r="SB56" s="252"/>
      <c r="SC56" s="252"/>
      <c r="SD56" s="252"/>
      <c r="SE56" s="252"/>
      <c r="SF56" s="252"/>
      <c r="SG56" s="252"/>
      <c r="SH56" s="252"/>
      <c r="SI56" s="252"/>
      <c r="SJ56" s="252"/>
      <c r="SK56" s="252"/>
      <c r="SL56" s="252"/>
      <c r="SM56" s="252"/>
      <c r="SN56" s="252"/>
      <c r="SO56" s="252"/>
      <c r="SP56" s="252"/>
      <c r="SQ56" s="252"/>
      <c r="SR56" s="252"/>
      <c r="SS56" s="252"/>
      <c r="ST56" s="252"/>
      <c r="SU56" s="252"/>
      <c r="SV56" s="252"/>
      <c r="SW56" s="252"/>
      <c r="SX56" s="252"/>
      <c r="SY56" s="252"/>
      <c r="SZ56" s="252"/>
      <c r="TA56" s="252"/>
      <c r="TB56" s="252"/>
      <c r="TC56" s="252"/>
      <c r="TD56" s="252"/>
      <c r="TE56" s="252"/>
      <c r="TF56" s="252"/>
      <c r="TG56" s="252"/>
      <c r="TH56" s="252"/>
      <c r="TI56" s="252"/>
      <c r="TJ56" s="252"/>
      <c r="TK56" s="252"/>
      <c r="TL56" s="252"/>
      <c r="TM56" s="252"/>
      <c r="TN56" s="252"/>
      <c r="TO56" s="252"/>
      <c r="TP56" s="252"/>
      <c r="TQ56" s="252"/>
      <c r="TR56" s="252"/>
      <c r="TS56" s="252"/>
      <c r="TT56" s="252"/>
      <c r="TU56" s="252"/>
      <c r="TV56" s="252"/>
      <c r="TW56" s="252"/>
      <c r="TX56" s="252"/>
      <c r="TY56" s="252"/>
      <c r="TZ56" s="252"/>
      <c r="UA56" s="252"/>
      <c r="UB56" s="252"/>
      <c r="UC56" s="252"/>
      <c r="UD56" s="252"/>
      <c r="UE56" s="252"/>
      <c r="UF56" s="252"/>
      <c r="UG56" s="252"/>
      <c r="UH56" s="252"/>
      <c r="UI56" s="252"/>
      <c r="UJ56" s="252"/>
      <c r="UK56" s="252"/>
      <c r="UL56" s="252"/>
      <c r="UM56" s="252"/>
      <c r="UN56" s="252"/>
      <c r="UO56" s="252"/>
      <c r="UP56" s="252"/>
      <c r="UQ56" s="252"/>
      <c r="UR56" s="252"/>
      <c r="US56" s="252"/>
      <c r="UT56" s="252"/>
      <c r="UU56" s="252"/>
      <c r="UV56" s="252"/>
      <c r="UW56" s="252"/>
      <c r="UX56" s="252"/>
      <c r="UY56" s="252"/>
      <c r="UZ56" s="252"/>
      <c r="VA56" s="252"/>
      <c r="VB56" s="252"/>
      <c r="VC56" s="252"/>
      <c r="VD56" s="252"/>
      <c r="VE56" s="252"/>
      <c r="VF56" s="252"/>
      <c r="VG56" s="252"/>
      <c r="VH56" s="252"/>
      <c r="VI56" s="252"/>
      <c r="VJ56" s="252"/>
      <c r="VK56" s="252"/>
      <c r="VL56" s="252"/>
      <c r="VM56" s="252"/>
      <c r="VN56" s="252"/>
      <c r="VO56" s="252"/>
      <c r="VP56" s="252"/>
      <c r="VQ56" s="252"/>
      <c r="VR56" s="252"/>
      <c r="VS56" s="252"/>
      <c r="VT56" s="252"/>
      <c r="VU56" s="252"/>
      <c r="VV56" s="252"/>
      <c r="VW56" s="252"/>
      <c r="VX56" s="252"/>
      <c r="VY56" s="252"/>
      <c r="VZ56" s="252"/>
      <c r="WA56" s="252"/>
      <c r="WB56" s="252"/>
      <c r="WC56" s="252"/>
      <c r="WD56" s="252"/>
      <c r="WE56" s="252"/>
      <c r="WF56" s="252"/>
      <c r="WG56" s="252"/>
      <c r="WH56" s="252"/>
      <c r="WI56" s="252"/>
      <c r="WJ56" s="252"/>
      <c r="WK56" s="252"/>
      <c r="WL56" s="252"/>
      <c r="WM56" s="252"/>
      <c r="WN56" s="252"/>
      <c r="WO56" s="252"/>
      <c r="WP56" s="252"/>
      <c r="WQ56" s="252"/>
      <c r="WR56" s="252"/>
      <c r="WS56" s="252"/>
      <c r="WT56" s="252"/>
      <c r="WU56" s="252"/>
      <c r="WV56" s="252"/>
      <c r="WW56" s="252"/>
      <c r="WX56" s="252"/>
      <c r="WY56" s="252"/>
      <c r="WZ56" s="252"/>
      <c r="XA56" s="252"/>
      <c r="XB56" s="252"/>
      <c r="XC56" s="252"/>
      <c r="XD56" s="252"/>
      <c r="XE56" s="252"/>
      <c r="XF56" s="252"/>
      <c r="XG56" s="252"/>
      <c r="XH56" s="252"/>
      <c r="XI56" s="252"/>
      <c r="XJ56" s="252"/>
      <c r="XK56" s="252"/>
      <c r="XL56" s="252"/>
      <c r="XM56" s="252"/>
      <c r="XN56" s="252"/>
      <c r="XO56" s="252"/>
      <c r="XP56" s="252"/>
      <c r="XQ56" s="252"/>
      <c r="XR56" s="252"/>
      <c r="XS56" s="252"/>
      <c r="XT56" s="252"/>
      <c r="XU56" s="252"/>
      <c r="XV56" s="252"/>
      <c r="XW56" s="252"/>
      <c r="XX56" s="252"/>
      <c r="XY56" s="252"/>
      <c r="XZ56" s="252"/>
      <c r="YA56" s="252"/>
      <c r="YB56" s="252"/>
      <c r="YC56" s="252"/>
      <c r="YD56" s="252"/>
      <c r="YE56" s="252"/>
      <c r="YF56" s="252"/>
      <c r="YG56" s="252"/>
      <c r="YH56" s="252"/>
      <c r="YI56" s="252"/>
      <c r="YJ56" s="252"/>
      <c r="YK56" s="252"/>
      <c r="YL56" s="252"/>
      <c r="YM56" s="252"/>
      <c r="YN56" s="252"/>
      <c r="YO56" s="252"/>
      <c r="YP56" s="252"/>
      <c r="YQ56" s="252"/>
      <c r="YR56" s="252"/>
      <c r="YS56" s="252"/>
      <c r="YT56" s="252"/>
      <c r="YU56" s="252"/>
      <c r="YV56" s="252"/>
      <c r="YW56" s="252"/>
      <c r="YX56" s="252"/>
      <c r="YY56" s="252"/>
      <c r="YZ56" s="252"/>
      <c r="ZA56" s="252"/>
      <c r="ZB56" s="252"/>
      <c r="ZC56" s="252"/>
      <c r="ZD56" s="252"/>
      <c r="ZE56" s="252"/>
      <c r="ZF56" s="252"/>
      <c r="ZG56" s="252"/>
      <c r="ZH56" s="252"/>
      <c r="ZI56" s="252"/>
      <c r="ZJ56" s="252"/>
      <c r="ZK56" s="252"/>
      <c r="ZL56" s="252"/>
      <c r="ZM56" s="252"/>
      <c r="ZN56" s="252"/>
      <c r="ZO56" s="252"/>
      <c r="ZP56" s="252"/>
      <c r="ZQ56" s="252"/>
      <c r="ZR56" s="252"/>
      <c r="ZS56" s="252"/>
      <c r="ZT56" s="252"/>
      <c r="ZU56" s="252"/>
      <c r="ZV56" s="252"/>
      <c r="ZW56" s="252"/>
      <c r="ZX56" s="252"/>
      <c r="ZY56" s="252"/>
      <c r="ZZ56" s="252"/>
      <c r="AAA56" s="252"/>
      <c r="AAB56" s="252"/>
      <c r="AAC56" s="252"/>
      <c r="AAD56" s="252"/>
      <c r="AAE56" s="252"/>
      <c r="AAF56" s="252"/>
      <c r="AAG56" s="252"/>
      <c r="AAH56" s="252"/>
      <c r="AAI56" s="252"/>
      <c r="AAJ56" s="252"/>
      <c r="AAK56" s="252"/>
      <c r="AAL56" s="252"/>
      <c r="AAM56" s="252"/>
      <c r="AAN56" s="252"/>
      <c r="AAO56" s="252"/>
      <c r="AAP56" s="252"/>
      <c r="AAQ56" s="252"/>
      <c r="AAR56" s="252"/>
      <c r="AAS56" s="252"/>
      <c r="AAT56" s="252"/>
      <c r="AAU56" s="252"/>
      <c r="AAV56" s="252"/>
      <c r="AAW56" s="252"/>
      <c r="AAX56" s="252"/>
      <c r="AAY56" s="252"/>
      <c r="AAZ56" s="252"/>
      <c r="ABA56" s="252"/>
      <c r="ABB56" s="252"/>
      <c r="ABC56" s="252"/>
      <c r="ABD56" s="252"/>
      <c r="ABE56" s="252"/>
      <c r="ABF56" s="252"/>
      <c r="ABG56" s="252"/>
      <c r="ABH56" s="252"/>
      <c r="ABI56" s="252"/>
      <c r="ABJ56" s="252"/>
      <c r="ABK56" s="252"/>
      <c r="ABL56" s="252"/>
      <c r="ABM56" s="252"/>
      <c r="ABN56" s="252"/>
      <c r="ABO56" s="252"/>
      <c r="ABP56" s="252"/>
      <c r="ABQ56" s="252"/>
      <c r="ABR56" s="252"/>
      <c r="ABS56" s="252"/>
      <c r="ABT56" s="252"/>
      <c r="ABU56" s="252"/>
      <c r="ABV56" s="252"/>
      <c r="ABW56" s="252"/>
      <c r="ABX56" s="252"/>
      <c r="ABY56" s="252"/>
      <c r="ABZ56" s="252"/>
      <c r="ACA56" s="252"/>
      <c r="ACB56" s="252"/>
      <c r="ACC56" s="252"/>
      <c r="ACD56" s="252"/>
      <c r="ACE56" s="252"/>
      <c r="ACF56" s="252"/>
      <c r="ACG56" s="252"/>
      <c r="ACH56" s="252"/>
      <c r="ACI56" s="252"/>
      <c r="ACJ56" s="252"/>
      <c r="ACK56" s="252"/>
      <c r="ACL56" s="252"/>
      <c r="ACM56" s="252"/>
      <c r="ACN56" s="252"/>
      <c r="ACO56" s="252"/>
      <c r="ACP56" s="252"/>
      <c r="ACQ56" s="252"/>
      <c r="ACR56" s="252"/>
      <c r="ACS56" s="252"/>
      <c r="ACT56" s="252"/>
      <c r="ACU56" s="252"/>
      <c r="ACV56" s="252"/>
      <c r="ACW56" s="252"/>
      <c r="ACX56" s="252"/>
      <c r="ACY56" s="252"/>
      <c r="ACZ56" s="252"/>
      <c r="ADA56" s="252"/>
      <c r="ADB56" s="252"/>
      <c r="ADC56" s="252"/>
      <c r="ADD56" s="252"/>
      <c r="ADE56" s="252"/>
      <c r="ADF56" s="252"/>
      <c r="ADG56" s="252"/>
      <c r="ADH56" s="252"/>
      <c r="ADI56" s="252"/>
      <c r="ADJ56" s="252"/>
      <c r="ADK56" s="252"/>
      <c r="ADL56" s="252"/>
      <c r="ADM56" s="252"/>
      <c r="ADN56" s="252"/>
      <c r="ADO56" s="252"/>
      <c r="ADP56" s="252"/>
      <c r="ADQ56" s="252"/>
      <c r="ADR56" s="252"/>
      <c r="ADS56" s="252"/>
      <c r="ADT56" s="252"/>
      <c r="ADU56" s="252"/>
      <c r="ADV56" s="252"/>
      <c r="ADW56" s="252"/>
      <c r="ADX56" s="252"/>
      <c r="ADY56" s="252"/>
      <c r="ADZ56" s="252"/>
      <c r="AEA56" s="252"/>
      <c r="AEB56" s="252"/>
      <c r="AEC56" s="252"/>
      <c r="AED56" s="252"/>
      <c r="AEE56" s="252"/>
      <c r="AEF56" s="252"/>
      <c r="AEG56" s="252"/>
      <c r="AEH56" s="252"/>
      <c r="AEI56" s="252"/>
      <c r="AEJ56" s="252"/>
      <c r="AEK56" s="252"/>
      <c r="AEL56" s="252"/>
      <c r="AEM56" s="252"/>
      <c r="AEN56" s="252"/>
      <c r="AEO56" s="252"/>
      <c r="AEP56" s="252"/>
      <c r="AEQ56" s="252"/>
      <c r="AER56" s="252"/>
      <c r="AES56" s="252"/>
      <c r="AET56" s="252"/>
      <c r="AEU56" s="252"/>
      <c r="AEV56" s="252"/>
      <c r="AEW56" s="252"/>
      <c r="AEX56" s="252"/>
      <c r="AEY56" s="252"/>
      <c r="AEZ56" s="252"/>
      <c r="AFA56" s="252"/>
      <c r="AFB56" s="252"/>
      <c r="AFC56" s="252"/>
      <c r="AFD56" s="252"/>
      <c r="AFE56" s="252"/>
      <c r="AFF56" s="252"/>
      <c r="AFG56" s="252"/>
      <c r="AFH56" s="252"/>
      <c r="AFI56" s="252"/>
      <c r="AFJ56" s="252"/>
      <c r="AFK56" s="252"/>
      <c r="AFL56" s="252"/>
      <c r="AFM56" s="252"/>
      <c r="AFN56" s="252"/>
      <c r="AFO56" s="252"/>
      <c r="AFP56" s="252"/>
      <c r="AFQ56" s="252"/>
      <c r="AFR56" s="252"/>
      <c r="AFS56" s="252"/>
      <c r="AFT56" s="252"/>
      <c r="AFU56" s="252"/>
      <c r="AFV56" s="252"/>
      <c r="AFW56" s="252"/>
      <c r="AFX56" s="252"/>
      <c r="AFY56" s="252"/>
      <c r="AFZ56" s="252"/>
      <c r="AGA56" s="252"/>
      <c r="AGB56" s="252"/>
      <c r="AGC56" s="252"/>
      <c r="AGD56" s="252"/>
      <c r="AGE56" s="252"/>
      <c r="AGF56" s="252"/>
      <c r="AGG56" s="252"/>
      <c r="AGH56" s="252"/>
      <c r="AGI56" s="252"/>
      <c r="AGJ56" s="252"/>
      <c r="AGK56" s="252"/>
      <c r="AGL56" s="252"/>
      <c r="AGM56" s="252"/>
      <c r="AGN56" s="252"/>
      <c r="AGO56" s="252"/>
      <c r="AGP56" s="252"/>
      <c r="AGQ56" s="252"/>
      <c r="AGR56" s="252"/>
      <c r="AGS56" s="252"/>
      <c r="AGT56" s="252"/>
      <c r="AGU56" s="252"/>
      <c r="AGV56" s="252"/>
      <c r="AGW56" s="252"/>
      <c r="AGX56" s="252"/>
      <c r="AGY56" s="252"/>
      <c r="AGZ56" s="252"/>
      <c r="AHA56" s="252"/>
      <c r="AHB56" s="252"/>
      <c r="AHC56" s="252"/>
      <c r="AHD56" s="252"/>
      <c r="AHE56" s="252"/>
      <c r="AHF56" s="252"/>
      <c r="AHG56" s="252"/>
      <c r="AHH56" s="252"/>
      <c r="AHI56" s="252"/>
      <c r="AHJ56" s="252"/>
      <c r="AHK56" s="252"/>
      <c r="AHL56" s="252"/>
      <c r="AHM56" s="252"/>
      <c r="AHN56" s="252"/>
      <c r="AHO56" s="252"/>
      <c r="AHP56" s="252"/>
      <c r="AHQ56" s="252"/>
      <c r="AHR56" s="252"/>
      <c r="AHS56" s="252"/>
      <c r="AHT56" s="252"/>
      <c r="AHU56" s="252"/>
      <c r="AHV56" s="252"/>
      <c r="AHW56" s="252"/>
      <c r="AHX56" s="252"/>
      <c r="AHY56" s="252"/>
      <c r="AHZ56" s="252"/>
      <c r="AIA56" s="252"/>
      <c r="AIB56" s="252"/>
      <c r="AIC56" s="252"/>
      <c r="AID56" s="252"/>
      <c r="AIE56" s="252"/>
      <c r="AIF56" s="252"/>
      <c r="AIG56" s="252"/>
      <c r="AIH56" s="252"/>
      <c r="AII56" s="252"/>
      <c r="AIJ56" s="252"/>
      <c r="AIK56" s="252"/>
      <c r="AIL56" s="252"/>
      <c r="AIM56" s="252"/>
      <c r="AIN56" s="252"/>
      <c r="AIO56" s="252"/>
      <c r="AIP56" s="252"/>
      <c r="AIQ56" s="252"/>
      <c r="AIR56" s="252"/>
      <c r="AIS56" s="252"/>
      <c r="AIT56" s="252"/>
      <c r="AIU56" s="252"/>
      <c r="AIV56" s="252"/>
      <c r="AIW56" s="252"/>
      <c r="AIX56" s="252"/>
      <c r="AIY56" s="252"/>
      <c r="AIZ56" s="252"/>
      <c r="AJA56" s="252"/>
      <c r="AJB56" s="252"/>
      <c r="AJC56" s="252"/>
      <c r="AJD56" s="252"/>
      <c r="AJE56" s="252"/>
      <c r="AJF56" s="252"/>
      <c r="AJG56" s="252"/>
      <c r="AJH56" s="252"/>
      <c r="AJI56" s="252"/>
      <c r="AJJ56" s="252"/>
      <c r="AJK56" s="252"/>
      <c r="AJL56" s="252"/>
      <c r="AJM56" s="252"/>
      <c r="AJN56" s="252"/>
      <c r="AJO56" s="252"/>
      <c r="AJP56" s="252"/>
      <c r="AJQ56" s="252"/>
      <c r="AJR56" s="252"/>
      <c r="AJS56" s="252"/>
      <c r="AJT56" s="252"/>
      <c r="AJU56" s="252"/>
      <c r="AJV56" s="252"/>
      <c r="AJW56" s="252"/>
      <c r="AJX56" s="252"/>
      <c r="AJY56" s="252"/>
      <c r="AJZ56" s="252"/>
      <c r="AKA56" s="252"/>
      <c r="AKB56" s="252"/>
      <c r="AKC56" s="252"/>
      <c r="AKD56" s="252"/>
      <c r="AKE56" s="252"/>
      <c r="AKF56" s="252"/>
      <c r="AKG56" s="252"/>
      <c r="AKH56" s="252"/>
      <c r="AKI56" s="252"/>
      <c r="AKJ56" s="252"/>
      <c r="AKK56" s="252"/>
      <c r="AKL56" s="252"/>
      <c r="AKM56" s="252"/>
      <c r="AKN56" s="252"/>
      <c r="AKO56" s="252"/>
      <c r="AKP56" s="252"/>
      <c r="AKQ56" s="252"/>
      <c r="AKR56" s="252"/>
      <c r="AKS56" s="252"/>
      <c r="AKT56" s="252"/>
      <c r="AKU56" s="252"/>
      <c r="AKV56" s="252"/>
      <c r="AKW56" s="252"/>
      <c r="AKX56" s="252"/>
      <c r="AKY56" s="252"/>
      <c r="AKZ56" s="252"/>
      <c r="ALA56" s="252"/>
      <c r="ALB56" s="252"/>
      <c r="ALC56" s="252"/>
      <c r="ALD56" s="252"/>
      <c r="ALE56" s="252"/>
      <c r="ALF56" s="252"/>
      <c r="ALG56" s="252"/>
      <c r="ALH56" s="252"/>
      <c r="ALI56" s="252"/>
      <c r="ALJ56" s="252"/>
      <c r="ALK56" s="252"/>
      <c r="ALL56" s="252"/>
      <c r="ALM56" s="252"/>
      <c r="ALN56" s="252"/>
      <c r="ALO56" s="252"/>
      <c r="ALP56" s="252"/>
      <c r="ALQ56" s="252"/>
      <c r="ALR56" s="252"/>
    </row>
    <row r="57" spans="1:1007" x14ac:dyDescent="0.2">
      <c r="A57" s="369" t="s">
        <v>300</v>
      </c>
      <c r="B57" s="382"/>
      <c r="C57" s="382"/>
      <c r="D57" s="382">
        <v>13000</v>
      </c>
      <c r="E57" s="733"/>
      <c r="F57" s="730"/>
      <c r="G57" s="730"/>
      <c r="H57" s="730"/>
      <c r="I57" s="730"/>
      <c r="ALS57"/>
    </row>
    <row r="58" spans="1:1007" s="3" customFormat="1" x14ac:dyDescent="0.2">
      <c r="A58" s="749" t="s">
        <v>529</v>
      </c>
      <c r="B58" s="382"/>
      <c r="C58" s="382"/>
      <c r="D58" s="382"/>
      <c r="E58" s="740">
        <v>15000</v>
      </c>
      <c r="F58" s="730"/>
      <c r="G58" s="730"/>
      <c r="H58" s="730"/>
      <c r="I58" s="730"/>
      <c r="J58" s="252"/>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2"/>
      <c r="AI58" s="252"/>
      <c r="AJ58" s="252"/>
      <c r="AK58" s="252"/>
      <c r="AL58" s="252"/>
      <c r="AM58" s="252"/>
      <c r="AN58" s="252"/>
      <c r="AO58" s="252"/>
      <c r="AP58" s="252"/>
      <c r="AQ58" s="252"/>
      <c r="AR58" s="252"/>
      <c r="AS58" s="252"/>
      <c r="AT58" s="252"/>
      <c r="AU58" s="252"/>
      <c r="AV58" s="252"/>
      <c r="AW58" s="252"/>
      <c r="AX58" s="252"/>
      <c r="AY58" s="252"/>
      <c r="AZ58" s="252"/>
      <c r="BA58" s="252"/>
      <c r="BB58" s="252"/>
      <c r="BC58" s="252"/>
      <c r="BD58" s="252"/>
      <c r="BE58" s="252"/>
      <c r="BF58" s="252"/>
      <c r="BG58" s="252"/>
      <c r="BH58" s="252"/>
      <c r="BI58" s="252"/>
      <c r="BJ58" s="252"/>
      <c r="BK58" s="252"/>
      <c r="BL58" s="252"/>
      <c r="BM58" s="252"/>
      <c r="BN58" s="252"/>
      <c r="BO58" s="252"/>
      <c r="BP58" s="252"/>
      <c r="BQ58" s="252"/>
      <c r="BR58" s="252"/>
      <c r="BS58" s="252"/>
      <c r="BT58" s="252"/>
      <c r="BU58" s="252"/>
      <c r="BV58" s="252"/>
      <c r="BW58" s="252"/>
      <c r="BX58" s="252"/>
      <c r="BY58" s="252"/>
      <c r="BZ58" s="252"/>
      <c r="CA58" s="252"/>
      <c r="CB58" s="252"/>
      <c r="CC58" s="252"/>
      <c r="CD58" s="252"/>
      <c r="CE58" s="252"/>
      <c r="CF58" s="252"/>
      <c r="CG58" s="252"/>
      <c r="CH58" s="252"/>
      <c r="CI58" s="252"/>
      <c r="CJ58" s="252"/>
      <c r="CK58" s="252"/>
      <c r="CL58" s="252"/>
      <c r="CM58" s="252"/>
      <c r="CN58" s="252"/>
      <c r="CO58" s="252"/>
      <c r="CP58" s="252"/>
      <c r="CQ58" s="252"/>
      <c r="CR58" s="252"/>
      <c r="CS58" s="252"/>
      <c r="CT58" s="252"/>
      <c r="CU58" s="252"/>
      <c r="CV58" s="252"/>
      <c r="CW58" s="252"/>
      <c r="CX58" s="252"/>
      <c r="CY58" s="252"/>
      <c r="CZ58" s="252"/>
      <c r="DA58" s="252"/>
      <c r="DB58" s="252"/>
      <c r="DC58" s="252"/>
      <c r="DD58" s="252"/>
      <c r="DE58" s="252"/>
      <c r="DF58" s="252"/>
      <c r="DG58" s="252"/>
      <c r="DH58" s="252"/>
      <c r="DI58" s="252"/>
      <c r="DJ58" s="252"/>
      <c r="DK58" s="252"/>
      <c r="DL58" s="252"/>
      <c r="DM58" s="252"/>
      <c r="DN58" s="252"/>
      <c r="DO58" s="252"/>
      <c r="DP58" s="252"/>
      <c r="DQ58" s="252"/>
      <c r="DR58" s="252"/>
      <c r="DS58" s="252"/>
      <c r="DT58" s="252"/>
      <c r="DU58" s="252"/>
      <c r="DV58" s="252"/>
      <c r="DW58" s="252"/>
      <c r="DX58" s="252"/>
      <c r="DY58" s="252"/>
      <c r="DZ58" s="252"/>
      <c r="EA58" s="252"/>
      <c r="EB58" s="252"/>
      <c r="EC58" s="252"/>
      <c r="ED58" s="252"/>
      <c r="EE58" s="252"/>
      <c r="EF58" s="252"/>
      <c r="EG58" s="252"/>
      <c r="EH58" s="252"/>
      <c r="EI58" s="252"/>
      <c r="EJ58" s="252"/>
      <c r="EK58" s="252"/>
      <c r="EL58" s="252"/>
      <c r="EM58" s="252"/>
      <c r="EN58" s="252"/>
      <c r="EO58" s="252"/>
      <c r="EP58" s="252"/>
      <c r="EQ58" s="252"/>
      <c r="ER58" s="252"/>
      <c r="ES58" s="252"/>
      <c r="ET58" s="252"/>
      <c r="EU58" s="252"/>
      <c r="EV58" s="252"/>
      <c r="EW58" s="252"/>
      <c r="EX58" s="252"/>
      <c r="EY58" s="252"/>
      <c r="EZ58" s="252"/>
      <c r="FA58" s="252"/>
      <c r="FB58" s="252"/>
      <c r="FC58" s="252"/>
      <c r="FD58" s="252"/>
      <c r="FE58" s="252"/>
      <c r="FF58" s="252"/>
      <c r="FG58" s="252"/>
      <c r="FH58" s="252"/>
      <c r="FI58" s="252"/>
      <c r="FJ58" s="252"/>
      <c r="FK58" s="252"/>
      <c r="FL58" s="252"/>
      <c r="FM58" s="252"/>
      <c r="FN58" s="252"/>
      <c r="FO58" s="252"/>
      <c r="FP58" s="252"/>
      <c r="FQ58" s="252"/>
      <c r="FR58" s="252"/>
      <c r="FS58" s="252"/>
      <c r="FT58" s="252"/>
      <c r="FU58" s="252"/>
      <c r="FV58" s="252"/>
      <c r="FW58" s="252"/>
      <c r="FX58" s="252"/>
      <c r="FY58" s="252"/>
      <c r="FZ58" s="252"/>
      <c r="GA58" s="252"/>
      <c r="GB58" s="252"/>
      <c r="GC58" s="252"/>
      <c r="GD58" s="252"/>
      <c r="GE58" s="252"/>
      <c r="GF58" s="252"/>
      <c r="GG58" s="252"/>
      <c r="GH58" s="252"/>
      <c r="GI58" s="252"/>
      <c r="GJ58" s="252"/>
      <c r="GK58" s="252"/>
      <c r="GL58" s="252"/>
      <c r="GM58" s="252"/>
      <c r="GN58" s="252"/>
      <c r="GO58" s="252"/>
      <c r="GP58" s="252"/>
      <c r="GQ58" s="252"/>
      <c r="GR58" s="252"/>
      <c r="GS58" s="252"/>
      <c r="GT58" s="252"/>
      <c r="GU58" s="252"/>
      <c r="GV58" s="252"/>
      <c r="GW58" s="252"/>
      <c r="GX58" s="252"/>
      <c r="GY58" s="252"/>
      <c r="GZ58" s="252"/>
      <c r="HA58" s="252"/>
      <c r="HB58" s="252"/>
      <c r="HC58" s="252"/>
      <c r="HD58" s="252"/>
      <c r="HE58" s="252"/>
      <c r="HF58" s="252"/>
      <c r="HG58" s="252"/>
      <c r="HH58" s="252"/>
      <c r="HI58" s="252"/>
      <c r="HJ58" s="252"/>
      <c r="HK58" s="252"/>
      <c r="HL58" s="252"/>
      <c r="HM58" s="252"/>
      <c r="HN58" s="252"/>
      <c r="HO58" s="252"/>
      <c r="HP58" s="252"/>
      <c r="HQ58" s="252"/>
      <c r="HR58" s="252"/>
      <c r="HS58" s="252"/>
      <c r="HT58" s="252"/>
      <c r="HU58" s="252"/>
      <c r="HV58" s="252"/>
      <c r="HW58" s="252"/>
      <c r="HX58" s="252"/>
      <c r="HY58" s="252"/>
      <c r="HZ58" s="252"/>
      <c r="IA58" s="252"/>
      <c r="IB58" s="252"/>
      <c r="IC58" s="252"/>
      <c r="ID58" s="252"/>
      <c r="IE58" s="252"/>
      <c r="IF58" s="252"/>
      <c r="IG58" s="252"/>
      <c r="IH58" s="252"/>
      <c r="II58" s="252"/>
      <c r="IJ58" s="252"/>
      <c r="IK58" s="252"/>
      <c r="IL58" s="252"/>
      <c r="IM58" s="252"/>
      <c r="IN58" s="252"/>
      <c r="IO58" s="252"/>
      <c r="IP58" s="252"/>
      <c r="IQ58" s="252"/>
      <c r="IR58" s="252"/>
      <c r="IS58" s="252"/>
      <c r="IT58" s="252"/>
      <c r="IU58" s="252"/>
      <c r="IV58" s="252"/>
      <c r="IW58" s="252"/>
      <c r="IX58" s="252"/>
      <c r="IY58" s="252"/>
      <c r="IZ58" s="252"/>
      <c r="JA58" s="252"/>
      <c r="JB58" s="252"/>
      <c r="JC58" s="252"/>
      <c r="JD58" s="252"/>
      <c r="JE58" s="252"/>
      <c r="JF58" s="252"/>
      <c r="JG58" s="252"/>
      <c r="JH58" s="252"/>
      <c r="JI58" s="252"/>
      <c r="JJ58" s="252"/>
      <c r="JK58" s="252"/>
      <c r="JL58" s="252"/>
      <c r="JM58" s="252"/>
      <c r="JN58" s="252"/>
      <c r="JO58" s="252"/>
      <c r="JP58" s="252"/>
      <c r="JQ58" s="252"/>
      <c r="JR58" s="252"/>
      <c r="JS58" s="252"/>
      <c r="JT58" s="252"/>
      <c r="JU58" s="252"/>
      <c r="JV58" s="252"/>
      <c r="JW58" s="252"/>
      <c r="JX58" s="252"/>
      <c r="JY58" s="252"/>
      <c r="JZ58" s="252"/>
      <c r="KA58" s="252"/>
      <c r="KB58" s="252"/>
      <c r="KC58" s="252"/>
      <c r="KD58" s="252"/>
      <c r="KE58" s="252"/>
      <c r="KF58" s="252"/>
      <c r="KG58" s="252"/>
      <c r="KH58" s="252"/>
      <c r="KI58" s="252"/>
      <c r="KJ58" s="252"/>
      <c r="KK58" s="252"/>
      <c r="KL58" s="252"/>
      <c r="KM58" s="252"/>
      <c r="KN58" s="252"/>
      <c r="KO58" s="252"/>
      <c r="KP58" s="252"/>
      <c r="KQ58" s="252"/>
      <c r="KR58" s="252"/>
      <c r="KS58" s="252"/>
      <c r="KT58" s="252"/>
      <c r="KU58" s="252"/>
      <c r="KV58" s="252"/>
      <c r="KW58" s="252"/>
      <c r="KX58" s="252"/>
      <c r="KY58" s="252"/>
      <c r="KZ58" s="252"/>
      <c r="LA58" s="252"/>
      <c r="LB58" s="252"/>
      <c r="LC58" s="252"/>
      <c r="LD58" s="252"/>
      <c r="LE58" s="252"/>
      <c r="LF58" s="252"/>
      <c r="LG58" s="252"/>
      <c r="LH58" s="252"/>
      <c r="LI58" s="252"/>
      <c r="LJ58" s="252"/>
      <c r="LK58" s="252"/>
      <c r="LL58" s="252"/>
      <c r="LM58" s="252"/>
      <c r="LN58" s="252"/>
      <c r="LO58" s="252"/>
      <c r="LP58" s="252"/>
      <c r="LQ58" s="252"/>
      <c r="LR58" s="252"/>
      <c r="LS58" s="252"/>
      <c r="LT58" s="252"/>
      <c r="LU58" s="252"/>
      <c r="LV58" s="252"/>
      <c r="LW58" s="252"/>
      <c r="LX58" s="252"/>
      <c r="LY58" s="252"/>
      <c r="LZ58" s="252"/>
      <c r="MA58" s="252"/>
      <c r="MB58" s="252"/>
      <c r="MC58" s="252"/>
      <c r="MD58" s="252"/>
      <c r="ME58" s="252"/>
      <c r="MF58" s="252"/>
      <c r="MG58" s="252"/>
      <c r="MH58" s="252"/>
      <c r="MI58" s="252"/>
      <c r="MJ58" s="252"/>
      <c r="MK58" s="252"/>
      <c r="ML58" s="252"/>
      <c r="MM58" s="252"/>
      <c r="MN58" s="252"/>
      <c r="MO58" s="252"/>
      <c r="MP58" s="252"/>
      <c r="MQ58" s="252"/>
      <c r="MR58" s="252"/>
      <c r="MS58" s="252"/>
      <c r="MT58" s="252"/>
      <c r="MU58" s="252"/>
      <c r="MV58" s="252"/>
      <c r="MW58" s="252"/>
      <c r="MX58" s="252"/>
      <c r="MY58" s="252"/>
      <c r="MZ58" s="252"/>
      <c r="NA58" s="252"/>
      <c r="NB58" s="252"/>
      <c r="NC58" s="252"/>
      <c r="ND58" s="252"/>
      <c r="NE58" s="252"/>
      <c r="NF58" s="252"/>
      <c r="NG58" s="252"/>
      <c r="NH58" s="252"/>
      <c r="NI58" s="252"/>
      <c r="NJ58" s="252"/>
      <c r="NK58" s="252"/>
      <c r="NL58" s="252"/>
      <c r="NM58" s="252"/>
      <c r="NN58" s="252"/>
      <c r="NO58" s="252"/>
      <c r="NP58" s="252"/>
      <c r="NQ58" s="252"/>
      <c r="NR58" s="252"/>
      <c r="NS58" s="252"/>
      <c r="NT58" s="252"/>
      <c r="NU58" s="252"/>
      <c r="NV58" s="252"/>
      <c r="NW58" s="252"/>
      <c r="NX58" s="252"/>
      <c r="NY58" s="252"/>
      <c r="NZ58" s="252"/>
      <c r="OA58" s="252"/>
      <c r="OB58" s="252"/>
      <c r="OC58" s="252"/>
      <c r="OD58" s="252"/>
      <c r="OE58" s="252"/>
      <c r="OF58" s="252"/>
      <c r="OG58" s="252"/>
      <c r="OH58" s="252"/>
      <c r="OI58" s="252"/>
      <c r="OJ58" s="252"/>
      <c r="OK58" s="252"/>
      <c r="OL58" s="252"/>
      <c r="OM58" s="252"/>
      <c r="ON58" s="252"/>
      <c r="OO58" s="252"/>
      <c r="OP58" s="252"/>
      <c r="OQ58" s="252"/>
      <c r="OR58" s="252"/>
      <c r="OS58" s="252"/>
      <c r="OT58" s="252"/>
      <c r="OU58" s="252"/>
      <c r="OV58" s="252"/>
      <c r="OW58" s="252"/>
      <c r="OX58" s="252"/>
      <c r="OY58" s="252"/>
      <c r="OZ58" s="252"/>
      <c r="PA58" s="252"/>
      <c r="PB58" s="252"/>
      <c r="PC58" s="252"/>
      <c r="PD58" s="252"/>
      <c r="PE58" s="252"/>
      <c r="PF58" s="252"/>
      <c r="PG58" s="252"/>
      <c r="PH58" s="252"/>
      <c r="PI58" s="252"/>
      <c r="PJ58" s="252"/>
      <c r="PK58" s="252"/>
      <c r="PL58" s="252"/>
      <c r="PM58" s="252"/>
      <c r="PN58" s="252"/>
      <c r="PO58" s="252"/>
      <c r="PP58" s="252"/>
      <c r="PQ58" s="252"/>
      <c r="PR58" s="252"/>
      <c r="PS58" s="252"/>
      <c r="PT58" s="252"/>
      <c r="PU58" s="252"/>
      <c r="PV58" s="252"/>
      <c r="PW58" s="252"/>
      <c r="PX58" s="252"/>
      <c r="PY58" s="252"/>
      <c r="PZ58" s="252"/>
      <c r="QA58" s="252"/>
      <c r="QB58" s="252"/>
      <c r="QC58" s="252"/>
      <c r="QD58" s="252"/>
      <c r="QE58" s="252"/>
      <c r="QF58" s="252"/>
      <c r="QG58" s="252"/>
      <c r="QH58" s="252"/>
      <c r="QI58" s="252"/>
      <c r="QJ58" s="252"/>
      <c r="QK58" s="252"/>
      <c r="QL58" s="252"/>
      <c r="QM58" s="252"/>
      <c r="QN58" s="252"/>
      <c r="QO58" s="252"/>
      <c r="QP58" s="252"/>
      <c r="QQ58" s="252"/>
      <c r="QR58" s="252"/>
      <c r="QS58" s="252"/>
      <c r="QT58" s="252"/>
      <c r="QU58" s="252"/>
      <c r="QV58" s="252"/>
      <c r="QW58" s="252"/>
      <c r="QX58" s="252"/>
      <c r="QY58" s="252"/>
      <c r="QZ58" s="252"/>
      <c r="RA58" s="252"/>
      <c r="RB58" s="252"/>
      <c r="RC58" s="252"/>
      <c r="RD58" s="252"/>
      <c r="RE58" s="252"/>
      <c r="RF58" s="252"/>
      <c r="RG58" s="252"/>
      <c r="RH58" s="252"/>
      <c r="RI58" s="252"/>
      <c r="RJ58" s="252"/>
      <c r="RK58" s="252"/>
      <c r="RL58" s="252"/>
      <c r="RM58" s="252"/>
      <c r="RN58" s="252"/>
      <c r="RO58" s="252"/>
      <c r="RP58" s="252"/>
      <c r="RQ58" s="252"/>
      <c r="RR58" s="252"/>
      <c r="RS58" s="252"/>
      <c r="RT58" s="252"/>
      <c r="RU58" s="252"/>
      <c r="RV58" s="252"/>
      <c r="RW58" s="252"/>
      <c r="RX58" s="252"/>
      <c r="RY58" s="252"/>
      <c r="RZ58" s="252"/>
      <c r="SA58" s="252"/>
      <c r="SB58" s="252"/>
      <c r="SC58" s="252"/>
      <c r="SD58" s="252"/>
      <c r="SE58" s="252"/>
      <c r="SF58" s="252"/>
      <c r="SG58" s="252"/>
      <c r="SH58" s="252"/>
      <c r="SI58" s="252"/>
      <c r="SJ58" s="252"/>
      <c r="SK58" s="252"/>
      <c r="SL58" s="252"/>
      <c r="SM58" s="252"/>
      <c r="SN58" s="252"/>
      <c r="SO58" s="252"/>
      <c r="SP58" s="252"/>
      <c r="SQ58" s="252"/>
      <c r="SR58" s="252"/>
      <c r="SS58" s="252"/>
      <c r="ST58" s="252"/>
      <c r="SU58" s="252"/>
      <c r="SV58" s="252"/>
      <c r="SW58" s="252"/>
      <c r="SX58" s="252"/>
      <c r="SY58" s="252"/>
      <c r="SZ58" s="252"/>
      <c r="TA58" s="252"/>
      <c r="TB58" s="252"/>
      <c r="TC58" s="252"/>
      <c r="TD58" s="252"/>
      <c r="TE58" s="252"/>
      <c r="TF58" s="252"/>
      <c r="TG58" s="252"/>
      <c r="TH58" s="252"/>
      <c r="TI58" s="252"/>
      <c r="TJ58" s="252"/>
      <c r="TK58" s="252"/>
      <c r="TL58" s="252"/>
      <c r="TM58" s="252"/>
      <c r="TN58" s="252"/>
      <c r="TO58" s="252"/>
      <c r="TP58" s="252"/>
      <c r="TQ58" s="252"/>
      <c r="TR58" s="252"/>
      <c r="TS58" s="252"/>
      <c r="TT58" s="252"/>
      <c r="TU58" s="252"/>
      <c r="TV58" s="252"/>
      <c r="TW58" s="252"/>
      <c r="TX58" s="252"/>
      <c r="TY58" s="252"/>
      <c r="TZ58" s="252"/>
      <c r="UA58" s="252"/>
      <c r="UB58" s="252"/>
      <c r="UC58" s="252"/>
      <c r="UD58" s="252"/>
      <c r="UE58" s="252"/>
      <c r="UF58" s="252"/>
      <c r="UG58" s="252"/>
      <c r="UH58" s="252"/>
      <c r="UI58" s="252"/>
      <c r="UJ58" s="252"/>
      <c r="UK58" s="252"/>
      <c r="UL58" s="252"/>
      <c r="UM58" s="252"/>
      <c r="UN58" s="252"/>
      <c r="UO58" s="252"/>
      <c r="UP58" s="252"/>
      <c r="UQ58" s="252"/>
      <c r="UR58" s="252"/>
      <c r="US58" s="252"/>
      <c r="UT58" s="252"/>
      <c r="UU58" s="252"/>
      <c r="UV58" s="252"/>
      <c r="UW58" s="252"/>
      <c r="UX58" s="252"/>
      <c r="UY58" s="252"/>
      <c r="UZ58" s="252"/>
      <c r="VA58" s="252"/>
      <c r="VB58" s="252"/>
      <c r="VC58" s="252"/>
      <c r="VD58" s="252"/>
      <c r="VE58" s="252"/>
      <c r="VF58" s="252"/>
      <c r="VG58" s="252"/>
      <c r="VH58" s="252"/>
      <c r="VI58" s="252"/>
      <c r="VJ58" s="252"/>
      <c r="VK58" s="252"/>
      <c r="VL58" s="252"/>
      <c r="VM58" s="252"/>
      <c r="VN58" s="252"/>
      <c r="VO58" s="252"/>
      <c r="VP58" s="252"/>
      <c r="VQ58" s="252"/>
      <c r="VR58" s="252"/>
      <c r="VS58" s="252"/>
      <c r="VT58" s="252"/>
      <c r="VU58" s="252"/>
      <c r="VV58" s="252"/>
      <c r="VW58" s="252"/>
      <c r="VX58" s="252"/>
      <c r="VY58" s="252"/>
      <c r="VZ58" s="252"/>
      <c r="WA58" s="252"/>
      <c r="WB58" s="252"/>
      <c r="WC58" s="252"/>
      <c r="WD58" s="252"/>
      <c r="WE58" s="252"/>
      <c r="WF58" s="252"/>
      <c r="WG58" s="252"/>
      <c r="WH58" s="252"/>
      <c r="WI58" s="252"/>
      <c r="WJ58" s="252"/>
      <c r="WK58" s="252"/>
      <c r="WL58" s="252"/>
      <c r="WM58" s="252"/>
      <c r="WN58" s="252"/>
      <c r="WO58" s="252"/>
      <c r="WP58" s="252"/>
      <c r="WQ58" s="252"/>
      <c r="WR58" s="252"/>
      <c r="WS58" s="252"/>
      <c r="WT58" s="252"/>
      <c r="WU58" s="252"/>
      <c r="WV58" s="252"/>
      <c r="WW58" s="252"/>
      <c r="WX58" s="252"/>
      <c r="WY58" s="252"/>
      <c r="WZ58" s="252"/>
      <c r="XA58" s="252"/>
      <c r="XB58" s="252"/>
      <c r="XC58" s="252"/>
      <c r="XD58" s="252"/>
      <c r="XE58" s="252"/>
      <c r="XF58" s="252"/>
      <c r="XG58" s="252"/>
      <c r="XH58" s="252"/>
      <c r="XI58" s="252"/>
      <c r="XJ58" s="252"/>
      <c r="XK58" s="252"/>
      <c r="XL58" s="252"/>
      <c r="XM58" s="252"/>
      <c r="XN58" s="252"/>
      <c r="XO58" s="252"/>
      <c r="XP58" s="252"/>
      <c r="XQ58" s="252"/>
      <c r="XR58" s="252"/>
      <c r="XS58" s="252"/>
      <c r="XT58" s="252"/>
      <c r="XU58" s="252"/>
      <c r="XV58" s="252"/>
      <c r="XW58" s="252"/>
      <c r="XX58" s="252"/>
      <c r="XY58" s="252"/>
      <c r="XZ58" s="252"/>
      <c r="YA58" s="252"/>
      <c r="YB58" s="252"/>
      <c r="YC58" s="252"/>
      <c r="YD58" s="252"/>
      <c r="YE58" s="252"/>
      <c r="YF58" s="252"/>
      <c r="YG58" s="252"/>
      <c r="YH58" s="252"/>
      <c r="YI58" s="252"/>
      <c r="YJ58" s="252"/>
      <c r="YK58" s="252"/>
      <c r="YL58" s="252"/>
      <c r="YM58" s="252"/>
      <c r="YN58" s="252"/>
      <c r="YO58" s="252"/>
      <c r="YP58" s="252"/>
      <c r="YQ58" s="252"/>
      <c r="YR58" s="252"/>
      <c r="YS58" s="252"/>
      <c r="YT58" s="252"/>
      <c r="YU58" s="252"/>
      <c r="YV58" s="252"/>
      <c r="YW58" s="252"/>
      <c r="YX58" s="252"/>
      <c r="YY58" s="252"/>
      <c r="YZ58" s="252"/>
      <c r="ZA58" s="252"/>
      <c r="ZB58" s="252"/>
      <c r="ZC58" s="252"/>
      <c r="ZD58" s="252"/>
      <c r="ZE58" s="252"/>
      <c r="ZF58" s="252"/>
      <c r="ZG58" s="252"/>
      <c r="ZH58" s="252"/>
      <c r="ZI58" s="252"/>
      <c r="ZJ58" s="252"/>
      <c r="ZK58" s="252"/>
      <c r="ZL58" s="252"/>
      <c r="ZM58" s="252"/>
      <c r="ZN58" s="252"/>
      <c r="ZO58" s="252"/>
      <c r="ZP58" s="252"/>
      <c r="ZQ58" s="252"/>
      <c r="ZR58" s="252"/>
      <c r="ZS58" s="252"/>
      <c r="ZT58" s="252"/>
      <c r="ZU58" s="252"/>
      <c r="ZV58" s="252"/>
      <c r="ZW58" s="252"/>
      <c r="ZX58" s="252"/>
      <c r="ZY58" s="252"/>
      <c r="ZZ58" s="252"/>
      <c r="AAA58" s="252"/>
      <c r="AAB58" s="252"/>
      <c r="AAC58" s="252"/>
      <c r="AAD58" s="252"/>
      <c r="AAE58" s="252"/>
      <c r="AAF58" s="252"/>
      <c r="AAG58" s="252"/>
      <c r="AAH58" s="252"/>
      <c r="AAI58" s="252"/>
      <c r="AAJ58" s="252"/>
      <c r="AAK58" s="252"/>
      <c r="AAL58" s="252"/>
      <c r="AAM58" s="252"/>
      <c r="AAN58" s="252"/>
      <c r="AAO58" s="252"/>
      <c r="AAP58" s="252"/>
      <c r="AAQ58" s="252"/>
      <c r="AAR58" s="252"/>
      <c r="AAS58" s="252"/>
      <c r="AAT58" s="252"/>
      <c r="AAU58" s="252"/>
      <c r="AAV58" s="252"/>
      <c r="AAW58" s="252"/>
      <c r="AAX58" s="252"/>
      <c r="AAY58" s="252"/>
      <c r="AAZ58" s="252"/>
      <c r="ABA58" s="252"/>
      <c r="ABB58" s="252"/>
      <c r="ABC58" s="252"/>
      <c r="ABD58" s="252"/>
      <c r="ABE58" s="252"/>
      <c r="ABF58" s="252"/>
      <c r="ABG58" s="252"/>
      <c r="ABH58" s="252"/>
      <c r="ABI58" s="252"/>
      <c r="ABJ58" s="252"/>
      <c r="ABK58" s="252"/>
      <c r="ABL58" s="252"/>
      <c r="ABM58" s="252"/>
      <c r="ABN58" s="252"/>
      <c r="ABO58" s="252"/>
      <c r="ABP58" s="252"/>
      <c r="ABQ58" s="252"/>
      <c r="ABR58" s="252"/>
      <c r="ABS58" s="252"/>
      <c r="ABT58" s="252"/>
      <c r="ABU58" s="252"/>
      <c r="ABV58" s="252"/>
      <c r="ABW58" s="252"/>
      <c r="ABX58" s="252"/>
      <c r="ABY58" s="252"/>
      <c r="ABZ58" s="252"/>
      <c r="ACA58" s="252"/>
      <c r="ACB58" s="252"/>
      <c r="ACC58" s="252"/>
      <c r="ACD58" s="252"/>
      <c r="ACE58" s="252"/>
      <c r="ACF58" s="252"/>
      <c r="ACG58" s="252"/>
      <c r="ACH58" s="252"/>
      <c r="ACI58" s="252"/>
      <c r="ACJ58" s="252"/>
      <c r="ACK58" s="252"/>
      <c r="ACL58" s="252"/>
      <c r="ACM58" s="252"/>
      <c r="ACN58" s="252"/>
      <c r="ACO58" s="252"/>
      <c r="ACP58" s="252"/>
      <c r="ACQ58" s="252"/>
      <c r="ACR58" s="252"/>
      <c r="ACS58" s="252"/>
      <c r="ACT58" s="252"/>
      <c r="ACU58" s="252"/>
      <c r="ACV58" s="252"/>
      <c r="ACW58" s="252"/>
      <c r="ACX58" s="252"/>
      <c r="ACY58" s="252"/>
      <c r="ACZ58" s="252"/>
      <c r="ADA58" s="252"/>
      <c r="ADB58" s="252"/>
      <c r="ADC58" s="252"/>
      <c r="ADD58" s="252"/>
      <c r="ADE58" s="252"/>
      <c r="ADF58" s="252"/>
      <c r="ADG58" s="252"/>
      <c r="ADH58" s="252"/>
      <c r="ADI58" s="252"/>
      <c r="ADJ58" s="252"/>
      <c r="ADK58" s="252"/>
      <c r="ADL58" s="252"/>
      <c r="ADM58" s="252"/>
      <c r="ADN58" s="252"/>
      <c r="ADO58" s="252"/>
      <c r="ADP58" s="252"/>
      <c r="ADQ58" s="252"/>
      <c r="ADR58" s="252"/>
      <c r="ADS58" s="252"/>
      <c r="ADT58" s="252"/>
      <c r="ADU58" s="252"/>
      <c r="ADV58" s="252"/>
      <c r="ADW58" s="252"/>
      <c r="ADX58" s="252"/>
      <c r="ADY58" s="252"/>
      <c r="ADZ58" s="252"/>
      <c r="AEA58" s="252"/>
      <c r="AEB58" s="252"/>
      <c r="AEC58" s="252"/>
      <c r="AED58" s="252"/>
      <c r="AEE58" s="252"/>
      <c r="AEF58" s="252"/>
      <c r="AEG58" s="252"/>
      <c r="AEH58" s="252"/>
      <c r="AEI58" s="252"/>
      <c r="AEJ58" s="252"/>
      <c r="AEK58" s="252"/>
      <c r="AEL58" s="252"/>
      <c r="AEM58" s="252"/>
      <c r="AEN58" s="252"/>
      <c r="AEO58" s="252"/>
      <c r="AEP58" s="252"/>
      <c r="AEQ58" s="252"/>
      <c r="AER58" s="252"/>
      <c r="AES58" s="252"/>
      <c r="AET58" s="252"/>
      <c r="AEU58" s="252"/>
      <c r="AEV58" s="252"/>
      <c r="AEW58" s="252"/>
      <c r="AEX58" s="252"/>
      <c r="AEY58" s="252"/>
      <c r="AEZ58" s="252"/>
      <c r="AFA58" s="252"/>
      <c r="AFB58" s="252"/>
      <c r="AFC58" s="252"/>
      <c r="AFD58" s="252"/>
      <c r="AFE58" s="252"/>
      <c r="AFF58" s="252"/>
      <c r="AFG58" s="252"/>
      <c r="AFH58" s="252"/>
      <c r="AFI58" s="252"/>
      <c r="AFJ58" s="252"/>
      <c r="AFK58" s="252"/>
      <c r="AFL58" s="252"/>
      <c r="AFM58" s="252"/>
      <c r="AFN58" s="252"/>
      <c r="AFO58" s="252"/>
      <c r="AFP58" s="252"/>
      <c r="AFQ58" s="252"/>
      <c r="AFR58" s="252"/>
      <c r="AFS58" s="252"/>
      <c r="AFT58" s="252"/>
      <c r="AFU58" s="252"/>
      <c r="AFV58" s="252"/>
      <c r="AFW58" s="252"/>
      <c r="AFX58" s="252"/>
      <c r="AFY58" s="252"/>
      <c r="AFZ58" s="252"/>
      <c r="AGA58" s="252"/>
      <c r="AGB58" s="252"/>
      <c r="AGC58" s="252"/>
      <c r="AGD58" s="252"/>
      <c r="AGE58" s="252"/>
      <c r="AGF58" s="252"/>
      <c r="AGG58" s="252"/>
      <c r="AGH58" s="252"/>
      <c r="AGI58" s="252"/>
      <c r="AGJ58" s="252"/>
      <c r="AGK58" s="252"/>
      <c r="AGL58" s="252"/>
      <c r="AGM58" s="252"/>
      <c r="AGN58" s="252"/>
      <c r="AGO58" s="252"/>
      <c r="AGP58" s="252"/>
      <c r="AGQ58" s="252"/>
      <c r="AGR58" s="252"/>
      <c r="AGS58" s="252"/>
      <c r="AGT58" s="252"/>
      <c r="AGU58" s="252"/>
      <c r="AGV58" s="252"/>
      <c r="AGW58" s="252"/>
      <c r="AGX58" s="252"/>
      <c r="AGY58" s="252"/>
      <c r="AGZ58" s="252"/>
      <c r="AHA58" s="252"/>
      <c r="AHB58" s="252"/>
      <c r="AHC58" s="252"/>
      <c r="AHD58" s="252"/>
      <c r="AHE58" s="252"/>
      <c r="AHF58" s="252"/>
      <c r="AHG58" s="252"/>
      <c r="AHH58" s="252"/>
      <c r="AHI58" s="252"/>
      <c r="AHJ58" s="252"/>
      <c r="AHK58" s="252"/>
      <c r="AHL58" s="252"/>
      <c r="AHM58" s="252"/>
      <c r="AHN58" s="252"/>
      <c r="AHO58" s="252"/>
      <c r="AHP58" s="252"/>
      <c r="AHQ58" s="252"/>
      <c r="AHR58" s="252"/>
      <c r="AHS58" s="252"/>
      <c r="AHT58" s="252"/>
      <c r="AHU58" s="252"/>
      <c r="AHV58" s="252"/>
      <c r="AHW58" s="252"/>
      <c r="AHX58" s="252"/>
      <c r="AHY58" s="252"/>
      <c r="AHZ58" s="252"/>
      <c r="AIA58" s="252"/>
      <c r="AIB58" s="252"/>
      <c r="AIC58" s="252"/>
      <c r="AID58" s="252"/>
      <c r="AIE58" s="252"/>
      <c r="AIF58" s="252"/>
      <c r="AIG58" s="252"/>
      <c r="AIH58" s="252"/>
      <c r="AII58" s="252"/>
      <c r="AIJ58" s="252"/>
      <c r="AIK58" s="252"/>
      <c r="AIL58" s="252"/>
      <c r="AIM58" s="252"/>
      <c r="AIN58" s="252"/>
      <c r="AIO58" s="252"/>
      <c r="AIP58" s="252"/>
      <c r="AIQ58" s="252"/>
      <c r="AIR58" s="252"/>
      <c r="AIS58" s="252"/>
      <c r="AIT58" s="252"/>
      <c r="AIU58" s="252"/>
      <c r="AIV58" s="252"/>
      <c r="AIW58" s="252"/>
      <c r="AIX58" s="252"/>
      <c r="AIY58" s="252"/>
      <c r="AIZ58" s="252"/>
      <c r="AJA58" s="252"/>
      <c r="AJB58" s="252"/>
      <c r="AJC58" s="252"/>
      <c r="AJD58" s="252"/>
      <c r="AJE58" s="252"/>
      <c r="AJF58" s="252"/>
      <c r="AJG58" s="252"/>
      <c r="AJH58" s="252"/>
      <c r="AJI58" s="252"/>
      <c r="AJJ58" s="252"/>
      <c r="AJK58" s="252"/>
      <c r="AJL58" s="252"/>
      <c r="AJM58" s="252"/>
      <c r="AJN58" s="252"/>
      <c r="AJO58" s="252"/>
      <c r="AJP58" s="252"/>
      <c r="AJQ58" s="252"/>
      <c r="AJR58" s="252"/>
      <c r="AJS58" s="252"/>
      <c r="AJT58" s="252"/>
      <c r="AJU58" s="252"/>
      <c r="AJV58" s="252"/>
      <c r="AJW58" s="252"/>
      <c r="AJX58" s="252"/>
      <c r="AJY58" s="252"/>
      <c r="AJZ58" s="252"/>
      <c r="AKA58" s="252"/>
      <c r="AKB58" s="252"/>
      <c r="AKC58" s="252"/>
      <c r="AKD58" s="252"/>
      <c r="AKE58" s="252"/>
      <c r="AKF58" s="252"/>
      <c r="AKG58" s="252"/>
      <c r="AKH58" s="252"/>
      <c r="AKI58" s="252"/>
      <c r="AKJ58" s="252"/>
      <c r="AKK58" s="252"/>
      <c r="AKL58" s="252"/>
      <c r="AKM58" s="252"/>
      <c r="AKN58" s="252"/>
      <c r="AKO58" s="252"/>
      <c r="AKP58" s="252"/>
      <c r="AKQ58" s="252"/>
      <c r="AKR58" s="252"/>
      <c r="AKS58" s="252"/>
      <c r="AKT58" s="252"/>
      <c r="AKU58" s="252"/>
      <c r="AKV58" s="252"/>
      <c r="AKW58" s="252"/>
      <c r="AKX58" s="252"/>
      <c r="AKY58" s="252"/>
      <c r="AKZ58" s="252"/>
      <c r="ALA58" s="252"/>
      <c r="ALB58" s="252"/>
      <c r="ALC58" s="252"/>
      <c r="ALD58" s="252"/>
      <c r="ALE58" s="252"/>
      <c r="ALF58" s="252"/>
      <c r="ALG58" s="252"/>
      <c r="ALH58" s="252"/>
      <c r="ALI58" s="252"/>
      <c r="ALJ58" s="252"/>
      <c r="ALK58" s="252"/>
      <c r="ALL58" s="252"/>
      <c r="ALM58" s="252"/>
      <c r="ALN58" s="252"/>
      <c r="ALO58" s="252"/>
      <c r="ALP58" s="252"/>
      <c r="ALQ58" s="252"/>
      <c r="ALR58" s="252"/>
    </row>
    <row r="59" spans="1:1007" s="3" customFormat="1" x14ac:dyDescent="0.2">
      <c r="A59" s="749" t="s">
        <v>530</v>
      </c>
      <c r="B59" s="382"/>
      <c r="C59" s="382"/>
      <c r="D59" s="382"/>
      <c r="E59" s="740">
        <v>15000</v>
      </c>
      <c r="F59" s="730"/>
      <c r="G59" s="730"/>
      <c r="H59" s="730"/>
      <c r="I59" s="730"/>
      <c r="J59" s="252"/>
      <c r="K59" s="252"/>
      <c r="L59" s="252"/>
      <c r="M59" s="252"/>
      <c r="N59" s="252"/>
      <c r="O59" s="252"/>
      <c r="P59" s="252"/>
      <c r="Q59" s="252"/>
      <c r="R59" s="252"/>
      <c r="S59" s="252"/>
      <c r="T59" s="252"/>
      <c r="U59" s="252"/>
      <c r="V59" s="252"/>
      <c r="W59" s="252"/>
      <c r="X59" s="252"/>
      <c r="Y59" s="252"/>
      <c r="Z59" s="252"/>
      <c r="AA59" s="252"/>
      <c r="AB59" s="252"/>
      <c r="AC59" s="252"/>
      <c r="AD59" s="252"/>
      <c r="AE59" s="252"/>
      <c r="AF59" s="252"/>
      <c r="AG59" s="252"/>
      <c r="AH59" s="252"/>
      <c r="AI59" s="252"/>
      <c r="AJ59" s="252"/>
      <c r="AK59" s="252"/>
      <c r="AL59" s="252"/>
      <c r="AM59" s="252"/>
      <c r="AN59" s="252"/>
      <c r="AO59" s="252"/>
      <c r="AP59" s="252"/>
      <c r="AQ59" s="252"/>
      <c r="AR59" s="252"/>
      <c r="AS59" s="252"/>
      <c r="AT59" s="252"/>
      <c r="AU59" s="252"/>
      <c r="AV59" s="252"/>
      <c r="AW59" s="252"/>
      <c r="AX59" s="252"/>
      <c r="AY59" s="252"/>
      <c r="AZ59" s="252"/>
      <c r="BA59" s="252"/>
      <c r="BB59" s="252"/>
      <c r="BC59" s="252"/>
      <c r="BD59" s="252"/>
      <c r="BE59" s="252"/>
      <c r="BF59" s="252"/>
      <c r="BG59" s="252"/>
      <c r="BH59" s="252"/>
      <c r="BI59" s="252"/>
      <c r="BJ59" s="252"/>
      <c r="BK59" s="252"/>
      <c r="BL59" s="252"/>
      <c r="BM59" s="252"/>
      <c r="BN59" s="252"/>
      <c r="BO59" s="252"/>
      <c r="BP59" s="252"/>
      <c r="BQ59" s="252"/>
      <c r="BR59" s="252"/>
      <c r="BS59" s="252"/>
      <c r="BT59" s="252"/>
      <c r="BU59" s="252"/>
      <c r="BV59" s="252"/>
      <c r="BW59" s="252"/>
      <c r="BX59" s="252"/>
      <c r="BY59" s="252"/>
      <c r="BZ59" s="252"/>
      <c r="CA59" s="252"/>
      <c r="CB59" s="252"/>
      <c r="CC59" s="252"/>
      <c r="CD59" s="252"/>
      <c r="CE59" s="252"/>
      <c r="CF59" s="252"/>
      <c r="CG59" s="252"/>
      <c r="CH59" s="252"/>
      <c r="CI59" s="252"/>
      <c r="CJ59" s="252"/>
      <c r="CK59" s="252"/>
      <c r="CL59" s="252"/>
      <c r="CM59" s="252"/>
      <c r="CN59" s="252"/>
      <c r="CO59" s="252"/>
      <c r="CP59" s="252"/>
      <c r="CQ59" s="252"/>
      <c r="CR59" s="252"/>
      <c r="CS59" s="252"/>
      <c r="CT59" s="252"/>
      <c r="CU59" s="252"/>
      <c r="CV59" s="252"/>
      <c r="CW59" s="252"/>
      <c r="CX59" s="252"/>
      <c r="CY59" s="252"/>
      <c r="CZ59" s="252"/>
      <c r="DA59" s="252"/>
      <c r="DB59" s="252"/>
      <c r="DC59" s="252"/>
      <c r="DD59" s="252"/>
      <c r="DE59" s="252"/>
      <c r="DF59" s="252"/>
      <c r="DG59" s="252"/>
      <c r="DH59" s="252"/>
      <c r="DI59" s="252"/>
      <c r="DJ59" s="252"/>
      <c r="DK59" s="252"/>
      <c r="DL59" s="252"/>
      <c r="DM59" s="252"/>
      <c r="DN59" s="252"/>
      <c r="DO59" s="252"/>
      <c r="DP59" s="252"/>
      <c r="DQ59" s="252"/>
      <c r="DR59" s="252"/>
      <c r="DS59" s="252"/>
      <c r="DT59" s="252"/>
      <c r="DU59" s="252"/>
      <c r="DV59" s="252"/>
      <c r="DW59" s="252"/>
      <c r="DX59" s="252"/>
      <c r="DY59" s="252"/>
      <c r="DZ59" s="252"/>
      <c r="EA59" s="252"/>
      <c r="EB59" s="252"/>
      <c r="EC59" s="252"/>
      <c r="ED59" s="252"/>
      <c r="EE59" s="252"/>
      <c r="EF59" s="252"/>
      <c r="EG59" s="252"/>
      <c r="EH59" s="252"/>
      <c r="EI59" s="252"/>
      <c r="EJ59" s="252"/>
      <c r="EK59" s="252"/>
      <c r="EL59" s="252"/>
      <c r="EM59" s="252"/>
      <c r="EN59" s="252"/>
      <c r="EO59" s="252"/>
      <c r="EP59" s="252"/>
      <c r="EQ59" s="252"/>
      <c r="ER59" s="252"/>
      <c r="ES59" s="252"/>
      <c r="ET59" s="252"/>
      <c r="EU59" s="252"/>
      <c r="EV59" s="252"/>
      <c r="EW59" s="252"/>
      <c r="EX59" s="252"/>
      <c r="EY59" s="252"/>
      <c r="EZ59" s="252"/>
      <c r="FA59" s="252"/>
      <c r="FB59" s="252"/>
      <c r="FC59" s="252"/>
      <c r="FD59" s="252"/>
      <c r="FE59" s="252"/>
      <c r="FF59" s="252"/>
      <c r="FG59" s="252"/>
      <c r="FH59" s="252"/>
      <c r="FI59" s="252"/>
      <c r="FJ59" s="252"/>
      <c r="FK59" s="252"/>
      <c r="FL59" s="252"/>
      <c r="FM59" s="252"/>
      <c r="FN59" s="252"/>
      <c r="FO59" s="252"/>
      <c r="FP59" s="252"/>
      <c r="FQ59" s="252"/>
      <c r="FR59" s="252"/>
      <c r="FS59" s="252"/>
      <c r="FT59" s="252"/>
      <c r="FU59" s="252"/>
      <c r="FV59" s="252"/>
      <c r="FW59" s="252"/>
      <c r="FX59" s="252"/>
      <c r="FY59" s="252"/>
      <c r="FZ59" s="252"/>
      <c r="GA59" s="252"/>
      <c r="GB59" s="252"/>
      <c r="GC59" s="252"/>
      <c r="GD59" s="252"/>
      <c r="GE59" s="252"/>
      <c r="GF59" s="252"/>
      <c r="GG59" s="252"/>
      <c r="GH59" s="252"/>
      <c r="GI59" s="252"/>
      <c r="GJ59" s="252"/>
      <c r="GK59" s="252"/>
      <c r="GL59" s="252"/>
      <c r="GM59" s="252"/>
      <c r="GN59" s="252"/>
      <c r="GO59" s="252"/>
      <c r="GP59" s="252"/>
      <c r="GQ59" s="252"/>
      <c r="GR59" s="252"/>
      <c r="GS59" s="252"/>
      <c r="GT59" s="252"/>
      <c r="GU59" s="252"/>
      <c r="GV59" s="252"/>
      <c r="GW59" s="252"/>
      <c r="GX59" s="252"/>
      <c r="GY59" s="252"/>
      <c r="GZ59" s="252"/>
      <c r="HA59" s="252"/>
      <c r="HB59" s="252"/>
      <c r="HC59" s="252"/>
      <c r="HD59" s="252"/>
      <c r="HE59" s="252"/>
      <c r="HF59" s="252"/>
      <c r="HG59" s="252"/>
      <c r="HH59" s="252"/>
      <c r="HI59" s="252"/>
      <c r="HJ59" s="252"/>
      <c r="HK59" s="252"/>
      <c r="HL59" s="252"/>
      <c r="HM59" s="252"/>
      <c r="HN59" s="252"/>
      <c r="HO59" s="252"/>
      <c r="HP59" s="252"/>
      <c r="HQ59" s="252"/>
      <c r="HR59" s="252"/>
      <c r="HS59" s="252"/>
      <c r="HT59" s="252"/>
      <c r="HU59" s="252"/>
      <c r="HV59" s="252"/>
      <c r="HW59" s="252"/>
      <c r="HX59" s="252"/>
      <c r="HY59" s="252"/>
      <c r="HZ59" s="252"/>
      <c r="IA59" s="252"/>
      <c r="IB59" s="252"/>
      <c r="IC59" s="252"/>
      <c r="ID59" s="252"/>
      <c r="IE59" s="252"/>
      <c r="IF59" s="252"/>
      <c r="IG59" s="252"/>
      <c r="IH59" s="252"/>
      <c r="II59" s="252"/>
      <c r="IJ59" s="252"/>
      <c r="IK59" s="252"/>
      <c r="IL59" s="252"/>
      <c r="IM59" s="252"/>
      <c r="IN59" s="252"/>
      <c r="IO59" s="252"/>
      <c r="IP59" s="252"/>
      <c r="IQ59" s="252"/>
      <c r="IR59" s="252"/>
      <c r="IS59" s="252"/>
      <c r="IT59" s="252"/>
      <c r="IU59" s="252"/>
      <c r="IV59" s="252"/>
      <c r="IW59" s="252"/>
      <c r="IX59" s="252"/>
      <c r="IY59" s="252"/>
      <c r="IZ59" s="252"/>
      <c r="JA59" s="252"/>
      <c r="JB59" s="252"/>
      <c r="JC59" s="252"/>
      <c r="JD59" s="252"/>
      <c r="JE59" s="252"/>
      <c r="JF59" s="252"/>
      <c r="JG59" s="252"/>
      <c r="JH59" s="252"/>
      <c r="JI59" s="252"/>
      <c r="JJ59" s="252"/>
      <c r="JK59" s="252"/>
      <c r="JL59" s="252"/>
      <c r="JM59" s="252"/>
      <c r="JN59" s="252"/>
      <c r="JO59" s="252"/>
      <c r="JP59" s="252"/>
      <c r="JQ59" s="252"/>
      <c r="JR59" s="252"/>
      <c r="JS59" s="252"/>
      <c r="JT59" s="252"/>
      <c r="JU59" s="252"/>
      <c r="JV59" s="252"/>
      <c r="JW59" s="252"/>
      <c r="JX59" s="252"/>
      <c r="JY59" s="252"/>
      <c r="JZ59" s="252"/>
      <c r="KA59" s="252"/>
      <c r="KB59" s="252"/>
      <c r="KC59" s="252"/>
      <c r="KD59" s="252"/>
      <c r="KE59" s="252"/>
      <c r="KF59" s="252"/>
      <c r="KG59" s="252"/>
      <c r="KH59" s="252"/>
      <c r="KI59" s="252"/>
      <c r="KJ59" s="252"/>
      <c r="KK59" s="252"/>
      <c r="KL59" s="252"/>
      <c r="KM59" s="252"/>
      <c r="KN59" s="252"/>
      <c r="KO59" s="252"/>
      <c r="KP59" s="252"/>
      <c r="KQ59" s="252"/>
      <c r="KR59" s="252"/>
      <c r="KS59" s="252"/>
      <c r="KT59" s="252"/>
      <c r="KU59" s="252"/>
      <c r="KV59" s="252"/>
      <c r="KW59" s="252"/>
      <c r="KX59" s="252"/>
      <c r="KY59" s="252"/>
      <c r="KZ59" s="252"/>
      <c r="LA59" s="252"/>
      <c r="LB59" s="252"/>
      <c r="LC59" s="252"/>
      <c r="LD59" s="252"/>
      <c r="LE59" s="252"/>
      <c r="LF59" s="252"/>
      <c r="LG59" s="252"/>
      <c r="LH59" s="252"/>
      <c r="LI59" s="252"/>
      <c r="LJ59" s="252"/>
      <c r="LK59" s="252"/>
      <c r="LL59" s="252"/>
      <c r="LM59" s="252"/>
      <c r="LN59" s="252"/>
      <c r="LO59" s="252"/>
      <c r="LP59" s="252"/>
      <c r="LQ59" s="252"/>
      <c r="LR59" s="252"/>
      <c r="LS59" s="252"/>
      <c r="LT59" s="252"/>
      <c r="LU59" s="252"/>
      <c r="LV59" s="252"/>
      <c r="LW59" s="252"/>
      <c r="LX59" s="252"/>
      <c r="LY59" s="252"/>
      <c r="LZ59" s="252"/>
      <c r="MA59" s="252"/>
      <c r="MB59" s="252"/>
      <c r="MC59" s="252"/>
      <c r="MD59" s="252"/>
      <c r="ME59" s="252"/>
      <c r="MF59" s="252"/>
      <c r="MG59" s="252"/>
      <c r="MH59" s="252"/>
      <c r="MI59" s="252"/>
      <c r="MJ59" s="252"/>
      <c r="MK59" s="252"/>
      <c r="ML59" s="252"/>
      <c r="MM59" s="252"/>
      <c r="MN59" s="252"/>
      <c r="MO59" s="252"/>
      <c r="MP59" s="252"/>
      <c r="MQ59" s="252"/>
      <c r="MR59" s="252"/>
      <c r="MS59" s="252"/>
      <c r="MT59" s="252"/>
      <c r="MU59" s="252"/>
      <c r="MV59" s="252"/>
      <c r="MW59" s="252"/>
      <c r="MX59" s="252"/>
      <c r="MY59" s="252"/>
      <c r="MZ59" s="252"/>
      <c r="NA59" s="252"/>
      <c r="NB59" s="252"/>
      <c r="NC59" s="252"/>
      <c r="ND59" s="252"/>
      <c r="NE59" s="252"/>
      <c r="NF59" s="252"/>
      <c r="NG59" s="252"/>
      <c r="NH59" s="252"/>
      <c r="NI59" s="252"/>
      <c r="NJ59" s="252"/>
      <c r="NK59" s="252"/>
      <c r="NL59" s="252"/>
      <c r="NM59" s="252"/>
      <c r="NN59" s="252"/>
      <c r="NO59" s="252"/>
      <c r="NP59" s="252"/>
      <c r="NQ59" s="252"/>
      <c r="NR59" s="252"/>
      <c r="NS59" s="252"/>
      <c r="NT59" s="252"/>
      <c r="NU59" s="252"/>
      <c r="NV59" s="252"/>
      <c r="NW59" s="252"/>
      <c r="NX59" s="252"/>
      <c r="NY59" s="252"/>
      <c r="NZ59" s="252"/>
      <c r="OA59" s="252"/>
      <c r="OB59" s="252"/>
      <c r="OC59" s="252"/>
      <c r="OD59" s="252"/>
      <c r="OE59" s="252"/>
      <c r="OF59" s="252"/>
      <c r="OG59" s="252"/>
      <c r="OH59" s="252"/>
      <c r="OI59" s="252"/>
      <c r="OJ59" s="252"/>
      <c r="OK59" s="252"/>
      <c r="OL59" s="252"/>
      <c r="OM59" s="252"/>
      <c r="ON59" s="252"/>
      <c r="OO59" s="252"/>
      <c r="OP59" s="252"/>
      <c r="OQ59" s="252"/>
      <c r="OR59" s="252"/>
      <c r="OS59" s="252"/>
      <c r="OT59" s="252"/>
      <c r="OU59" s="252"/>
      <c r="OV59" s="252"/>
      <c r="OW59" s="252"/>
      <c r="OX59" s="252"/>
      <c r="OY59" s="252"/>
      <c r="OZ59" s="252"/>
      <c r="PA59" s="252"/>
      <c r="PB59" s="252"/>
      <c r="PC59" s="252"/>
      <c r="PD59" s="252"/>
      <c r="PE59" s="252"/>
      <c r="PF59" s="252"/>
      <c r="PG59" s="252"/>
      <c r="PH59" s="252"/>
      <c r="PI59" s="252"/>
      <c r="PJ59" s="252"/>
      <c r="PK59" s="252"/>
      <c r="PL59" s="252"/>
      <c r="PM59" s="252"/>
      <c r="PN59" s="252"/>
      <c r="PO59" s="252"/>
      <c r="PP59" s="252"/>
      <c r="PQ59" s="252"/>
      <c r="PR59" s="252"/>
      <c r="PS59" s="252"/>
      <c r="PT59" s="252"/>
      <c r="PU59" s="252"/>
      <c r="PV59" s="252"/>
      <c r="PW59" s="252"/>
      <c r="PX59" s="252"/>
      <c r="PY59" s="252"/>
      <c r="PZ59" s="252"/>
      <c r="QA59" s="252"/>
      <c r="QB59" s="252"/>
      <c r="QC59" s="252"/>
      <c r="QD59" s="252"/>
      <c r="QE59" s="252"/>
      <c r="QF59" s="252"/>
      <c r="QG59" s="252"/>
      <c r="QH59" s="252"/>
      <c r="QI59" s="252"/>
      <c r="QJ59" s="252"/>
      <c r="QK59" s="252"/>
      <c r="QL59" s="252"/>
      <c r="QM59" s="252"/>
      <c r="QN59" s="252"/>
      <c r="QO59" s="252"/>
      <c r="QP59" s="252"/>
      <c r="QQ59" s="252"/>
      <c r="QR59" s="252"/>
      <c r="QS59" s="252"/>
      <c r="QT59" s="252"/>
      <c r="QU59" s="252"/>
      <c r="QV59" s="252"/>
      <c r="QW59" s="252"/>
      <c r="QX59" s="252"/>
      <c r="QY59" s="252"/>
      <c r="QZ59" s="252"/>
      <c r="RA59" s="252"/>
      <c r="RB59" s="252"/>
      <c r="RC59" s="252"/>
      <c r="RD59" s="252"/>
      <c r="RE59" s="252"/>
      <c r="RF59" s="252"/>
      <c r="RG59" s="252"/>
      <c r="RH59" s="252"/>
      <c r="RI59" s="252"/>
      <c r="RJ59" s="252"/>
      <c r="RK59" s="252"/>
      <c r="RL59" s="252"/>
      <c r="RM59" s="252"/>
      <c r="RN59" s="252"/>
      <c r="RO59" s="252"/>
      <c r="RP59" s="252"/>
      <c r="RQ59" s="252"/>
      <c r="RR59" s="252"/>
      <c r="RS59" s="252"/>
      <c r="RT59" s="252"/>
      <c r="RU59" s="252"/>
      <c r="RV59" s="252"/>
      <c r="RW59" s="252"/>
      <c r="RX59" s="252"/>
      <c r="RY59" s="252"/>
      <c r="RZ59" s="252"/>
      <c r="SA59" s="252"/>
      <c r="SB59" s="252"/>
      <c r="SC59" s="252"/>
      <c r="SD59" s="252"/>
      <c r="SE59" s="252"/>
      <c r="SF59" s="252"/>
      <c r="SG59" s="252"/>
      <c r="SH59" s="252"/>
      <c r="SI59" s="252"/>
      <c r="SJ59" s="252"/>
      <c r="SK59" s="252"/>
      <c r="SL59" s="252"/>
      <c r="SM59" s="252"/>
      <c r="SN59" s="252"/>
      <c r="SO59" s="252"/>
      <c r="SP59" s="252"/>
      <c r="SQ59" s="252"/>
      <c r="SR59" s="252"/>
      <c r="SS59" s="252"/>
      <c r="ST59" s="252"/>
      <c r="SU59" s="252"/>
      <c r="SV59" s="252"/>
      <c r="SW59" s="252"/>
      <c r="SX59" s="252"/>
      <c r="SY59" s="252"/>
      <c r="SZ59" s="252"/>
      <c r="TA59" s="252"/>
      <c r="TB59" s="252"/>
      <c r="TC59" s="252"/>
      <c r="TD59" s="252"/>
      <c r="TE59" s="252"/>
      <c r="TF59" s="252"/>
      <c r="TG59" s="252"/>
      <c r="TH59" s="252"/>
      <c r="TI59" s="252"/>
      <c r="TJ59" s="252"/>
      <c r="TK59" s="252"/>
      <c r="TL59" s="252"/>
      <c r="TM59" s="252"/>
      <c r="TN59" s="252"/>
      <c r="TO59" s="252"/>
      <c r="TP59" s="252"/>
      <c r="TQ59" s="252"/>
      <c r="TR59" s="252"/>
      <c r="TS59" s="252"/>
      <c r="TT59" s="252"/>
      <c r="TU59" s="252"/>
      <c r="TV59" s="252"/>
      <c r="TW59" s="252"/>
      <c r="TX59" s="252"/>
      <c r="TY59" s="252"/>
      <c r="TZ59" s="252"/>
      <c r="UA59" s="252"/>
      <c r="UB59" s="252"/>
      <c r="UC59" s="252"/>
      <c r="UD59" s="252"/>
      <c r="UE59" s="252"/>
      <c r="UF59" s="252"/>
      <c r="UG59" s="252"/>
      <c r="UH59" s="252"/>
      <c r="UI59" s="252"/>
      <c r="UJ59" s="252"/>
      <c r="UK59" s="252"/>
      <c r="UL59" s="252"/>
      <c r="UM59" s="252"/>
      <c r="UN59" s="252"/>
      <c r="UO59" s="252"/>
      <c r="UP59" s="252"/>
      <c r="UQ59" s="252"/>
      <c r="UR59" s="252"/>
      <c r="US59" s="252"/>
      <c r="UT59" s="252"/>
      <c r="UU59" s="252"/>
      <c r="UV59" s="252"/>
      <c r="UW59" s="252"/>
      <c r="UX59" s="252"/>
      <c r="UY59" s="252"/>
      <c r="UZ59" s="252"/>
      <c r="VA59" s="252"/>
      <c r="VB59" s="252"/>
      <c r="VC59" s="252"/>
      <c r="VD59" s="252"/>
      <c r="VE59" s="252"/>
      <c r="VF59" s="252"/>
      <c r="VG59" s="252"/>
      <c r="VH59" s="252"/>
      <c r="VI59" s="252"/>
      <c r="VJ59" s="252"/>
      <c r="VK59" s="252"/>
      <c r="VL59" s="252"/>
      <c r="VM59" s="252"/>
      <c r="VN59" s="252"/>
      <c r="VO59" s="252"/>
      <c r="VP59" s="252"/>
      <c r="VQ59" s="252"/>
      <c r="VR59" s="252"/>
      <c r="VS59" s="252"/>
      <c r="VT59" s="252"/>
      <c r="VU59" s="252"/>
      <c r="VV59" s="252"/>
      <c r="VW59" s="252"/>
      <c r="VX59" s="252"/>
      <c r="VY59" s="252"/>
      <c r="VZ59" s="252"/>
      <c r="WA59" s="252"/>
      <c r="WB59" s="252"/>
      <c r="WC59" s="252"/>
      <c r="WD59" s="252"/>
      <c r="WE59" s="252"/>
      <c r="WF59" s="252"/>
      <c r="WG59" s="252"/>
      <c r="WH59" s="252"/>
      <c r="WI59" s="252"/>
      <c r="WJ59" s="252"/>
      <c r="WK59" s="252"/>
      <c r="WL59" s="252"/>
      <c r="WM59" s="252"/>
      <c r="WN59" s="252"/>
      <c r="WO59" s="252"/>
      <c r="WP59" s="252"/>
      <c r="WQ59" s="252"/>
      <c r="WR59" s="252"/>
      <c r="WS59" s="252"/>
      <c r="WT59" s="252"/>
      <c r="WU59" s="252"/>
      <c r="WV59" s="252"/>
      <c r="WW59" s="252"/>
      <c r="WX59" s="252"/>
      <c r="WY59" s="252"/>
      <c r="WZ59" s="252"/>
      <c r="XA59" s="252"/>
      <c r="XB59" s="252"/>
      <c r="XC59" s="252"/>
      <c r="XD59" s="252"/>
      <c r="XE59" s="252"/>
      <c r="XF59" s="252"/>
      <c r="XG59" s="252"/>
      <c r="XH59" s="252"/>
      <c r="XI59" s="252"/>
      <c r="XJ59" s="252"/>
      <c r="XK59" s="252"/>
      <c r="XL59" s="252"/>
      <c r="XM59" s="252"/>
      <c r="XN59" s="252"/>
      <c r="XO59" s="252"/>
      <c r="XP59" s="252"/>
      <c r="XQ59" s="252"/>
      <c r="XR59" s="252"/>
      <c r="XS59" s="252"/>
      <c r="XT59" s="252"/>
      <c r="XU59" s="252"/>
      <c r="XV59" s="252"/>
      <c r="XW59" s="252"/>
      <c r="XX59" s="252"/>
      <c r="XY59" s="252"/>
      <c r="XZ59" s="252"/>
      <c r="YA59" s="252"/>
      <c r="YB59" s="252"/>
      <c r="YC59" s="252"/>
      <c r="YD59" s="252"/>
      <c r="YE59" s="252"/>
      <c r="YF59" s="252"/>
      <c r="YG59" s="252"/>
      <c r="YH59" s="252"/>
      <c r="YI59" s="252"/>
      <c r="YJ59" s="252"/>
      <c r="YK59" s="252"/>
      <c r="YL59" s="252"/>
      <c r="YM59" s="252"/>
      <c r="YN59" s="252"/>
      <c r="YO59" s="252"/>
      <c r="YP59" s="252"/>
      <c r="YQ59" s="252"/>
      <c r="YR59" s="252"/>
      <c r="YS59" s="252"/>
      <c r="YT59" s="252"/>
      <c r="YU59" s="252"/>
      <c r="YV59" s="252"/>
      <c r="YW59" s="252"/>
      <c r="YX59" s="252"/>
      <c r="YY59" s="252"/>
      <c r="YZ59" s="252"/>
      <c r="ZA59" s="252"/>
      <c r="ZB59" s="252"/>
      <c r="ZC59" s="252"/>
      <c r="ZD59" s="252"/>
      <c r="ZE59" s="252"/>
      <c r="ZF59" s="252"/>
      <c r="ZG59" s="252"/>
      <c r="ZH59" s="252"/>
      <c r="ZI59" s="252"/>
      <c r="ZJ59" s="252"/>
      <c r="ZK59" s="252"/>
      <c r="ZL59" s="252"/>
      <c r="ZM59" s="252"/>
      <c r="ZN59" s="252"/>
      <c r="ZO59" s="252"/>
      <c r="ZP59" s="252"/>
      <c r="ZQ59" s="252"/>
      <c r="ZR59" s="252"/>
      <c r="ZS59" s="252"/>
      <c r="ZT59" s="252"/>
      <c r="ZU59" s="252"/>
      <c r="ZV59" s="252"/>
      <c r="ZW59" s="252"/>
      <c r="ZX59" s="252"/>
      <c r="ZY59" s="252"/>
      <c r="ZZ59" s="252"/>
      <c r="AAA59" s="252"/>
      <c r="AAB59" s="252"/>
      <c r="AAC59" s="252"/>
      <c r="AAD59" s="252"/>
      <c r="AAE59" s="252"/>
      <c r="AAF59" s="252"/>
      <c r="AAG59" s="252"/>
      <c r="AAH59" s="252"/>
      <c r="AAI59" s="252"/>
      <c r="AAJ59" s="252"/>
      <c r="AAK59" s="252"/>
      <c r="AAL59" s="252"/>
      <c r="AAM59" s="252"/>
      <c r="AAN59" s="252"/>
      <c r="AAO59" s="252"/>
      <c r="AAP59" s="252"/>
      <c r="AAQ59" s="252"/>
      <c r="AAR59" s="252"/>
      <c r="AAS59" s="252"/>
      <c r="AAT59" s="252"/>
      <c r="AAU59" s="252"/>
      <c r="AAV59" s="252"/>
      <c r="AAW59" s="252"/>
      <c r="AAX59" s="252"/>
      <c r="AAY59" s="252"/>
      <c r="AAZ59" s="252"/>
      <c r="ABA59" s="252"/>
      <c r="ABB59" s="252"/>
      <c r="ABC59" s="252"/>
      <c r="ABD59" s="252"/>
      <c r="ABE59" s="252"/>
      <c r="ABF59" s="252"/>
      <c r="ABG59" s="252"/>
      <c r="ABH59" s="252"/>
      <c r="ABI59" s="252"/>
      <c r="ABJ59" s="252"/>
      <c r="ABK59" s="252"/>
      <c r="ABL59" s="252"/>
      <c r="ABM59" s="252"/>
      <c r="ABN59" s="252"/>
      <c r="ABO59" s="252"/>
      <c r="ABP59" s="252"/>
      <c r="ABQ59" s="252"/>
      <c r="ABR59" s="252"/>
      <c r="ABS59" s="252"/>
      <c r="ABT59" s="252"/>
      <c r="ABU59" s="252"/>
      <c r="ABV59" s="252"/>
      <c r="ABW59" s="252"/>
      <c r="ABX59" s="252"/>
      <c r="ABY59" s="252"/>
      <c r="ABZ59" s="252"/>
      <c r="ACA59" s="252"/>
      <c r="ACB59" s="252"/>
      <c r="ACC59" s="252"/>
      <c r="ACD59" s="252"/>
      <c r="ACE59" s="252"/>
      <c r="ACF59" s="252"/>
      <c r="ACG59" s="252"/>
      <c r="ACH59" s="252"/>
      <c r="ACI59" s="252"/>
      <c r="ACJ59" s="252"/>
      <c r="ACK59" s="252"/>
      <c r="ACL59" s="252"/>
      <c r="ACM59" s="252"/>
      <c r="ACN59" s="252"/>
      <c r="ACO59" s="252"/>
      <c r="ACP59" s="252"/>
      <c r="ACQ59" s="252"/>
      <c r="ACR59" s="252"/>
      <c r="ACS59" s="252"/>
      <c r="ACT59" s="252"/>
      <c r="ACU59" s="252"/>
      <c r="ACV59" s="252"/>
      <c r="ACW59" s="252"/>
      <c r="ACX59" s="252"/>
      <c r="ACY59" s="252"/>
      <c r="ACZ59" s="252"/>
      <c r="ADA59" s="252"/>
      <c r="ADB59" s="252"/>
      <c r="ADC59" s="252"/>
      <c r="ADD59" s="252"/>
      <c r="ADE59" s="252"/>
      <c r="ADF59" s="252"/>
      <c r="ADG59" s="252"/>
      <c r="ADH59" s="252"/>
      <c r="ADI59" s="252"/>
      <c r="ADJ59" s="252"/>
      <c r="ADK59" s="252"/>
      <c r="ADL59" s="252"/>
      <c r="ADM59" s="252"/>
      <c r="ADN59" s="252"/>
      <c r="ADO59" s="252"/>
      <c r="ADP59" s="252"/>
      <c r="ADQ59" s="252"/>
      <c r="ADR59" s="252"/>
      <c r="ADS59" s="252"/>
      <c r="ADT59" s="252"/>
      <c r="ADU59" s="252"/>
      <c r="ADV59" s="252"/>
      <c r="ADW59" s="252"/>
      <c r="ADX59" s="252"/>
      <c r="ADY59" s="252"/>
      <c r="ADZ59" s="252"/>
      <c r="AEA59" s="252"/>
      <c r="AEB59" s="252"/>
      <c r="AEC59" s="252"/>
      <c r="AED59" s="252"/>
      <c r="AEE59" s="252"/>
      <c r="AEF59" s="252"/>
      <c r="AEG59" s="252"/>
      <c r="AEH59" s="252"/>
      <c r="AEI59" s="252"/>
      <c r="AEJ59" s="252"/>
      <c r="AEK59" s="252"/>
      <c r="AEL59" s="252"/>
      <c r="AEM59" s="252"/>
      <c r="AEN59" s="252"/>
      <c r="AEO59" s="252"/>
      <c r="AEP59" s="252"/>
      <c r="AEQ59" s="252"/>
      <c r="AER59" s="252"/>
      <c r="AES59" s="252"/>
      <c r="AET59" s="252"/>
      <c r="AEU59" s="252"/>
      <c r="AEV59" s="252"/>
      <c r="AEW59" s="252"/>
      <c r="AEX59" s="252"/>
      <c r="AEY59" s="252"/>
      <c r="AEZ59" s="252"/>
      <c r="AFA59" s="252"/>
      <c r="AFB59" s="252"/>
      <c r="AFC59" s="252"/>
      <c r="AFD59" s="252"/>
      <c r="AFE59" s="252"/>
      <c r="AFF59" s="252"/>
      <c r="AFG59" s="252"/>
      <c r="AFH59" s="252"/>
      <c r="AFI59" s="252"/>
      <c r="AFJ59" s="252"/>
      <c r="AFK59" s="252"/>
      <c r="AFL59" s="252"/>
      <c r="AFM59" s="252"/>
      <c r="AFN59" s="252"/>
      <c r="AFO59" s="252"/>
      <c r="AFP59" s="252"/>
      <c r="AFQ59" s="252"/>
      <c r="AFR59" s="252"/>
      <c r="AFS59" s="252"/>
      <c r="AFT59" s="252"/>
      <c r="AFU59" s="252"/>
      <c r="AFV59" s="252"/>
      <c r="AFW59" s="252"/>
      <c r="AFX59" s="252"/>
      <c r="AFY59" s="252"/>
      <c r="AFZ59" s="252"/>
      <c r="AGA59" s="252"/>
      <c r="AGB59" s="252"/>
      <c r="AGC59" s="252"/>
      <c r="AGD59" s="252"/>
      <c r="AGE59" s="252"/>
      <c r="AGF59" s="252"/>
      <c r="AGG59" s="252"/>
      <c r="AGH59" s="252"/>
      <c r="AGI59" s="252"/>
      <c r="AGJ59" s="252"/>
      <c r="AGK59" s="252"/>
      <c r="AGL59" s="252"/>
      <c r="AGM59" s="252"/>
      <c r="AGN59" s="252"/>
      <c r="AGO59" s="252"/>
      <c r="AGP59" s="252"/>
      <c r="AGQ59" s="252"/>
      <c r="AGR59" s="252"/>
      <c r="AGS59" s="252"/>
      <c r="AGT59" s="252"/>
      <c r="AGU59" s="252"/>
      <c r="AGV59" s="252"/>
      <c r="AGW59" s="252"/>
      <c r="AGX59" s="252"/>
      <c r="AGY59" s="252"/>
      <c r="AGZ59" s="252"/>
      <c r="AHA59" s="252"/>
      <c r="AHB59" s="252"/>
      <c r="AHC59" s="252"/>
      <c r="AHD59" s="252"/>
      <c r="AHE59" s="252"/>
      <c r="AHF59" s="252"/>
      <c r="AHG59" s="252"/>
      <c r="AHH59" s="252"/>
      <c r="AHI59" s="252"/>
      <c r="AHJ59" s="252"/>
      <c r="AHK59" s="252"/>
      <c r="AHL59" s="252"/>
      <c r="AHM59" s="252"/>
      <c r="AHN59" s="252"/>
      <c r="AHO59" s="252"/>
      <c r="AHP59" s="252"/>
      <c r="AHQ59" s="252"/>
      <c r="AHR59" s="252"/>
      <c r="AHS59" s="252"/>
      <c r="AHT59" s="252"/>
      <c r="AHU59" s="252"/>
      <c r="AHV59" s="252"/>
      <c r="AHW59" s="252"/>
      <c r="AHX59" s="252"/>
      <c r="AHY59" s="252"/>
      <c r="AHZ59" s="252"/>
      <c r="AIA59" s="252"/>
      <c r="AIB59" s="252"/>
      <c r="AIC59" s="252"/>
      <c r="AID59" s="252"/>
      <c r="AIE59" s="252"/>
      <c r="AIF59" s="252"/>
      <c r="AIG59" s="252"/>
      <c r="AIH59" s="252"/>
      <c r="AII59" s="252"/>
      <c r="AIJ59" s="252"/>
      <c r="AIK59" s="252"/>
      <c r="AIL59" s="252"/>
      <c r="AIM59" s="252"/>
      <c r="AIN59" s="252"/>
      <c r="AIO59" s="252"/>
      <c r="AIP59" s="252"/>
      <c r="AIQ59" s="252"/>
      <c r="AIR59" s="252"/>
      <c r="AIS59" s="252"/>
      <c r="AIT59" s="252"/>
      <c r="AIU59" s="252"/>
      <c r="AIV59" s="252"/>
      <c r="AIW59" s="252"/>
      <c r="AIX59" s="252"/>
      <c r="AIY59" s="252"/>
      <c r="AIZ59" s="252"/>
      <c r="AJA59" s="252"/>
      <c r="AJB59" s="252"/>
      <c r="AJC59" s="252"/>
      <c r="AJD59" s="252"/>
      <c r="AJE59" s="252"/>
      <c r="AJF59" s="252"/>
      <c r="AJG59" s="252"/>
      <c r="AJH59" s="252"/>
      <c r="AJI59" s="252"/>
      <c r="AJJ59" s="252"/>
      <c r="AJK59" s="252"/>
      <c r="AJL59" s="252"/>
      <c r="AJM59" s="252"/>
      <c r="AJN59" s="252"/>
      <c r="AJO59" s="252"/>
      <c r="AJP59" s="252"/>
      <c r="AJQ59" s="252"/>
      <c r="AJR59" s="252"/>
      <c r="AJS59" s="252"/>
      <c r="AJT59" s="252"/>
      <c r="AJU59" s="252"/>
      <c r="AJV59" s="252"/>
      <c r="AJW59" s="252"/>
      <c r="AJX59" s="252"/>
      <c r="AJY59" s="252"/>
      <c r="AJZ59" s="252"/>
      <c r="AKA59" s="252"/>
      <c r="AKB59" s="252"/>
      <c r="AKC59" s="252"/>
      <c r="AKD59" s="252"/>
      <c r="AKE59" s="252"/>
      <c r="AKF59" s="252"/>
      <c r="AKG59" s="252"/>
      <c r="AKH59" s="252"/>
      <c r="AKI59" s="252"/>
      <c r="AKJ59" s="252"/>
      <c r="AKK59" s="252"/>
      <c r="AKL59" s="252"/>
      <c r="AKM59" s="252"/>
      <c r="AKN59" s="252"/>
      <c r="AKO59" s="252"/>
      <c r="AKP59" s="252"/>
      <c r="AKQ59" s="252"/>
      <c r="AKR59" s="252"/>
      <c r="AKS59" s="252"/>
      <c r="AKT59" s="252"/>
      <c r="AKU59" s="252"/>
      <c r="AKV59" s="252"/>
      <c r="AKW59" s="252"/>
      <c r="AKX59" s="252"/>
      <c r="AKY59" s="252"/>
      <c r="AKZ59" s="252"/>
      <c r="ALA59" s="252"/>
      <c r="ALB59" s="252"/>
      <c r="ALC59" s="252"/>
      <c r="ALD59" s="252"/>
      <c r="ALE59" s="252"/>
      <c r="ALF59" s="252"/>
      <c r="ALG59" s="252"/>
      <c r="ALH59" s="252"/>
      <c r="ALI59" s="252"/>
      <c r="ALJ59" s="252"/>
      <c r="ALK59" s="252"/>
      <c r="ALL59" s="252"/>
      <c r="ALM59" s="252"/>
      <c r="ALN59" s="252"/>
      <c r="ALO59" s="252"/>
      <c r="ALP59" s="252"/>
      <c r="ALQ59" s="252"/>
      <c r="ALR59" s="252"/>
    </row>
    <row r="60" spans="1:1007" x14ac:dyDescent="0.2">
      <c r="A60" s="369" t="s">
        <v>292</v>
      </c>
      <c r="B60" s="382">
        <v>32000</v>
      </c>
      <c r="C60" s="382">
        <v>17000</v>
      </c>
      <c r="D60" s="382">
        <v>13000</v>
      </c>
      <c r="E60" s="740">
        <v>15000</v>
      </c>
      <c r="F60" s="730"/>
      <c r="G60" s="730"/>
      <c r="H60" s="730"/>
      <c r="I60" s="730"/>
      <c r="ALS60"/>
    </row>
    <row r="61" spans="1:1007" ht="13.5" thickBot="1" x14ac:dyDescent="0.25">
      <c r="A61" s="356"/>
      <c r="B61" s="390"/>
      <c r="C61" s="390"/>
      <c r="D61" s="357" t="s">
        <v>331</v>
      </c>
      <c r="E61" s="356"/>
      <c r="F61" s="356"/>
      <c r="G61" s="356"/>
      <c r="H61" s="356"/>
      <c r="I61" s="356"/>
      <c r="J61" s="356"/>
      <c r="K61" s="356"/>
      <c r="L61" s="356"/>
      <c r="M61" s="356"/>
      <c r="N61" s="356"/>
      <c r="O61" s="356"/>
      <c r="P61" s="356"/>
      <c r="Q61" s="356"/>
      <c r="R61" s="356"/>
      <c r="S61" s="356"/>
      <c r="T61" s="356"/>
      <c r="U61" s="356"/>
      <c r="V61" s="356"/>
      <c r="W61" s="356"/>
      <c r="X61" s="356"/>
      <c r="Y61" s="356"/>
      <c r="Z61" s="356"/>
    </row>
    <row r="62" spans="1:1007" ht="15" thickBot="1" x14ac:dyDescent="0.25">
      <c r="A62" s="359" t="s">
        <v>283</v>
      </c>
      <c r="B62" s="377" t="s">
        <v>304</v>
      </c>
      <c r="C62" s="377" t="s">
        <v>278</v>
      </c>
      <c r="D62" s="355" t="s">
        <v>279</v>
      </c>
      <c r="E62" s="741" t="s">
        <v>526</v>
      </c>
      <c r="F62" s="741" t="s">
        <v>532</v>
      </c>
      <c r="G62" s="741" t="s">
        <v>533</v>
      </c>
      <c r="H62" s="741" t="s">
        <v>534</v>
      </c>
      <c r="I62" s="741" t="s">
        <v>535</v>
      </c>
    </row>
    <row r="63" spans="1:1007" x14ac:dyDescent="0.2">
      <c r="A63" s="369" t="s">
        <v>288</v>
      </c>
      <c r="B63" s="391">
        <v>950</v>
      </c>
      <c r="C63" s="391"/>
      <c r="D63" s="391"/>
      <c r="E63" s="735"/>
      <c r="F63" s="735"/>
      <c r="G63" s="735"/>
      <c r="H63" s="735"/>
      <c r="I63" s="735"/>
    </row>
    <row r="64" spans="1:1007" s="3" customFormat="1" x14ac:dyDescent="0.2">
      <c r="A64" s="749" t="s">
        <v>293</v>
      </c>
      <c r="B64" s="392"/>
      <c r="C64" s="392">
        <v>900</v>
      </c>
      <c r="D64" s="392">
        <v>900</v>
      </c>
      <c r="E64" s="744">
        <v>800</v>
      </c>
      <c r="F64" s="730"/>
      <c r="G64" s="730"/>
      <c r="H64" s="730"/>
      <c r="I64" s="730"/>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2"/>
      <c r="AY64" s="252"/>
      <c r="AZ64" s="252"/>
      <c r="BA64" s="252"/>
      <c r="BB64" s="252"/>
      <c r="BC64" s="252"/>
      <c r="BD64" s="252"/>
      <c r="BE64" s="252"/>
      <c r="BF64" s="252"/>
      <c r="BG64" s="252"/>
      <c r="BH64" s="252"/>
      <c r="BI64" s="252"/>
      <c r="BJ64" s="252"/>
      <c r="BK64" s="252"/>
      <c r="BL64" s="252"/>
      <c r="BM64" s="252"/>
      <c r="BN64" s="252"/>
      <c r="BO64" s="252"/>
      <c r="BP64" s="252"/>
      <c r="BQ64" s="252"/>
      <c r="BR64" s="252"/>
      <c r="BS64" s="252"/>
      <c r="BT64" s="252"/>
      <c r="BU64" s="252"/>
      <c r="BV64" s="252"/>
      <c r="BW64" s="252"/>
      <c r="BX64" s="252"/>
      <c r="BY64" s="252"/>
      <c r="BZ64" s="252"/>
      <c r="CA64" s="252"/>
      <c r="CB64" s="252"/>
      <c r="CC64" s="252"/>
      <c r="CD64" s="252"/>
      <c r="CE64" s="252"/>
      <c r="CF64" s="252"/>
      <c r="CG64" s="252"/>
      <c r="CH64" s="252"/>
      <c r="CI64" s="252"/>
      <c r="CJ64" s="252"/>
      <c r="CK64" s="252"/>
      <c r="CL64" s="252"/>
      <c r="CM64" s="252"/>
      <c r="CN64" s="252"/>
      <c r="CO64" s="252"/>
      <c r="CP64" s="252"/>
      <c r="CQ64" s="252"/>
      <c r="CR64" s="252"/>
      <c r="CS64" s="252"/>
      <c r="CT64" s="252"/>
      <c r="CU64" s="252"/>
      <c r="CV64" s="252"/>
      <c r="CW64" s="252"/>
      <c r="CX64" s="252"/>
      <c r="CY64" s="252"/>
      <c r="CZ64" s="252"/>
      <c r="DA64" s="252"/>
      <c r="DB64" s="252"/>
      <c r="DC64" s="252"/>
      <c r="DD64" s="252"/>
      <c r="DE64" s="252"/>
      <c r="DF64" s="252"/>
      <c r="DG64" s="252"/>
      <c r="DH64" s="252"/>
      <c r="DI64" s="252"/>
      <c r="DJ64" s="252"/>
      <c r="DK64" s="252"/>
      <c r="DL64" s="252"/>
      <c r="DM64" s="252"/>
      <c r="DN64" s="252"/>
      <c r="DO64" s="252"/>
      <c r="DP64" s="252"/>
      <c r="DQ64" s="252"/>
      <c r="DR64" s="252"/>
      <c r="DS64" s="252"/>
      <c r="DT64" s="252"/>
      <c r="DU64" s="252"/>
      <c r="DV64" s="252"/>
      <c r="DW64" s="252"/>
      <c r="DX64" s="252"/>
      <c r="DY64" s="252"/>
      <c r="DZ64" s="252"/>
      <c r="EA64" s="252"/>
      <c r="EB64" s="252"/>
      <c r="EC64" s="252"/>
      <c r="ED64" s="252"/>
      <c r="EE64" s="252"/>
      <c r="EF64" s="252"/>
      <c r="EG64" s="252"/>
      <c r="EH64" s="252"/>
      <c r="EI64" s="252"/>
      <c r="EJ64" s="252"/>
      <c r="EK64" s="252"/>
      <c r="EL64" s="252"/>
      <c r="EM64" s="252"/>
      <c r="EN64" s="252"/>
      <c r="EO64" s="252"/>
      <c r="EP64" s="252"/>
      <c r="EQ64" s="252"/>
      <c r="ER64" s="252"/>
      <c r="ES64" s="252"/>
      <c r="ET64" s="252"/>
      <c r="EU64" s="252"/>
      <c r="EV64" s="252"/>
      <c r="EW64" s="252"/>
      <c r="EX64" s="252"/>
      <c r="EY64" s="252"/>
      <c r="EZ64" s="252"/>
      <c r="FA64" s="252"/>
      <c r="FB64" s="252"/>
      <c r="FC64" s="252"/>
      <c r="FD64" s="252"/>
      <c r="FE64" s="252"/>
      <c r="FF64" s="252"/>
      <c r="FG64" s="252"/>
      <c r="FH64" s="252"/>
      <c r="FI64" s="252"/>
      <c r="FJ64" s="252"/>
      <c r="FK64" s="252"/>
      <c r="FL64" s="252"/>
      <c r="FM64" s="252"/>
      <c r="FN64" s="252"/>
      <c r="FO64" s="252"/>
      <c r="FP64" s="252"/>
      <c r="FQ64" s="252"/>
      <c r="FR64" s="252"/>
      <c r="FS64" s="252"/>
      <c r="FT64" s="252"/>
      <c r="FU64" s="252"/>
      <c r="FV64" s="252"/>
      <c r="FW64" s="252"/>
      <c r="FX64" s="252"/>
      <c r="FY64" s="252"/>
      <c r="FZ64" s="252"/>
      <c r="GA64" s="252"/>
      <c r="GB64" s="252"/>
      <c r="GC64" s="252"/>
      <c r="GD64" s="252"/>
      <c r="GE64" s="252"/>
      <c r="GF64" s="252"/>
      <c r="GG64" s="252"/>
      <c r="GH64" s="252"/>
      <c r="GI64" s="252"/>
      <c r="GJ64" s="252"/>
      <c r="GK64" s="252"/>
      <c r="GL64" s="252"/>
      <c r="GM64" s="252"/>
      <c r="GN64" s="252"/>
      <c r="GO64" s="252"/>
      <c r="GP64" s="252"/>
      <c r="GQ64" s="252"/>
      <c r="GR64" s="252"/>
      <c r="GS64" s="252"/>
      <c r="GT64" s="252"/>
      <c r="GU64" s="252"/>
      <c r="GV64" s="252"/>
      <c r="GW64" s="252"/>
      <c r="GX64" s="252"/>
      <c r="GY64" s="252"/>
      <c r="GZ64" s="252"/>
      <c r="HA64" s="252"/>
      <c r="HB64" s="252"/>
      <c r="HC64" s="252"/>
      <c r="HD64" s="252"/>
      <c r="HE64" s="252"/>
      <c r="HF64" s="252"/>
      <c r="HG64" s="252"/>
      <c r="HH64" s="252"/>
      <c r="HI64" s="252"/>
      <c r="HJ64" s="252"/>
      <c r="HK64" s="252"/>
      <c r="HL64" s="252"/>
      <c r="HM64" s="252"/>
      <c r="HN64" s="252"/>
      <c r="HO64" s="252"/>
      <c r="HP64" s="252"/>
      <c r="HQ64" s="252"/>
      <c r="HR64" s="252"/>
      <c r="HS64" s="252"/>
      <c r="HT64" s="252"/>
      <c r="HU64" s="252"/>
      <c r="HV64" s="252"/>
      <c r="HW64" s="252"/>
      <c r="HX64" s="252"/>
      <c r="HY64" s="252"/>
      <c r="HZ64" s="252"/>
      <c r="IA64" s="252"/>
      <c r="IB64" s="252"/>
      <c r="IC64" s="252"/>
      <c r="ID64" s="252"/>
      <c r="IE64" s="252"/>
      <c r="IF64" s="252"/>
      <c r="IG64" s="252"/>
      <c r="IH64" s="252"/>
      <c r="II64" s="252"/>
      <c r="IJ64" s="252"/>
      <c r="IK64" s="252"/>
      <c r="IL64" s="252"/>
      <c r="IM64" s="252"/>
      <c r="IN64" s="252"/>
      <c r="IO64" s="252"/>
      <c r="IP64" s="252"/>
      <c r="IQ64" s="252"/>
      <c r="IR64" s="252"/>
      <c r="IS64" s="252"/>
      <c r="IT64" s="252"/>
      <c r="IU64" s="252"/>
      <c r="IV64" s="252"/>
      <c r="IW64" s="252"/>
      <c r="IX64" s="252"/>
      <c r="IY64" s="252"/>
      <c r="IZ64" s="252"/>
      <c r="JA64" s="252"/>
      <c r="JB64" s="252"/>
      <c r="JC64" s="252"/>
      <c r="JD64" s="252"/>
      <c r="JE64" s="252"/>
      <c r="JF64" s="252"/>
      <c r="JG64" s="252"/>
      <c r="JH64" s="252"/>
      <c r="JI64" s="252"/>
      <c r="JJ64" s="252"/>
      <c r="JK64" s="252"/>
      <c r="JL64" s="252"/>
      <c r="JM64" s="252"/>
      <c r="JN64" s="252"/>
      <c r="JO64" s="252"/>
      <c r="JP64" s="252"/>
      <c r="JQ64" s="252"/>
      <c r="JR64" s="252"/>
      <c r="JS64" s="252"/>
      <c r="JT64" s="252"/>
      <c r="JU64" s="252"/>
      <c r="JV64" s="252"/>
      <c r="JW64" s="252"/>
      <c r="JX64" s="252"/>
      <c r="JY64" s="252"/>
      <c r="JZ64" s="252"/>
      <c r="KA64" s="252"/>
      <c r="KB64" s="252"/>
      <c r="KC64" s="252"/>
      <c r="KD64" s="252"/>
      <c r="KE64" s="252"/>
      <c r="KF64" s="252"/>
      <c r="KG64" s="252"/>
      <c r="KH64" s="252"/>
      <c r="KI64" s="252"/>
      <c r="KJ64" s="252"/>
      <c r="KK64" s="252"/>
      <c r="KL64" s="252"/>
      <c r="KM64" s="252"/>
      <c r="KN64" s="252"/>
      <c r="KO64" s="252"/>
      <c r="KP64" s="252"/>
      <c r="KQ64" s="252"/>
      <c r="KR64" s="252"/>
      <c r="KS64" s="252"/>
      <c r="KT64" s="252"/>
      <c r="KU64" s="252"/>
      <c r="KV64" s="252"/>
      <c r="KW64" s="252"/>
      <c r="KX64" s="252"/>
      <c r="KY64" s="252"/>
      <c r="KZ64" s="252"/>
      <c r="LA64" s="252"/>
      <c r="LB64" s="252"/>
      <c r="LC64" s="252"/>
      <c r="LD64" s="252"/>
      <c r="LE64" s="252"/>
      <c r="LF64" s="252"/>
      <c r="LG64" s="252"/>
      <c r="LH64" s="252"/>
      <c r="LI64" s="252"/>
      <c r="LJ64" s="252"/>
      <c r="LK64" s="252"/>
      <c r="LL64" s="252"/>
      <c r="LM64" s="252"/>
      <c r="LN64" s="252"/>
      <c r="LO64" s="252"/>
      <c r="LP64" s="252"/>
      <c r="LQ64" s="252"/>
      <c r="LR64" s="252"/>
      <c r="LS64" s="252"/>
      <c r="LT64" s="252"/>
      <c r="LU64" s="252"/>
      <c r="LV64" s="252"/>
      <c r="LW64" s="252"/>
      <c r="LX64" s="252"/>
      <c r="LY64" s="252"/>
      <c r="LZ64" s="252"/>
      <c r="MA64" s="252"/>
      <c r="MB64" s="252"/>
      <c r="MC64" s="252"/>
      <c r="MD64" s="252"/>
      <c r="ME64" s="252"/>
      <c r="MF64" s="252"/>
      <c r="MG64" s="252"/>
      <c r="MH64" s="252"/>
      <c r="MI64" s="252"/>
      <c r="MJ64" s="252"/>
      <c r="MK64" s="252"/>
      <c r="ML64" s="252"/>
      <c r="MM64" s="252"/>
      <c r="MN64" s="252"/>
      <c r="MO64" s="252"/>
      <c r="MP64" s="252"/>
      <c r="MQ64" s="252"/>
      <c r="MR64" s="252"/>
      <c r="MS64" s="252"/>
      <c r="MT64" s="252"/>
      <c r="MU64" s="252"/>
      <c r="MV64" s="252"/>
      <c r="MW64" s="252"/>
      <c r="MX64" s="252"/>
      <c r="MY64" s="252"/>
      <c r="MZ64" s="252"/>
      <c r="NA64" s="252"/>
      <c r="NB64" s="252"/>
      <c r="NC64" s="252"/>
      <c r="ND64" s="252"/>
      <c r="NE64" s="252"/>
      <c r="NF64" s="252"/>
      <c r="NG64" s="252"/>
      <c r="NH64" s="252"/>
      <c r="NI64" s="252"/>
      <c r="NJ64" s="252"/>
      <c r="NK64" s="252"/>
      <c r="NL64" s="252"/>
      <c r="NM64" s="252"/>
      <c r="NN64" s="252"/>
      <c r="NO64" s="252"/>
      <c r="NP64" s="252"/>
      <c r="NQ64" s="252"/>
      <c r="NR64" s="252"/>
      <c r="NS64" s="252"/>
      <c r="NT64" s="252"/>
      <c r="NU64" s="252"/>
      <c r="NV64" s="252"/>
      <c r="NW64" s="252"/>
      <c r="NX64" s="252"/>
      <c r="NY64" s="252"/>
      <c r="NZ64" s="252"/>
      <c r="OA64" s="252"/>
      <c r="OB64" s="252"/>
      <c r="OC64" s="252"/>
      <c r="OD64" s="252"/>
      <c r="OE64" s="252"/>
      <c r="OF64" s="252"/>
      <c r="OG64" s="252"/>
      <c r="OH64" s="252"/>
      <c r="OI64" s="252"/>
      <c r="OJ64" s="252"/>
      <c r="OK64" s="252"/>
      <c r="OL64" s="252"/>
      <c r="OM64" s="252"/>
      <c r="ON64" s="252"/>
      <c r="OO64" s="252"/>
      <c r="OP64" s="252"/>
      <c r="OQ64" s="252"/>
      <c r="OR64" s="252"/>
      <c r="OS64" s="252"/>
      <c r="OT64" s="252"/>
      <c r="OU64" s="252"/>
      <c r="OV64" s="252"/>
      <c r="OW64" s="252"/>
      <c r="OX64" s="252"/>
      <c r="OY64" s="252"/>
      <c r="OZ64" s="252"/>
      <c r="PA64" s="252"/>
      <c r="PB64" s="252"/>
      <c r="PC64" s="252"/>
      <c r="PD64" s="252"/>
      <c r="PE64" s="252"/>
      <c r="PF64" s="252"/>
      <c r="PG64" s="252"/>
      <c r="PH64" s="252"/>
      <c r="PI64" s="252"/>
      <c r="PJ64" s="252"/>
      <c r="PK64" s="252"/>
      <c r="PL64" s="252"/>
      <c r="PM64" s="252"/>
      <c r="PN64" s="252"/>
      <c r="PO64" s="252"/>
      <c r="PP64" s="252"/>
      <c r="PQ64" s="252"/>
      <c r="PR64" s="252"/>
      <c r="PS64" s="252"/>
      <c r="PT64" s="252"/>
      <c r="PU64" s="252"/>
      <c r="PV64" s="252"/>
      <c r="PW64" s="252"/>
      <c r="PX64" s="252"/>
      <c r="PY64" s="252"/>
      <c r="PZ64" s="252"/>
      <c r="QA64" s="252"/>
      <c r="QB64" s="252"/>
      <c r="QC64" s="252"/>
      <c r="QD64" s="252"/>
      <c r="QE64" s="252"/>
      <c r="QF64" s="252"/>
      <c r="QG64" s="252"/>
      <c r="QH64" s="252"/>
      <c r="QI64" s="252"/>
      <c r="QJ64" s="252"/>
      <c r="QK64" s="252"/>
      <c r="QL64" s="252"/>
      <c r="QM64" s="252"/>
      <c r="QN64" s="252"/>
      <c r="QO64" s="252"/>
      <c r="QP64" s="252"/>
      <c r="QQ64" s="252"/>
      <c r="QR64" s="252"/>
      <c r="QS64" s="252"/>
      <c r="QT64" s="252"/>
      <c r="QU64" s="252"/>
      <c r="QV64" s="252"/>
      <c r="QW64" s="252"/>
      <c r="QX64" s="252"/>
      <c r="QY64" s="252"/>
      <c r="QZ64" s="252"/>
      <c r="RA64" s="252"/>
      <c r="RB64" s="252"/>
      <c r="RC64" s="252"/>
      <c r="RD64" s="252"/>
      <c r="RE64" s="252"/>
      <c r="RF64" s="252"/>
      <c r="RG64" s="252"/>
      <c r="RH64" s="252"/>
      <c r="RI64" s="252"/>
      <c r="RJ64" s="252"/>
      <c r="RK64" s="252"/>
      <c r="RL64" s="252"/>
      <c r="RM64" s="252"/>
      <c r="RN64" s="252"/>
      <c r="RO64" s="252"/>
      <c r="RP64" s="252"/>
      <c r="RQ64" s="252"/>
      <c r="RR64" s="252"/>
      <c r="RS64" s="252"/>
      <c r="RT64" s="252"/>
      <c r="RU64" s="252"/>
      <c r="RV64" s="252"/>
      <c r="RW64" s="252"/>
      <c r="RX64" s="252"/>
      <c r="RY64" s="252"/>
      <c r="RZ64" s="252"/>
      <c r="SA64" s="252"/>
      <c r="SB64" s="252"/>
      <c r="SC64" s="252"/>
      <c r="SD64" s="252"/>
      <c r="SE64" s="252"/>
      <c r="SF64" s="252"/>
      <c r="SG64" s="252"/>
      <c r="SH64" s="252"/>
      <c r="SI64" s="252"/>
      <c r="SJ64" s="252"/>
      <c r="SK64" s="252"/>
      <c r="SL64" s="252"/>
      <c r="SM64" s="252"/>
      <c r="SN64" s="252"/>
      <c r="SO64" s="252"/>
      <c r="SP64" s="252"/>
      <c r="SQ64" s="252"/>
      <c r="SR64" s="252"/>
      <c r="SS64" s="252"/>
      <c r="ST64" s="252"/>
      <c r="SU64" s="252"/>
      <c r="SV64" s="252"/>
      <c r="SW64" s="252"/>
      <c r="SX64" s="252"/>
      <c r="SY64" s="252"/>
      <c r="SZ64" s="252"/>
      <c r="TA64" s="252"/>
      <c r="TB64" s="252"/>
      <c r="TC64" s="252"/>
      <c r="TD64" s="252"/>
      <c r="TE64" s="252"/>
      <c r="TF64" s="252"/>
      <c r="TG64" s="252"/>
      <c r="TH64" s="252"/>
      <c r="TI64" s="252"/>
      <c r="TJ64" s="252"/>
      <c r="TK64" s="252"/>
      <c r="TL64" s="252"/>
      <c r="TM64" s="252"/>
      <c r="TN64" s="252"/>
      <c r="TO64" s="252"/>
      <c r="TP64" s="252"/>
      <c r="TQ64" s="252"/>
      <c r="TR64" s="252"/>
      <c r="TS64" s="252"/>
      <c r="TT64" s="252"/>
      <c r="TU64" s="252"/>
      <c r="TV64" s="252"/>
      <c r="TW64" s="252"/>
      <c r="TX64" s="252"/>
      <c r="TY64" s="252"/>
      <c r="TZ64" s="252"/>
      <c r="UA64" s="252"/>
      <c r="UB64" s="252"/>
      <c r="UC64" s="252"/>
      <c r="UD64" s="252"/>
      <c r="UE64" s="252"/>
      <c r="UF64" s="252"/>
      <c r="UG64" s="252"/>
      <c r="UH64" s="252"/>
      <c r="UI64" s="252"/>
      <c r="UJ64" s="252"/>
      <c r="UK64" s="252"/>
      <c r="UL64" s="252"/>
      <c r="UM64" s="252"/>
      <c r="UN64" s="252"/>
      <c r="UO64" s="252"/>
      <c r="UP64" s="252"/>
      <c r="UQ64" s="252"/>
      <c r="UR64" s="252"/>
      <c r="US64" s="252"/>
      <c r="UT64" s="252"/>
      <c r="UU64" s="252"/>
      <c r="UV64" s="252"/>
      <c r="UW64" s="252"/>
      <c r="UX64" s="252"/>
      <c r="UY64" s="252"/>
      <c r="UZ64" s="252"/>
      <c r="VA64" s="252"/>
      <c r="VB64" s="252"/>
      <c r="VC64" s="252"/>
      <c r="VD64" s="252"/>
      <c r="VE64" s="252"/>
      <c r="VF64" s="252"/>
      <c r="VG64" s="252"/>
      <c r="VH64" s="252"/>
      <c r="VI64" s="252"/>
      <c r="VJ64" s="252"/>
      <c r="VK64" s="252"/>
      <c r="VL64" s="252"/>
      <c r="VM64" s="252"/>
      <c r="VN64" s="252"/>
      <c r="VO64" s="252"/>
      <c r="VP64" s="252"/>
      <c r="VQ64" s="252"/>
      <c r="VR64" s="252"/>
      <c r="VS64" s="252"/>
      <c r="VT64" s="252"/>
      <c r="VU64" s="252"/>
      <c r="VV64" s="252"/>
      <c r="VW64" s="252"/>
      <c r="VX64" s="252"/>
      <c r="VY64" s="252"/>
      <c r="VZ64" s="252"/>
      <c r="WA64" s="252"/>
      <c r="WB64" s="252"/>
      <c r="WC64" s="252"/>
      <c r="WD64" s="252"/>
      <c r="WE64" s="252"/>
      <c r="WF64" s="252"/>
      <c r="WG64" s="252"/>
      <c r="WH64" s="252"/>
      <c r="WI64" s="252"/>
      <c r="WJ64" s="252"/>
      <c r="WK64" s="252"/>
      <c r="WL64" s="252"/>
      <c r="WM64" s="252"/>
      <c r="WN64" s="252"/>
      <c r="WO64" s="252"/>
      <c r="WP64" s="252"/>
      <c r="WQ64" s="252"/>
      <c r="WR64" s="252"/>
      <c r="WS64" s="252"/>
      <c r="WT64" s="252"/>
      <c r="WU64" s="252"/>
      <c r="WV64" s="252"/>
      <c r="WW64" s="252"/>
      <c r="WX64" s="252"/>
      <c r="WY64" s="252"/>
      <c r="WZ64" s="252"/>
      <c r="XA64" s="252"/>
      <c r="XB64" s="252"/>
      <c r="XC64" s="252"/>
      <c r="XD64" s="252"/>
      <c r="XE64" s="252"/>
      <c r="XF64" s="252"/>
      <c r="XG64" s="252"/>
      <c r="XH64" s="252"/>
      <c r="XI64" s="252"/>
      <c r="XJ64" s="252"/>
      <c r="XK64" s="252"/>
      <c r="XL64" s="252"/>
      <c r="XM64" s="252"/>
      <c r="XN64" s="252"/>
      <c r="XO64" s="252"/>
      <c r="XP64" s="252"/>
      <c r="XQ64" s="252"/>
      <c r="XR64" s="252"/>
      <c r="XS64" s="252"/>
      <c r="XT64" s="252"/>
      <c r="XU64" s="252"/>
      <c r="XV64" s="252"/>
      <c r="XW64" s="252"/>
      <c r="XX64" s="252"/>
      <c r="XY64" s="252"/>
      <c r="XZ64" s="252"/>
      <c r="YA64" s="252"/>
      <c r="YB64" s="252"/>
      <c r="YC64" s="252"/>
      <c r="YD64" s="252"/>
      <c r="YE64" s="252"/>
      <c r="YF64" s="252"/>
      <c r="YG64" s="252"/>
      <c r="YH64" s="252"/>
      <c r="YI64" s="252"/>
      <c r="YJ64" s="252"/>
      <c r="YK64" s="252"/>
      <c r="YL64" s="252"/>
      <c r="YM64" s="252"/>
      <c r="YN64" s="252"/>
      <c r="YO64" s="252"/>
      <c r="YP64" s="252"/>
      <c r="YQ64" s="252"/>
      <c r="YR64" s="252"/>
      <c r="YS64" s="252"/>
      <c r="YT64" s="252"/>
      <c r="YU64" s="252"/>
      <c r="YV64" s="252"/>
      <c r="YW64" s="252"/>
      <c r="YX64" s="252"/>
      <c r="YY64" s="252"/>
      <c r="YZ64" s="252"/>
      <c r="ZA64" s="252"/>
      <c r="ZB64" s="252"/>
      <c r="ZC64" s="252"/>
      <c r="ZD64" s="252"/>
      <c r="ZE64" s="252"/>
      <c r="ZF64" s="252"/>
      <c r="ZG64" s="252"/>
      <c r="ZH64" s="252"/>
      <c r="ZI64" s="252"/>
      <c r="ZJ64" s="252"/>
      <c r="ZK64" s="252"/>
      <c r="ZL64" s="252"/>
      <c r="ZM64" s="252"/>
      <c r="ZN64" s="252"/>
      <c r="ZO64" s="252"/>
      <c r="ZP64" s="252"/>
      <c r="ZQ64" s="252"/>
      <c r="ZR64" s="252"/>
      <c r="ZS64" s="252"/>
      <c r="ZT64" s="252"/>
      <c r="ZU64" s="252"/>
      <c r="ZV64" s="252"/>
      <c r="ZW64" s="252"/>
      <c r="ZX64" s="252"/>
      <c r="ZY64" s="252"/>
      <c r="ZZ64" s="252"/>
      <c r="AAA64" s="252"/>
      <c r="AAB64" s="252"/>
      <c r="AAC64" s="252"/>
      <c r="AAD64" s="252"/>
      <c r="AAE64" s="252"/>
      <c r="AAF64" s="252"/>
      <c r="AAG64" s="252"/>
      <c r="AAH64" s="252"/>
      <c r="AAI64" s="252"/>
      <c r="AAJ64" s="252"/>
      <c r="AAK64" s="252"/>
      <c r="AAL64" s="252"/>
      <c r="AAM64" s="252"/>
      <c r="AAN64" s="252"/>
      <c r="AAO64" s="252"/>
      <c r="AAP64" s="252"/>
      <c r="AAQ64" s="252"/>
      <c r="AAR64" s="252"/>
      <c r="AAS64" s="252"/>
      <c r="AAT64" s="252"/>
      <c r="AAU64" s="252"/>
      <c r="AAV64" s="252"/>
      <c r="AAW64" s="252"/>
      <c r="AAX64" s="252"/>
      <c r="AAY64" s="252"/>
      <c r="AAZ64" s="252"/>
      <c r="ABA64" s="252"/>
      <c r="ABB64" s="252"/>
      <c r="ABC64" s="252"/>
      <c r="ABD64" s="252"/>
      <c r="ABE64" s="252"/>
      <c r="ABF64" s="252"/>
      <c r="ABG64" s="252"/>
      <c r="ABH64" s="252"/>
      <c r="ABI64" s="252"/>
      <c r="ABJ64" s="252"/>
      <c r="ABK64" s="252"/>
      <c r="ABL64" s="252"/>
      <c r="ABM64" s="252"/>
      <c r="ABN64" s="252"/>
      <c r="ABO64" s="252"/>
      <c r="ABP64" s="252"/>
      <c r="ABQ64" s="252"/>
      <c r="ABR64" s="252"/>
      <c r="ABS64" s="252"/>
      <c r="ABT64" s="252"/>
      <c r="ABU64" s="252"/>
      <c r="ABV64" s="252"/>
      <c r="ABW64" s="252"/>
      <c r="ABX64" s="252"/>
      <c r="ABY64" s="252"/>
      <c r="ABZ64" s="252"/>
      <c r="ACA64" s="252"/>
      <c r="ACB64" s="252"/>
      <c r="ACC64" s="252"/>
      <c r="ACD64" s="252"/>
      <c r="ACE64" s="252"/>
      <c r="ACF64" s="252"/>
      <c r="ACG64" s="252"/>
      <c r="ACH64" s="252"/>
      <c r="ACI64" s="252"/>
      <c r="ACJ64" s="252"/>
      <c r="ACK64" s="252"/>
      <c r="ACL64" s="252"/>
      <c r="ACM64" s="252"/>
      <c r="ACN64" s="252"/>
      <c r="ACO64" s="252"/>
      <c r="ACP64" s="252"/>
      <c r="ACQ64" s="252"/>
      <c r="ACR64" s="252"/>
      <c r="ACS64" s="252"/>
      <c r="ACT64" s="252"/>
      <c r="ACU64" s="252"/>
      <c r="ACV64" s="252"/>
      <c r="ACW64" s="252"/>
      <c r="ACX64" s="252"/>
      <c r="ACY64" s="252"/>
      <c r="ACZ64" s="252"/>
      <c r="ADA64" s="252"/>
      <c r="ADB64" s="252"/>
      <c r="ADC64" s="252"/>
      <c r="ADD64" s="252"/>
      <c r="ADE64" s="252"/>
      <c r="ADF64" s="252"/>
      <c r="ADG64" s="252"/>
      <c r="ADH64" s="252"/>
      <c r="ADI64" s="252"/>
      <c r="ADJ64" s="252"/>
      <c r="ADK64" s="252"/>
      <c r="ADL64" s="252"/>
      <c r="ADM64" s="252"/>
      <c r="ADN64" s="252"/>
      <c r="ADO64" s="252"/>
      <c r="ADP64" s="252"/>
      <c r="ADQ64" s="252"/>
      <c r="ADR64" s="252"/>
      <c r="ADS64" s="252"/>
      <c r="ADT64" s="252"/>
      <c r="ADU64" s="252"/>
      <c r="ADV64" s="252"/>
      <c r="ADW64" s="252"/>
      <c r="ADX64" s="252"/>
      <c r="ADY64" s="252"/>
      <c r="ADZ64" s="252"/>
      <c r="AEA64" s="252"/>
      <c r="AEB64" s="252"/>
      <c r="AEC64" s="252"/>
      <c r="AED64" s="252"/>
      <c r="AEE64" s="252"/>
      <c r="AEF64" s="252"/>
      <c r="AEG64" s="252"/>
      <c r="AEH64" s="252"/>
      <c r="AEI64" s="252"/>
      <c r="AEJ64" s="252"/>
      <c r="AEK64" s="252"/>
      <c r="AEL64" s="252"/>
      <c r="AEM64" s="252"/>
      <c r="AEN64" s="252"/>
      <c r="AEO64" s="252"/>
      <c r="AEP64" s="252"/>
      <c r="AEQ64" s="252"/>
      <c r="AER64" s="252"/>
      <c r="AES64" s="252"/>
      <c r="AET64" s="252"/>
      <c r="AEU64" s="252"/>
      <c r="AEV64" s="252"/>
      <c r="AEW64" s="252"/>
      <c r="AEX64" s="252"/>
      <c r="AEY64" s="252"/>
      <c r="AEZ64" s="252"/>
      <c r="AFA64" s="252"/>
      <c r="AFB64" s="252"/>
      <c r="AFC64" s="252"/>
      <c r="AFD64" s="252"/>
      <c r="AFE64" s="252"/>
      <c r="AFF64" s="252"/>
      <c r="AFG64" s="252"/>
      <c r="AFH64" s="252"/>
      <c r="AFI64" s="252"/>
      <c r="AFJ64" s="252"/>
      <c r="AFK64" s="252"/>
      <c r="AFL64" s="252"/>
      <c r="AFM64" s="252"/>
      <c r="AFN64" s="252"/>
      <c r="AFO64" s="252"/>
      <c r="AFP64" s="252"/>
      <c r="AFQ64" s="252"/>
      <c r="AFR64" s="252"/>
      <c r="AFS64" s="252"/>
      <c r="AFT64" s="252"/>
      <c r="AFU64" s="252"/>
      <c r="AFV64" s="252"/>
      <c r="AFW64" s="252"/>
      <c r="AFX64" s="252"/>
      <c r="AFY64" s="252"/>
      <c r="AFZ64" s="252"/>
      <c r="AGA64" s="252"/>
      <c r="AGB64" s="252"/>
      <c r="AGC64" s="252"/>
      <c r="AGD64" s="252"/>
      <c r="AGE64" s="252"/>
      <c r="AGF64" s="252"/>
      <c r="AGG64" s="252"/>
      <c r="AGH64" s="252"/>
      <c r="AGI64" s="252"/>
      <c r="AGJ64" s="252"/>
      <c r="AGK64" s="252"/>
      <c r="AGL64" s="252"/>
      <c r="AGM64" s="252"/>
      <c r="AGN64" s="252"/>
      <c r="AGO64" s="252"/>
      <c r="AGP64" s="252"/>
      <c r="AGQ64" s="252"/>
      <c r="AGR64" s="252"/>
      <c r="AGS64" s="252"/>
      <c r="AGT64" s="252"/>
      <c r="AGU64" s="252"/>
      <c r="AGV64" s="252"/>
      <c r="AGW64" s="252"/>
      <c r="AGX64" s="252"/>
      <c r="AGY64" s="252"/>
      <c r="AGZ64" s="252"/>
      <c r="AHA64" s="252"/>
      <c r="AHB64" s="252"/>
      <c r="AHC64" s="252"/>
      <c r="AHD64" s="252"/>
      <c r="AHE64" s="252"/>
      <c r="AHF64" s="252"/>
      <c r="AHG64" s="252"/>
      <c r="AHH64" s="252"/>
      <c r="AHI64" s="252"/>
      <c r="AHJ64" s="252"/>
      <c r="AHK64" s="252"/>
      <c r="AHL64" s="252"/>
      <c r="AHM64" s="252"/>
      <c r="AHN64" s="252"/>
      <c r="AHO64" s="252"/>
      <c r="AHP64" s="252"/>
      <c r="AHQ64" s="252"/>
      <c r="AHR64" s="252"/>
      <c r="AHS64" s="252"/>
      <c r="AHT64" s="252"/>
      <c r="AHU64" s="252"/>
      <c r="AHV64" s="252"/>
      <c r="AHW64" s="252"/>
      <c r="AHX64" s="252"/>
      <c r="AHY64" s="252"/>
      <c r="AHZ64" s="252"/>
      <c r="AIA64" s="252"/>
      <c r="AIB64" s="252"/>
      <c r="AIC64" s="252"/>
      <c r="AID64" s="252"/>
      <c r="AIE64" s="252"/>
      <c r="AIF64" s="252"/>
      <c r="AIG64" s="252"/>
      <c r="AIH64" s="252"/>
      <c r="AII64" s="252"/>
      <c r="AIJ64" s="252"/>
      <c r="AIK64" s="252"/>
      <c r="AIL64" s="252"/>
      <c r="AIM64" s="252"/>
      <c r="AIN64" s="252"/>
      <c r="AIO64" s="252"/>
      <c r="AIP64" s="252"/>
      <c r="AIQ64" s="252"/>
      <c r="AIR64" s="252"/>
      <c r="AIS64" s="252"/>
      <c r="AIT64" s="252"/>
      <c r="AIU64" s="252"/>
      <c r="AIV64" s="252"/>
      <c r="AIW64" s="252"/>
      <c r="AIX64" s="252"/>
      <c r="AIY64" s="252"/>
      <c r="AIZ64" s="252"/>
      <c r="AJA64" s="252"/>
      <c r="AJB64" s="252"/>
      <c r="AJC64" s="252"/>
      <c r="AJD64" s="252"/>
      <c r="AJE64" s="252"/>
      <c r="AJF64" s="252"/>
      <c r="AJG64" s="252"/>
      <c r="AJH64" s="252"/>
      <c r="AJI64" s="252"/>
      <c r="AJJ64" s="252"/>
      <c r="AJK64" s="252"/>
      <c r="AJL64" s="252"/>
      <c r="AJM64" s="252"/>
      <c r="AJN64" s="252"/>
      <c r="AJO64" s="252"/>
      <c r="AJP64" s="252"/>
      <c r="AJQ64" s="252"/>
      <c r="AJR64" s="252"/>
      <c r="AJS64" s="252"/>
      <c r="AJT64" s="252"/>
      <c r="AJU64" s="252"/>
      <c r="AJV64" s="252"/>
      <c r="AJW64" s="252"/>
      <c r="AJX64" s="252"/>
      <c r="AJY64" s="252"/>
      <c r="AJZ64" s="252"/>
      <c r="AKA64" s="252"/>
      <c r="AKB64" s="252"/>
      <c r="AKC64" s="252"/>
      <c r="AKD64" s="252"/>
      <c r="AKE64" s="252"/>
      <c r="AKF64" s="252"/>
      <c r="AKG64" s="252"/>
      <c r="AKH64" s="252"/>
      <c r="AKI64" s="252"/>
      <c r="AKJ64" s="252"/>
      <c r="AKK64" s="252"/>
      <c r="AKL64" s="252"/>
      <c r="AKM64" s="252"/>
      <c r="AKN64" s="252"/>
      <c r="AKO64" s="252"/>
      <c r="AKP64" s="252"/>
      <c r="AKQ64" s="252"/>
      <c r="AKR64" s="252"/>
      <c r="AKS64" s="252"/>
      <c r="AKT64" s="252"/>
      <c r="AKU64" s="252"/>
      <c r="AKV64" s="252"/>
      <c r="AKW64" s="252"/>
      <c r="AKX64" s="252"/>
      <c r="AKY64" s="252"/>
      <c r="AKZ64" s="252"/>
      <c r="ALA64" s="252"/>
      <c r="ALB64" s="252"/>
      <c r="ALC64" s="252"/>
      <c r="ALD64" s="252"/>
      <c r="ALE64" s="252"/>
      <c r="ALF64" s="252"/>
      <c r="ALG64" s="252"/>
      <c r="ALH64" s="252"/>
      <c r="ALI64" s="252"/>
      <c r="ALJ64" s="252"/>
      <c r="ALK64" s="252"/>
      <c r="ALL64" s="252"/>
      <c r="ALM64" s="252"/>
      <c r="ALN64" s="252"/>
      <c r="ALO64" s="252"/>
      <c r="ALP64" s="252"/>
      <c r="ALQ64" s="252"/>
      <c r="ALR64" s="252"/>
      <c r="ALS64" s="252"/>
    </row>
    <row r="65" spans="1:1007" s="3" customFormat="1" x14ac:dyDescent="0.2">
      <c r="A65" s="369" t="s">
        <v>294</v>
      </c>
      <c r="B65" s="392"/>
      <c r="C65" s="392">
        <v>950</v>
      </c>
      <c r="D65" s="392"/>
      <c r="E65" s="731"/>
      <c r="F65" s="730"/>
      <c r="G65" s="730"/>
      <c r="H65" s="730"/>
      <c r="I65" s="730"/>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52"/>
      <c r="BF65" s="252"/>
      <c r="BG65" s="252"/>
      <c r="BH65" s="252"/>
      <c r="BI65" s="252"/>
      <c r="BJ65" s="252"/>
      <c r="BK65" s="252"/>
      <c r="BL65" s="252"/>
      <c r="BM65" s="252"/>
      <c r="BN65" s="252"/>
      <c r="BO65" s="252"/>
      <c r="BP65" s="252"/>
      <c r="BQ65" s="252"/>
      <c r="BR65" s="252"/>
      <c r="BS65" s="252"/>
      <c r="BT65" s="252"/>
      <c r="BU65" s="252"/>
      <c r="BV65" s="252"/>
      <c r="BW65" s="252"/>
      <c r="BX65" s="252"/>
      <c r="BY65" s="252"/>
      <c r="BZ65" s="252"/>
      <c r="CA65" s="252"/>
      <c r="CB65" s="252"/>
      <c r="CC65" s="252"/>
      <c r="CD65" s="252"/>
      <c r="CE65" s="252"/>
      <c r="CF65" s="252"/>
      <c r="CG65" s="252"/>
      <c r="CH65" s="252"/>
      <c r="CI65" s="252"/>
      <c r="CJ65" s="252"/>
      <c r="CK65" s="252"/>
      <c r="CL65" s="252"/>
      <c r="CM65" s="252"/>
      <c r="CN65" s="252"/>
      <c r="CO65" s="252"/>
      <c r="CP65" s="252"/>
      <c r="CQ65" s="252"/>
      <c r="CR65" s="252"/>
      <c r="CS65" s="252"/>
      <c r="CT65" s="252"/>
      <c r="CU65" s="252"/>
      <c r="CV65" s="252"/>
      <c r="CW65" s="252"/>
      <c r="CX65" s="252"/>
      <c r="CY65" s="252"/>
      <c r="CZ65" s="252"/>
      <c r="DA65" s="252"/>
      <c r="DB65" s="252"/>
      <c r="DC65" s="252"/>
      <c r="DD65" s="252"/>
      <c r="DE65" s="252"/>
      <c r="DF65" s="252"/>
      <c r="DG65" s="252"/>
      <c r="DH65" s="252"/>
      <c r="DI65" s="252"/>
      <c r="DJ65" s="252"/>
      <c r="DK65" s="252"/>
      <c r="DL65" s="252"/>
      <c r="DM65" s="252"/>
      <c r="DN65" s="252"/>
      <c r="DO65" s="252"/>
      <c r="DP65" s="252"/>
      <c r="DQ65" s="252"/>
      <c r="DR65" s="252"/>
      <c r="DS65" s="252"/>
      <c r="DT65" s="252"/>
      <c r="DU65" s="252"/>
      <c r="DV65" s="252"/>
      <c r="DW65" s="252"/>
      <c r="DX65" s="252"/>
      <c r="DY65" s="252"/>
      <c r="DZ65" s="252"/>
      <c r="EA65" s="252"/>
      <c r="EB65" s="252"/>
      <c r="EC65" s="252"/>
      <c r="ED65" s="252"/>
      <c r="EE65" s="252"/>
      <c r="EF65" s="252"/>
      <c r="EG65" s="252"/>
      <c r="EH65" s="252"/>
      <c r="EI65" s="252"/>
      <c r="EJ65" s="252"/>
      <c r="EK65" s="252"/>
      <c r="EL65" s="252"/>
      <c r="EM65" s="252"/>
      <c r="EN65" s="252"/>
      <c r="EO65" s="252"/>
      <c r="EP65" s="252"/>
      <c r="EQ65" s="252"/>
      <c r="ER65" s="252"/>
      <c r="ES65" s="252"/>
      <c r="ET65" s="252"/>
      <c r="EU65" s="252"/>
      <c r="EV65" s="252"/>
      <c r="EW65" s="252"/>
      <c r="EX65" s="252"/>
      <c r="EY65" s="252"/>
      <c r="EZ65" s="252"/>
      <c r="FA65" s="252"/>
      <c r="FB65" s="252"/>
      <c r="FC65" s="252"/>
      <c r="FD65" s="252"/>
      <c r="FE65" s="252"/>
      <c r="FF65" s="252"/>
      <c r="FG65" s="252"/>
      <c r="FH65" s="252"/>
      <c r="FI65" s="252"/>
      <c r="FJ65" s="252"/>
      <c r="FK65" s="252"/>
      <c r="FL65" s="252"/>
      <c r="FM65" s="252"/>
      <c r="FN65" s="252"/>
      <c r="FO65" s="252"/>
      <c r="FP65" s="252"/>
      <c r="FQ65" s="252"/>
      <c r="FR65" s="252"/>
      <c r="FS65" s="252"/>
      <c r="FT65" s="252"/>
      <c r="FU65" s="252"/>
      <c r="FV65" s="252"/>
      <c r="FW65" s="252"/>
      <c r="FX65" s="252"/>
      <c r="FY65" s="252"/>
      <c r="FZ65" s="252"/>
      <c r="GA65" s="252"/>
      <c r="GB65" s="252"/>
      <c r="GC65" s="252"/>
      <c r="GD65" s="252"/>
      <c r="GE65" s="252"/>
      <c r="GF65" s="252"/>
      <c r="GG65" s="252"/>
      <c r="GH65" s="252"/>
      <c r="GI65" s="252"/>
      <c r="GJ65" s="252"/>
      <c r="GK65" s="252"/>
      <c r="GL65" s="252"/>
      <c r="GM65" s="252"/>
      <c r="GN65" s="252"/>
      <c r="GO65" s="252"/>
      <c r="GP65" s="252"/>
      <c r="GQ65" s="252"/>
      <c r="GR65" s="252"/>
      <c r="GS65" s="252"/>
      <c r="GT65" s="252"/>
      <c r="GU65" s="252"/>
      <c r="GV65" s="252"/>
      <c r="GW65" s="252"/>
      <c r="GX65" s="252"/>
      <c r="GY65" s="252"/>
      <c r="GZ65" s="252"/>
      <c r="HA65" s="252"/>
      <c r="HB65" s="252"/>
      <c r="HC65" s="252"/>
      <c r="HD65" s="252"/>
      <c r="HE65" s="252"/>
      <c r="HF65" s="252"/>
      <c r="HG65" s="252"/>
      <c r="HH65" s="252"/>
      <c r="HI65" s="252"/>
      <c r="HJ65" s="252"/>
      <c r="HK65" s="252"/>
      <c r="HL65" s="252"/>
      <c r="HM65" s="252"/>
      <c r="HN65" s="252"/>
      <c r="HO65" s="252"/>
      <c r="HP65" s="252"/>
      <c r="HQ65" s="252"/>
      <c r="HR65" s="252"/>
      <c r="HS65" s="252"/>
      <c r="HT65" s="252"/>
      <c r="HU65" s="252"/>
      <c r="HV65" s="252"/>
      <c r="HW65" s="252"/>
      <c r="HX65" s="252"/>
      <c r="HY65" s="252"/>
      <c r="HZ65" s="252"/>
      <c r="IA65" s="252"/>
      <c r="IB65" s="252"/>
      <c r="IC65" s="252"/>
      <c r="ID65" s="252"/>
      <c r="IE65" s="252"/>
      <c r="IF65" s="252"/>
      <c r="IG65" s="252"/>
      <c r="IH65" s="252"/>
      <c r="II65" s="252"/>
      <c r="IJ65" s="252"/>
      <c r="IK65" s="252"/>
      <c r="IL65" s="252"/>
      <c r="IM65" s="252"/>
      <c r="IN65" s="252"/>
      <c r="IO65" s="252"/>
      <c r="IP65" s="252"/>
      <c r="IQ65" s="252"/>
      <c r="IR65" s="252"/>
      <c r="IS65" s="252"/>
      <c r="IT65" s="252"/>
      <c r="IU65" s="252"/>
      <c r="IV65" s="252"/>
      <c r="IW65" s="252"/>
      <c r="IX65" s="252"/>
      <c r="IY65" s="252"/>
      <c r="IZ65" s="252"/>
      <c r="JA65" s="252"/>
      <c r="JB65" s="252"/>
      <c r="JC65" s="252"/>
      <c r="JD65" s="252"/>
      <c r="JE65" s="252"/>
      <c r="JF65" s="252"/>
      <c r="JG65" s="252"/>
      <c r="JH65" s="252"/>
      <c r="JI65" s="252"/>
      <c r="JJ65" s="252"/>
      <c r="JK65" s="252"/>
      <c r="JL65" s="252"/>
      <c r="JM65" s="252"/>
      <c r="JN65" s="252"/>
      <c r="JO65" s="252"/>
      <c r="JP65" s="252"/>
      <c r="JQ65" s="252"/>
      <c r="JR65" s="252"/>
      <c r="JS65" s="252"/>
      <c r="JT65" s="252"/>
      <c r="JU65" s="252"/>
      <c r="JV65" s="252"/>
      <c r="JW65" s="252"/>
      <c r="JX65" s="252"/>
      <c r="JY65" s="252"/>
      <c r="JZ65" s="252"/>
      <c r="KA65" s="252"/>
      <c r="KB65" s="252"/>
      <c r="KC65" s="252"/>
      <c r="KD65" s="252"/>
      <c r="KE65" s="252"/>
      <c r="KF65" s="252"/>
      <c r="KG65" s="252"/>
      <c r="KH65" s="252"/>
      <c r="KI65" s="252"/>
      <c r="KJ65" s="252"/>
      <c r="KK65" s="252"/>
      <c r="KL65" s="252"/>
      <c r="KM65" s="252"/>
      <c r="KN65" s="252"/>
      <c r="KO65" s="252"/>
      <c r="KP65" s="252"/>
      <c r="KQ65" s="252"/>
      <c r="KR65" s="252"/>
      <c r="KS65" s="252"/>
      <c r="KT65" s="252"/>
      <c r="KU65" s="252"/>
      <c r="KV65" s="252"/>
      <c r="KW65" s="252"/>
      <c r="KX65" s="252"/>
      <c r="KY65" s="252"/>
      <c r="KZ65" s="252"/>
      <c r="LA65" s="252"/>
      <c r="LB65" s="252"/>
      <c r="LC65" s="252"/>
      <c r="LD65" s="252"/>
      <c r="LE65" s="252"/>
      <c r="LF65" s="252"/>
      <c r="LG65" s="252"/>
      <c r="LH65" s="252"/>
      <c r="LI65" s="252"/>
      <c r="LJ65" s="252"/>
      <c r="LK65" s="252"/>
      <c r="LL65" s="252"/>
      <c r="LM65" s="252"/>
      <c r="LN65" s="252"/>
      <c r="LO65" s="252"/>
      <c r="LP65" s="252"/>
      <c r="LQ65" s="252"/>
      <c r="LR65" s="252"/>
      <c r="LS65" s="252"/>
      <c r="LT65" s="252"/>
      <c r="LU65" s="252"/>
      <c r="LV65" s="252"/>
      <c r="LW65" s="252"/>
      <c r="LX65" s="252"/>
      <c r="LY65" s="252"/>
      <c r="LZ65" s="252"/>
      <c r="MA65" s="252"/>
      <c r="MB65" s="252"/>
      <c r="MC65" s="252"/>
      <c r="MD65" s="252"/>
      <c r="ME65" s="252"/>
      <c r="MF65" s="252"/>
      <c r="MG65" s="252"/>
      <c r="MH65" s="252"/>
      <c r="MI65" s="252"/>
      <c r="MJ65" s="252"/>
      <c r="MK65" s="252"/>
      <c r="ML65" s="252"/>
      <c r="MM65" s="252"/>
      <c r="MN65" s="252"/>
      <c r="MO65" s="252"/>
      <c r="MP65" s="252"/>
      <c r="MQ65" s="252"/>
      <c r="MR65" s="252"/>
      <c r="MS65" s="252"/>
      <c r="MT65" s="252"/>
      <c r="MU65" s="252"/>
      <c r="MV65" s="252"/>
      <c r="MW65" s="252"/>
      <c r="MX65" s="252"/>
      <c r="MY65" s="252"/>
      <c r="MZ65" s="252"/>
      <c r="NA65" s="252"/>
      <c r="NB65" s="252"/>
      <c r="NC65" s="252"/>
      <c r="ND65" s="252"/>
      <c r="NE65" s="252"/>
      <c r="NF65" s="252"/>
      <c r="NG65" s="252"/>
      <c r="NH65" s="252"/>
      <c r="NI65" s="252"/>
      <c r="NJ65" s="252"/>
      <c r="NK65" s="252"/>
      <c r="NL65" s="252"/>
      <c r="NM65" s="252"/>
      <c r="NN65" s="252"/>
      <c r="NO65" s="252"/>
      <c r="NP65" s="252"/>
      <c r="NQ65" s="252"/>
      <c r="NR65" s="252"/>
      <c r="NS65" s="252"/>
      <c r="NT65" s="252"/>
      <c r="NU65" s="252"/>
      <c r="NV65" s="252"/>
      <c r="NW65" s="252"/>
      <c r="NX65" s="252"/>
      <c r="NY65" s="252"/>
      <c r="NZ65" s="252"/>
      <c r="OA65" s="252"/>
      <c r="OB65" s="252"/>
      <c r="OC65" s="252"/>
      <c r="OD65" s="252"/>
      <c r="OE65" s="252"/>
      <c r="OF65" s="252"/>
      <c r="OG65" s="252"/>
      <c r="OH65" s="252"/>
      <c r="OI65" s="252"/>
      <c r="OJ65" s="252"/>
      <c r="OK65" s="252"/>
      <c r="OL65" s="252"/>
      <c r="OM65" s="252"/>
      <c r="ON65" s="252"/>
      <c r="OO65" s="252"/>
      <c r="OP65" s="252"/>
      <c r="OQ65" s="252"/>
      <c r="OR65" s="252"/>
      <c r="OS65" s="252"/>
      <c r="OT65" s="252"/>
      <c r="OU65" s="252"/>
      <c r="OV65" s="252"/>
      <c r="OW65" s="252"/>
      <c r="OX65" s="252"/>
      <c r="OY65" s="252"/>
      <c r="OZ65" s="252"/>
      <c r="PA65" s="252"/>
      <c r="PB65" s="252"/>
      <c r="PC65" s="252"/>
      <c r="PD65" s="252"/>
      <c r="PE65" s="252"/>
      <c r="PF65" s="252"/>
      <c r="PG65" s="252"/>
      <c r="PH65" s="252"/>
      <c r="PI65" s="252"/>
      <c r="PJ65" s="252"/>
      <c r="PK65" s="252"/>
      <c r="PL65" s="252"/>
      <c r="PM65" s="252"/>
      <c r="PN65" s="252"/>
      <c r="PO65" s="252"/>
      <c r="PP65" s="252"/>
      <c r="PQ65" s="252"/>
      <c r="PR65" s="252"/>
      <c r="PS65" s="252"/>
      <c r="PT65" s="252"/>
      <c r="PU65" s="252"/>
      <c r="PV65" s="252"/>
      <c r="PW65" s="252"/>
      <c r="PX65" s="252"/>
      <c r="PY65" s="252"/>
      <c r="PZ65" s="252"/>
      <c r="QA65" s="252"/>
      <c r="QB65" s="252"/>
      <c r="QC65" s="252"/>
      <c r="QD65" s="252"/>
      <c r="QE65" s="252"/>
      <c r="QF65" s="252"/>
      <c r="QG65" s="252"/>
      <c r="QH65" s="252"/>
      <c r="QI65" s="252"/>
      <c r="QJ65" s="252"/>
      <c r="QK65" s="252"/>
      <c r="QL65" s="252"/>
      <c r="QM65" s="252"/>
      <c r="QN65" s="252"/>
      <c r="QO65" s="252"/>
      <c r="QP65" s="252"/>
      <c r="QQ65" s="252"/>
      <c r="QR65" s="252"/>
      <c r="QS65" s="252"/>
      <c r="QT65" s="252"/>
      <c r="QU65" s="252"/>
      <c r="QV65" s="252"/>
      <c r="QW65" s="252"/>
      <c r="QX65" s="252"/>
      <c r="QY65" s="252"/>
      <c r="QZ65" s="252"/>
      <c r="RA65" s="252"/>
      <c r="RB65" s="252"/>
      <c r="RC65" s="252"/>
      <c r="RD65" s="252"/>
      <c r="RE65" s="252"/>
      <c r="RF65" s="252"/>
      <c r="RG65" s="252"/>
      <c r="RH65" s="252"/>
      <c r="RI65" s="252"/>
      <c r="RJ65" s="252"/>
      <c r="RK65" s="252"/>
      <c r="RL65" s="252"/>
      <c r="RM65" s="252"/>
      <c r="RN65" s="252"/>
      <c r="RO65" s="252"/>
      <c r="RP65" s="252"/>
      <c r="RQ65" s="252"/>
      <c r="RR65" s="252"/>
      <c r="RS65" s="252"/>
      <c r="RT65" s="252"/>
      <c r="RU65" s="252"/>
      <c r="RV65" s="252"/>
      <c r="RW65" s="252"/>
      <c r="RX65" s="252"/>
      <c r="RY65" s="252"/>
      <c r="RZ65" s="252"/>
      <c r="SA65" s="252"/>
      <c r="SB65" s="252"/>
      <c r="SC65" s="252"/>
      <c r="SD65" s="252"/>
      <c r="SE65" s="252"/>
      <c r="SF65" s="252"/>
      <c r="SG65" s="252"/>
      <c r="SH65" s="252"/>
      <c r="SI65" s="252"/>
      <c r="SJ65" s="252"/>
      <c r="SK65" s="252"/>
      <c r="SL65" s="252"/>
      <c r="SM65" s="252"/>
      <c r="SN65" s="252"/>
      <c r="SO65" s="252"/>
      <c r="SP65" s="252"/>
      <c r="SQ65" s="252"/>
      <c r="SR65" s="252"/>
      <c r="SS65" s="252"/>
      <c r="ST65" s="252"/>
      <c r="SU65" s="252"/>
      <c r="SV65" s="252"/>
      <c r="SW65" s="252"/>
      <c r="SX65" s="252"/>
      <c r="SY65" s="252"/>
      <c r="SZ65" s="252"/>
      <c r="TA65" s="252"/>
      <c r="TB65" s="252"/>
      <c r="TC65" s="252"/>
      <c r="TD65" s="252"/>
      <c r="TE65" s="252"/>
      <c r="TF65" s="252"/>
      <c r="TG65" s="252"/>
      <c r="TH65" s="252"/>
      <c r="TI65" s="252"/>
      <c r="TJ65" s="252"/>
      <c r="TK65" s="252"/>
      <c r="TL65" s="252"/>
      <c r="TM65" s="252"/>
      <c r="TN65" s="252"/>
      <c r="TO65" s="252"/>
      <c r="TP65" s="252"/>
      <c r="TQ65" s="252"/>
      <c r="TR65" s="252"/>
      <c r="TS65" s="252"/>
      <c r="TT65" s="252"/>
      <c r="TU65" s="252"/>
      <c r="TV65" s="252"/>
      <c r="TW65" s="252"/>
      <c r="TX65" s="252"/>
      <c r="TY65" s="252"/>
      <c r="TZ65" s="252"/>
      <c r="UA65" s="252"/>
      <c r="UB65" s="252"/>
      <c r="UC65" s="252"/>
      <c r="UD65" s="252"/>
      <c r="UE65" s="252"/>
      <c r="UF65" s="252"/>
      <c r="UG65" s="252"/>
      <c r="UH65" s="252"/>
      <c r="UI65" s="252"/>
      <c r="UJ65" s="252"/>
      <c r="UK65" s="252"/>
      <c r="UL65" s="252"/>
      <c r="UM65" s="252"/>
      <c r="UN65" s="252"/>
      <c r="UO65" s="252"/>
      <c r="UP65" s="252"/>
      <c r="UQ65" s="252"/>
      <c r="UR65" s="252"/>
      <c r="US65" s="252"/>
      <c r="UT65" s="252"/>
      <c r="UU65" s="252"/>
      <c r="UV65" s="252"/>
      <c r="UW65" s="252"/>
      <c r="UX65" s="252"/>
      <c r="UY65" s="252"/>
      <c r="UZ65" s="252"/>
      <c r="VA65" s="252"/>
      <c r="VB65" s="252"/>
      <c r="VC65" s="252"/>
      <c r="VD65" s="252"/>
      <c r="VE65" s="252"/>
      <c r="VF65" s="252"/>
      <c r="VG65" s="252"/>
      <c r="VH65" s="252"/>
      <c r="VI65" s="252"/>
      <c r="VJ65" s="252"/>
      <c r="VK65" s="252"/>
      <c r="VL65" s="252"/>
      <c r="VM65" s="252"/>
      <c r="VN65" s="252"/>
      <c r="VO65" s="252"/>
      <c r="VP65" s="252"/>
      <c r="VQ65" s="252"/>
      <c r="VR65" s="252"/>
      <c r="VS65" s="252"/>
      <c r="VT65" s="252"/>
      <c r="VU65" s="252"/>
      <c r="VV65" s="252"/>
      <c r="VW65" s="252"/>
      <c r="VX65" s="252"/>
      <c r="VY65" s="252"/>
      <c r="VZ65" s="252"/>
      <c r="WA65" s="252"/>
      <c r="WB65" s="252"/>
      <c r="WC65" s="252"/>
      <c r="WD65" s="252"/>
      <c r="WE65" s="252"/>
      <c r="WF65" s="252"/>
      <c r="WG65" s="252"/>
      <c r="WH65" s="252"/>
      <c r="WI65" s="252"/>
      <c r="WJ65" s="252"/>
      <c r="WK65" s="252"/>
      <c r="WL65" s="252"/>
      <c r="WM65" s="252"/>
      <c r="WN65" s="252"/>
      <c r="WO65" s="252"/>
      <c r="WP65" s="252"/>
      <c r="WQ65" s="252"/>
      <c r="WR65" s="252"/>
      <c r="WS65" s="252"/>
      <c r="WT65" s="252"/>
      <c r="WU65" s="252"/>
      <c r="WV65" s="252"/>
      <c r="WW65" s="252"/>
      <c r="WX65" s="252"/>
      <c r="WY65" s="252"/>
      <c r="WZ65" s="252"/>
      <c r="XA65" s="252"/>
      <c r="XB65" s="252"/>
      <c r="XC65" s="252"/>
      <c r="XD65" s="252"/>
      <c r="XE65" s="252"/>
      <c r="XF65" s="252"/>
      <c r="XG65" s="252"/>
      <c r="XH65" s="252"/>
      <c r="XI65" s="252"/>
      <c r="XJ65" s="252"/>
      <c r="XK65" s="252"/>
      <c r="XL65" s="252"/>
      <c r="XM65" s="252"/>
      <c r="XN65" s="252"/>
      <c r="XO65" s="252"/>
      <c r="XP65" s="252"/>
      <c r="XQ65" s="252"/>
      <c r="XR65" s="252"/>
      <c r="XS65" s="252"/>
      <c r="XT65" s="252"/>
      <c r="XU65" s="252"/>
      <c r="XV65" s="252"/>
      <c r="XW65" s="252"/>
      <c r="XX65" s="252"/>
      <c r="XY65" s="252"/>
      <c r="XZ65" s="252"/>
      <c r="YA65" s="252"/>
      <c r="YB65" s="252"/>
      <c r="YC65" s="252"/>
      <c r="YD65" s="252"/>
      <c r="YE65" s="252"/>
      <c r="YF65" s="252"/>
      <c r="YG65" s="252"/>
      <c r="YH65" s="252"/>
      <c r="YI65" s="252"/>
      <c r="YJ65" s="252"/>
      <c r="YK65" s="252"/>
      <c r="YL65" s="252"/>
      <c r="YM65" s="252"/>
      <c r="YN65" s="252"/>
      <c r="YO65" s="252"/>
      <c r="YP65" s="252"/>
      <c r="YQ65" s="252"/>
      <c r="YR65" s="252"/>
      <c r="YS65" s="252"/>
      <c r="YT65" s="252"/>
      <c r="YU65" s="252"/>
      <c r="YV65" s="252"/>
      <c r="YW65" s="252"/>
      <c r="YX65" s="252"/>
      <c r="YY65" s="252"/>
      <c r="YZ65" s="252"/>
      <c r="ZA65" s="252"/>
      <c r="ZB65" s="252"/>
      <c r="ZC65" s="252"/>
      <c r="ZD65" s="252"/>
      <c r="ZE65" s="252"/>
      <c r="ZF65" s="252"/>
      <c r="ZG65" s="252"/>
      <c r="ZH65" s="252"/>
      <c r="ZI65" s="252"/>
      <c r="ZJ65" s="252"/>
      <c r="ZK65" s="252"/>
      <c r="ZL65" s="252"/>
      <c r="ZM65" s="252"/>
      <c r="ZN65" s="252"/>
      <c r="ZO65" s="252"/>
      <c r="ZP65" s="252"/>
      <c r="ZQ65" s="252"/>
      <c r="ZR65" s="252"/>
      <c r="ZS65" s="252"/>
      <c r="ZT65" s="252"/>
      <c r="ZU65" s="252"/>
      <c r="ZV65" s="252"/>
      <c r="ZW65" s="252"/>
      <c r="ZX65" s="252"/>
      <c r="ZY65" s="252"/>
      <c r="ZZ65" s="252"/>
      <c r="AAA65" s="252"/>
      <c r="AAB65" s="252"/>
      <c r="AAC65" s="252"/>
      <c r="AAD65" s="252"/>
      <c r="AAE65" s="252"/>
      <c r="AAF65" s="252"/>
      <c r="AAG65" s="252"/>
      <c r="AAH65" s="252"/>
      <c r="AAI65" s="252"/>
      <c r="AAJ65" s="252"/>
      <c r="AAK65" s="252"/>
      <c r="AAL65" s="252"/>
      <c r="AAM65" s="252"/>
      <c r="AAN65" s="252"/>
      <c r="AAO65" s="252"/>
      <c r="AAP65" s="252"/>
      <c r="AAQ65" s="252"/>
      <c r="AAR65" s="252"/>
      <c r="AAS65" s="252"/>
      <c r="AAT65" s="252"/>
      <c r="AAU65" s="252"/>
      <c r="AAV65" s="252"/>
      <c r="AAW65" s="252"/>
      <c r="AAX65" s="252"/>
      <c r="AAY65" s="252"/>
      <c r="AAZ65" s="252"/>
      <c r="ABA65" s="252"/>
      <c r="ABB65" s="252"/>
      <c r="ABC65" s="252"/>
      <c r="ABD65" s="252"/>
      <c r="ABE65" s="252"/>
      <c r="ABF65" s="252"/>
      <c r="ABG65" s="252"/>
      <c r="ABH65" s="252"/>
      <c r="ABI65" s="252"/>
      <c r="ABJ65" s="252"/>
      <c r="ABK65" s="252"/>
      <c r="ABL65" s="252"/>
      <c r="ABM65" s="252"/>
      <c r="ABN65" s="252"/>
      <c r="ABO65" s="252"/>
      <c r="ABP65" s="252"/>
      <c r="ABQ65" s="252"/>
      <c r="ABR65" s="252"/>
      <c r="ABS65" s="252"/>
      <c r="ABT65" s="252"/>
      <c r="ABU65" s="252"/>
      <c r="ABV65" s="252"/>
      <c r="ABW65" s="252"/>
      <c r="ABX65" s="252"/>
      <c r="ABY65" s="252"/>
      <c r="ABZ65" s="252"/>
      <c r="ACA65" s="252"/>
      <c r="ACB65" s="252"/>
      <c r="ACC65" s="252"/>
      <c r="ACD65" s="252"/>
      <c r="ACE65" s="252"/>
      <c r="ACF65" s="252"/>
      <c r="ACG65" s="252"/>
      <c r="ACH65" s="252"/>
      <c r="ACI65" s="252"/>
      <c r="ACJ65" s="252"/>
      <c r="ACK65" s="252"/>
      <c r="ACL65" s="252"/>
      <c r="ACM65" s="252"/>
      <c r="ACN65" s="252"/>
      <c r="ACO65" s="252"/>
      <c r="ACP65" s="252"/>
      <c r="ACQ65" s="252"/>
      <c r="ACR65" s="252"/>
      <c r="ACS65" s="252"/>
      <c r="ACT65" s="252"/>
      <c r="ACU65" s="252"/>
      <c r="ACV65" s="252"/>
      <c r="ACW65" s="252"/>
      <c r="ACX65" s="252"/>
      <c r="ACY65" s="252"/>
      <c r="ACZ65" s="252"/>
      <c r="ADA65" s="252"/>
      <c r="ADB65" s="252"/>
      <c r="ADC65" s="252"/>
      <c r="ADD65" s="252"/>
      <c r="ADE65" s="252"/>
      <c r="ADF65" s="252"/>
      <c r="ADG65" s="252"/>
      <c r="ADH65" s="252"/>
      <c r="ADI65" s="252"/>
      <c r="ADJ65" s="252"/>
      <c r="ADK65" s="252"/>
      <c r="ADL65" s="252"/>
      <c r="ADM65" s="252"/>
      <c r="ADN65" s="252"/>
      <c r="ADO65" s="252"/>
      <c r="ADP65" s="252"/>
      <c r="ADQ65" s="252"/>
      <c r="ADR65" s="252"/>
      <c r="ADS65" s="252"/>
      <c r="ADT65" s="252"/>
      <c r="ADU65" s="252"/>
      <c r="ADV65" s="252"/>
      <c r="ADW65" s="252"/>
      <c r="ADX65" s="252"/>
      <c r="ADY65" s="252"/>
      <c r="ADZ65" s="252"/>
      <c r="AEA65" s="252"/>
      <c r="AEB65" s="252"/>
      <c r="AEC65" s="252"/>
      <c r="AED65" s="252"/>
      <c r="AEE65" s="252"/>
      <c r="AEF65" s="252"/>
      <c r="AEG65" s="252"/>
      <c r="AEH65" s="252"/>
      <c r="AEI65" s="252"/>
      <c r="AEJ65" s="252"/>
      <c r="AEK65" s="252"/>
      <c r="AEL65" s="252"/>
      <c r="AEM65" s="252"/>
      <c r="AEN65" s="252"/>
      <c r="AEO65" s="252"/>
      <c r="AEP65" s="252"/>
      <c r="AEQ65" s="252"/>
      <c r="AER65" s="252"/>
      <c r="AES65" s="252"/>
      <c r="AET65" s="252"/>
      <c r="AEU65" s="252"/>
      <c r="AEV65" s="252"/>
      <c r="AEW65" s="252"/>
      <c r="AEX65" s="252"/>
      <c r="AEY65" s="252"/>
      <c r="AEZ65" s="252"/>
      <c r="AFA65" s="252"/>
      <c r="AFB65" s="252"/>
      <c r="AFC65" s="252"/>
      <c r="AFD65" s="252"/>
      <c r="AFE65" s="252"/>
      <c r="AFF65" s="252"/>
      <c r="AFG65" s="252"/>
      <c r="AFH65" s="252"/>
      <c r="AFI65" s="252"/>
      <c r="AFJ65" s="252"/>
      <c r="AFK65" s="252"/>
      <c r="AFL65" s="252"/>
      <c r="AFM65" s="252"/>
      <c r="AFN65" s="252"/>
      <c r="AFO65" s="252"/>
      <c r="AFP65" s="252"/>
      <c r="AFQ65" s="252"/>
      <c r="AFR65" s="252"/>
      <c r="AFS65" s="252"/>
      <c r="AFT65" s="252"/>
      <c r="AFU65" s="252"/>
      <c r="AFV65" s="252"/>
      <c r="AFW65" s="252"/>
      <c r="AFX65" s="252"/>
      <c r="AFY65" s="252"/>
      <c r="AFZ65" s="252"/>
      <c r="AGA65" s="252"/>
      <c r="AGB65" s="252"/>
      <c r="AGC65" s="252"/>
      <c r="AGD65" s="252"/>
      <c r="AGE65" s="252"/>
      <c r="AGF65" s="252"/>
      <c r="AGG65" s="252"/>
      <c r="AGH65" s="252"/>
      <c r="AGI65" s="252"/>
      <c r="AGJ65" s="252"/>
      <c r="AGK65" s="252"/>
      <c r="AGL65" s="252"/>
      <c r="AGM65" s="252"/>
      <c r="AGN65" s="252"/>
      <c r="AGO65" s="252"/>
      <c r="AGP65" s="252"/>
      <c r="AGQ65" s="252"/>
      <c r="AGR65" s="252"/>
      <c r="AGS65" s="252"/>
      <c r="AGT65" s="252"/>
      <c r="AGU65" s="252"/>
      <c r="AGV65" s="252"/>
      <c r="AGW65" s="252"/>
      <c r="AGX65" s="252"/>
      <c r="AGY65" s="252"/>
      <c r="AGZ65" s="252"/>
      <c r="AHA65" s="252"/>
      <c r="AHB65" s="252"/>
      <c r="AHC65" s="252"/>
      <c r="AHD65" s="252"/>
      <c r="AHE65" s="252"/>
      <c r="AHF65" s="252"/>
      <c r="AHG65" s="252"/>
      <c r="AHH65" s="252"/>
      <c r="AHI65" s="252"/>
      <c r="AHJ65" s="252"/>
      <c r="AHK65" s="252"/>
      <c r="AHL65" s="252"/>
      <c r="AHM65" s="252"/>
      <c r="AHN65" s="252"/>
      <c r="AHO65" s="252"/>
      <c r="AHP65" s="252"/>
      <c r="AHQ65" s="252"/>
      <c r="AHR65" s="252"/>
      <c r="AHS65" s="252"/>
      <c r="AHT65" s="252"/>
      <c r="AHU65" s="252"/>
      <c r="AHV65" s="252"/>
      <c r="AHW65" s="252"/>
      <c r="AHX65" s="252"/>
      <c r="AHY65" s="252"/>
      <c r="AHZ65" s="252"/>
      <c r="AIA65" s="252"/>
      <c r="AIB65" s="252"/>
      <c r="AIC65" s="252"/>
      <c r="AID65" s="252"/>
      <c r="AIE65" s="252"/>
      <c r="AIF65" s="252"/>
      <c r="AIG65" s="252"/>
      <c r="AIH65" s="252"/>
      <c r="AII65" s="252"/>
      <c r="AIJ65" s="252"/>
      <c r="AIK65" s="252"/>
      <c r="AIL65" s="252"/>
      <c r="AIM65" s="252"/>
      <c r="AIN65" s="252"/>
      <c r="AIO65" s="252"/>
      <c r="AIP65" s="252"/>
      <c r="AIQ65" s="252"/>
      <c r="AIR65" s="252"/>
      <c r="AIS65" s="252"/>
      <c r="AIT65" s="252"/>
      <c r="AIU65" s="252"/>
      <c r="AIV65" s="252"/>
      <c r="AIW65" s="252"/>
      <c r="AIX65" s="252"/>
      <c r="AIY65" s="252"/>
      <c r="AIZ65" s="252"/>
      <c r="AJA65" s="252"/>
      <c r="AJB65" s="252"/>
      <c r="AJC65" s="252"/>
      <c r="AJD65" s="252"/>
      <c r="AJE65" s="252"/>
      <c r="AJF65" s="252"/>
      <c r="AJG65" s="252"/>
      <c r="AJH65" s="252"/>
      <c r="AJI65" s="252"/>
      <c r="AJJ65" s="252"/>
      <c r="AJK65" s="252"/>
      <c r="AJL65" s="252"/>
      <c r="AJM65" s="252"/>
      <c r="AJN65" s="252"/>
      <c r="AJO65" s="252"/>
      <c r="AJP65" s="252"/>
      <c r="AJQ65" s="252"/>
      <c r="AJR65" s="252"/>
      <c r="AJS65" s="252"/>
      <c r="AJT65" s="252"/>
      <c r="AJU65" s="252"/>
      <c r="AJV65" s="252"/>
      <c r="AJW65" s="252"/>
      <c r="AJX65" s="252"/>
      <c r="AJY65" s="252"/>
      <c r="AJZ65" s="252"/>
      <c r="AKA65" s="252"/>
      <c r="AKB65" s="252"/>
      <c r="AKC65" s="252"/>
      <c r="AKD65" s="252"/>
      <c r="AKE65" s="252"/>
      <c r="AKF65" s="252"/>
      <c r="AKG65" s="252"/>
      <c r="AKH65" s="252"/>
      <c r="AKI65" s="252"/>
      <c r="AKJ65" s="252"/>
      <c r="AKK65" s="252"/>
      <c r="AKL65" s="252"/>
      <c r="AKM65" s="252"/>
      <c r="AKN65" s="252"/>
      <c r="AKO65" s="252"/>
      <c r="AKP65" s="252"/>
      <c r="AKQ65" s="252"/>
      <c r="AKR65" s="252"/>
      <c r="AKS65" s="252"/>
      <c r="AKT65" s="252"/>
      <c r="AKU65" s="252"/>
      <c r="AKV65" s="252"/>
      <c r="AKW65" s="252"/>
      <c r="AKX65" s="252"/>
      <c r="AKY65" s="252"/>
      <c r="AKZ65" s="252"/>
      <c r="ALA65" s="252"/>
      <c r="ALB65" s="252"/>
      <c r="ALC65" s="252"/>
      <c r="ALD65" s="252"/>
      <c r="ALE65" s="252"/>
      <c r="ALF65" s="252"/>
      <c r="ALG65" s="252"/>
      <c r="ALH65" s="252"/>
      <c r="ALI65" s="252"/>
      <c r="ALJ65" s="252"/>
      <c r="ALK65" s="252"/>
      <c r="ALL65" s="252"/>
      <c r="ALM65" s="252"/>
      <c r="ALN65" s="252"/>
      <c r="ALO65" s="252"/>
      <c r="ALP65" s="252"/>
      <c r="ALQ65" s="252"/>
      <c r="ALR65" s="252"/>
      <c r="ALS65" s="252"/>
    </row>
    <row r="66" spans="1:1007" s="3" customFormat="1" x14ac:dyDescent="0.2">
      <c r="A66" s="749" t="s">
        <v>295</v>
      </c>
      <c r="B66" s="389"/>
      <c r="C66" s="392"/>
      <c r="D66" s="392">
        <v>950</v>
      </c>
      <c r="E66" s="744">
        <v>840</v>
      </c>
      <c r="F66" s="730"/>
      <c r="G66" s="730"/>
      <c r="H66" s="730"/>
      <c r="I66" s="730"/>
      <c r="J66" s="252"/>
      <c r="K66" s="252"/>
      <c r="L66" s="252"/>
      <c r="M66" s="252"/>
      <c r="N66" s="252"/>
      <c r="O66" s="252"/>
      <c r="P66" s="252"/>
      <c r="Q66" s="252"/>
      <c r="R66" s="252"/>
      <c r="S66" s="252"/>
      <c r="T66" s="252"/>
      <c r="U66" s="252"/>
      <c r="V66" s="252"/>
      <c r="W66" s="252"/>
      <c r="X66" s="252"/>
      <c r="Y66" s="252"/>
      <c r="Z66" s="252"/>
      <c r="AA66" s="252"/>
      <c r="AB66" s="252"/>
      <c r="AC66" s="252"/>
      <c r="AD66" s="252"/>
      <c r="AE66" s="252"/>
      <c r="AF66" s="252"/>
      <c r="AG66" s="252"/>
      <c r="AH66" s="252"/>
      <c r="AI66" s="252"/>
      <c r="AJ66" s="252"/>
      <c r="AK66" s="252"/>
      <c r="AL66" s="252"/>
      <c r="AM66" s="252"/>
      <c r="AN66" s="252"/>
      <c r="AO66" s="252"/>
      <c r="AP66" s="252"/>
      <c r="AQ66" s="252"/>
      <c r="AR66" s="252"/>
      <c r="AS66" s="252"/>
      <c r="AT66" s="252"/>
      <c r="AU66" s="252"/>
      <c r="AV66" s="252"/>
      <c r="AW66" s="252"/>
      <c r="AX66" s="252"/>
      <c r="AY66" s="252"/>
      <c r="AZ66" s="252"/>
      <c r="BA66" s="252"/>
      <c r="BB66" s="252"/>
      <c r="BC66" s="252"/>
      <c r="BD66" s="252"/>
      <c r="BE66" s="252"/>
      <c r="BF66" s="252"/>
      <c r="BG66" s="252"/>
      <c r="BH66" s="252"/>
      <c r="BI66" s="252"/>
      <c r="BJ66" s="252"/>
      <c r="BK66" s="252"/>
      <c r="BL66" s="252"/>
      <c r="BM66" s="252"/>
      <c r="BN66" s="252"/>
      <c r="BO66" s="252"/>
      <c r="BP66" s="252"/>
      <c r="BQ66" s="252"/>
      <c r="BR66" s="252"/>
      <c r="BS66" s="252"/>
      <c r="BT66" s="252"/>
      <c r="BU66" s="252"/>
      <c r="BV66" s="252"/>
      <c r="BW66" s="252"/>
      <c r="BX66" s="252"/>
      <c r="BY66" s="252"/>
      <c r="BZ66" s="252"/>
      <c r="CA66" s="252"/>
      <c r="CB66" s="252"/>
      <c r="CC66" s="252"/>
      <c r="CD66" s="252"/>
      <c r="CE66" s="252"/>
      <c r="CF66" s="252"/>
      <c r="CG66" s="252"/>
      <c r="CH66" s="252"/>
      <c r="CI66" s="252"/>
      <c r="CJ66" s="252"/>
      <c r="CK66" s="252"/>
      <c r="CL66" s="252"/>
      <c r="CM66" s="252"/>
      <c r="CN66" s="252"/>
      <c r="CO66" s="252"/>
      <c r="CP66" s="252"/>
      <c r="CQ66" s="252"/>
      <c r="CR66" s="252"/>
      <c r="CS66" s="252"/>
      <c r="CT66" s="252"/>
      <c r="CU66" s="252"/>
      <c r="CV66" s="252"/>
      <c r="CW66" s="252"/>
      <c r="CX66" s="252"/>
      <c r="CY66" s="252"/>
      <c r="CZ66" s="252"/>
      <c r="DA66" s="252"/>
      <c r="DB66" s="252"/>
      <c r="DC66" s="252"/>
      <c r="DD66" s="252"/>
      <c r="DE66" s="252"/>
      <c r="DF66" s="252"/>
      <c r="DG66" s="252"/>
      <c r="DH66" s="252"/>
      <c r="DI66" s="252"/>
      <c r="DJ66" s="252"/>
      <c r="DK66" s="252"/>
      <c r="DL66" s="252"/>
      <c r="DM66" s="252"/>
      <c r="DN66" s="252"/>
      <c r="DO66" s="252"/>
      <c r="DP66" s="252"/>
      <c r="DQ66" s="252"/>
      <c r="DR66" s="252"/>
      <c r="DS66" s="252"/>
      <c r="DT66" s="252"/>
      <c r="DU66" s="252"/>
      <c r="DV66" s="252"/>
      <c r="DW66" s="252"/>
      <c r="DX66" s="252"/>
      <c r="DY66" s="252"/>
      <c r="DZ66" s="252"/>
      <c r="EA66" s="252"/>
      <c r="EB66" s="252"/>
      <c r="EC66" s="252"/>
      <c r="ED66" s="252"/>
      <c r="EE66" s="252"/>
      <c r="EF66" s="252"/>
      <c r="EG66" s="252"/>
      <c r="EH66" s="252"/>
      <c r="EI66" s="252"/>
      <c r="EJ66" s="252"/>
      <c r="EK66" s="252"/>
      <c r="EL66" s="252"/>
      <c r="EM66" s="252"/>
      <c r="EN66" s="252"/>
      <c r="EO66" s="252"/>
      <c r="EP66" s="252"/>
      <c r="EQ66" s="252"/>
      <c r="ER66" s="252"/>
      <c r="ES66" s="252"/>
      <c r="ET66" s="252"/>
      <c r="EU66" s="252"/>
      <c r="EV66" s="252"/>
      <c r="EW66" s="252"/>
      <c r="EX66" s="252"/>
      <c r="EY66" s="252"/>
      <c r="EZ66" s="252"/>
      <c r="FA66" s="252"/>
      <c r="FB66" s="252"/>
      <c r="FC66" s="252"/>
      <c r="FD66" s="252"/>
      <c r="FE66" s="252"/>
      <c r="FF66" s="252"/>
      <c r="FG66" s="252"/>
      <c r="FH66" s="252"/>
      <c r="FI66" s="252"/>
      <c r="FJ66" s="252"/>
      <c r="FK66" s="252"/>
      <c r="FL66" s="252"/>
      <c r="FM66" s="252"/>
      <c r="FN66" s="252"/>
      <c r="FO66" s="252"/>
      <c r="FP66" s="252"/>
      <c r="FQ66" s="252"/>
      <c r="FR66" s="252"/>
      <c r="FS66" s="252"/>
      <c r="FT66" s="252"/>
      <c r="FU66" s="252"/>
      <c r="FV66" s="252"/>
      <c r="FW66" s="252"/>
      <c r="FX66" s="252"/>
      <c r="FY66" s="252"/>
      <c r="FZ66" s="252"/>
      <c r="GA66" s="252"/>
      <c r="GB66" s="252"/>
      <c r="GC66" s="252"/>
      <c r="GD66" s="252"/>
      <c r="GE66" s="252"/>
      <c r="GF66" s="252"/>
      <c r="GG66" s="252"/>
      <c r="GH66" s="252"/>
      <c r="GI66" s="252"/>
      <c r="GJ66" s="252"/>
      <c r="GK66" s="252"/>
      <c r="GL66" s="252"/>
      <c r="GM66" s="252"/>
      <c r="GN66" s="252"/>
      <c r="GO66" s="252"/>
      <c r="GP66" s="252"/>
      <c r="GQ66" s="252"/>
      <c r="GR66" s="252"/>
      <c r="GS66" s="252"/>
      <c r="GT66" s="252"/>
      <c r="GU66" s="252"/>
      <c r="GV66" s="252"/>
      <c r="GW66" s="252"/>
      <c r="GX66" s="252"/>
      <c r="GY66" s="252"/>
      <c r="GZ66" s="252"/>
      <c r="HA66" s="252"/>
      <c r="HB66" s="252"/>
      <c r="HC66" s="252"/>
      <c r="HD66" s="252"/>
      <c r="HE66" s="252"/>
      <c r="HF66" s="252"/>
      <c r="HG66" s="252"/>
      <c r="HH66" s="252"/>
      <c r="HI66" s="252"/>
      <c r="HJ66" s="252"/>
      <c r="HK66" s="252"/>
      <c r="HL66" s="252"/>
      <c r="HM66" s="252"/>
      <c r="HN66" s="252"/>
      <c r="HO66" s="252"/>
      <c r="HP66" s="252"/>
      <c r="HQ66" s="252"/>
      <c r="HR66" s="252"/>
      <c r="HS66" s="252"/>
      <c r="HT66" s="252"/>
      <c r="HU66" s="252"/>
      <c r="HV66" s="252"/>
      <c r="HW66" s="252"/>
      <c r="HX66" s="252"/>
      <c r="HY66" s="252"/>
      <c r="HZ66" s="252"/>
      <c r="IA66" s="252"/>
      <c r="IB66" s="252"/>
      <c r="IC66" s="252"/>
      <c r="ID66" s="252"/>
      <c r="IE66" s="252"/>
      <c r="IF66" s="252"/>
      <c r="IG66" s="252"/>
      <c r="IH66" s="252"/>
      <c r="II66" s="252"/>
      <c r="IJ66" s="252"/>
      <c r="IK66" s="252"/>
      <c r="IL66" s="252"/>
      <c r="IM66" s="252"/>
      <c r="IN66" s="252"/>
      <c r="IO66" s="252"/>
      <c r="IP66" s="252"/>
      <c r="IQ66" s="252"/>
      <c r="IR66" s="252"/>
      <c r="IS66" s="252"/>
      <c r="IT66" s="252"/>
      <c r="IU66" s="252"/>
      <c r="IV66" s="252"/>
      <c r="IW66" s="252"/>
      <c r="IX66" s="252"/>
      <c r="IY66" s="252"/>
      <c r="IZ66" s="252"/>
      <c r="JA66" s="252"/>
      <c r="JB66" s="252"/>
      <c r="JC66" s="252"/>
      <c r="JD66" s="252"/>
      <c r="JE66" s="252"/>
      <c r="JF66" s="252"/>
      <c r="JG66" s="252"/>
      <c r="JH66" s="252"/>
      <c r="JI66" s="252"/>
      <c r="JJ66" s="252"/>
      <c r="JK66" s="252"/>
      <c r="JL66" s="252"/>
      <c r="JM66" s="252"/>
      <c r="JN66" s="252"/>
      <c r="JO66" s="252"/>
      <c r="JP66" s="252"/>
      <c r="JQ66" s="252"/>
      <c r="JR66" s="252"/>
      <c r="JS66" s="252"/>
      <c r="JT66" s="252"/>
      <c r="JU66" s="252"/>
      <c r="JV66" s="252"/>
      <c r="JW66" s="252"/>
      <c r="JX66" s="252"/>
      <c r="JY66" s="252"/>
      <c r="JZ66" s="252"/>
      <c r="KA66" s="252"/>
      <c r="KB66" s="252"/>
      <c r="KC66" s="252"/>
      <c r="KD66" s="252"/>
      <c r="KE66" s="252"/>
      <c r="KF66" s="252"/>
      <c r="KG66" s="252"/>
      <c r="KH66" s="252"/>
      <c r="KI66" s="252"/>
      <c r="KJ66" s="252"/>
      <c r="KK66" s="252"/>
      <c r="KL66" s="252"/>
      <c r="KM66" s="252"/>
      <c r="KN66" s="252"/>
      <c r="KO66" s="252"/>
      <c r="KP66" s="252"/>
      <c r="KQ66" s="252"/>
      <c r="KR66" s="252"/>
      <c r="KS66" s="252"/>
      <c r="KT66" s="252"/>
      <c r="KU66" s="252"/>
      <c r="KV66" s="252"/>
      <c r="KW66" s="252"/>
      <c r="KX66" s="252"/>
      <c r="KY66" s="252"/>
      <c r="KZ66" s="252"/>
      <c r="LA66" s="252"/>
      <c r="LB66" s="252"/>
      <c r="LC66" s="252"/>
      <c r="LD66" s="252"/>
      <c r="LE66" s="252"/>
      <c r="LF66" s="252"/>
      <c r="LG66" s="252"/>
      <c r="LH66" s="252"/>
      <c r="LI66" s="252"/>
      <c r="LJ66" s="252"/>
      <c r="LK66" s="252"/>
      <c r="LL66" s="252"/>
      <c r="LM66" s="252"/>
      <c r="LN66" s="252"/>
      <c r="LO66" s="252"/>
      <c r="LP66" s="252"/>
      <c r="LQ66" s="252"/>
      <c r="LR66" s="252"/>
      <c r="LS66" s="252"/>
      <c r="LT66" s="252"/>
      <c r="LU66" s="252"/>
      <c r="LV66" s="252"/>
      <c r="LW66" s="252"/>
      <c r="LX66" s="252"/>
      <c r="LY66" s="252"/>
      <c r="LZ66" s="252"/>
      <c r="MA66" s="252"/>
      <c r="MB66" s="252"/>
      <c r="MC66" s="252"/>
      <c r="MD66" s="252"/>
      <c r="ME66" s="252"/>
      <c r="MF66" s="252"/>
      <c r="MG66" s="252"/>
      <c r="MH66" s="252"/>
      <c r="MI66" s="252"/>
      <c r="MJ66" s="252"/>
      <c r="MK66" s="252"/>
      <c r="ML66" s="252"/>
      <c r="MM66" s="252"/>
      <c r="MN66" s="252"/>
      <c r="MO66" s="252"/>
      <c r="MP66" s="252"/>
      <c r="MQ66" s="252"/>
      <c r="MR66" s="252"/>
      <c r="MS66" s="252"/>
      <c r="MT66" s="252"/>
      <c r="MU66" s="252"/>
      <c r="MV66" s="252"/>
      <c r="MW66" s="252"/>
      <c r="MX66" s="252"/>
      <c r="MY66" s="252"/>
      <c r="MZ66" s="252"/>
      <c r="NA66" s="252"/>
      <c r="NB66" s="252"/>
      <c r="NC66" s="252"/>
      <c r="ND66" s="252"/>
      <c r="NE66" s="252"/>
      <c r="NF66" s="252"/>
      <c r="NG66" s="252"/>
      <c r="NH66" s="252"/>
      <c r="NI66" s="252"/>
      <c r="NJ66" s="252"/>
      <c r="NK66" s="252"/>
      <c r="NL66" s="252"/>
      <c r="NM66" s="252"/>
      <c r="NN66" s="252"/>
      <c r="NO66" s="252"/>
      <c r="NP66" s="252"/>
      <c r="NQ66" s="252"/>
      <c r="NR66" s="252"/>
      <c r="NS66" s="252"/>
      <c r="NT66" s="252"/>
      <c r="NU66" s="252"/>
      <c r="NV66" s="252"/>
      <c r="NW66" s="252"/>
      <c r="NX66" s="252"/>
      <c r="NY66" s="252"/>
      <c r="NZ66" s="252"/>
      <c r="OA66" s="252"/>
      <c r="OB66" s="252"/>
      <c r="OC66" s="252"/>
      <c r="OD66" s="252"/>
      <c r="OE66" s="252"/>
      <c r="OF66" s="252"/>
      <c r="OG66" s="252"/>
      <c r="OH66" s="252"/>
      <c r="OI66" s="252"/>
      <c r="OJ66" s="252"/>
      <c r="OK66" s="252"/>
      <c r="OL66" s="252"/>
      <c r="OM66" s="252"/>
      <c r="ON66" s="252"/>
      <c r="OO66" s="252"/>
      <c r="OP66" s="252"/>
      <c r="OQ66" s="252"/>
      <c r="OR66" s="252"/>
      <c r="OS66" s="252"/>
      <c r="OT66" s="252"/>
      <c r="OU66" s="252"/>
      <c r="OV66" s="252"/>
      <c r="OW66" s="252"/>
      <c r="OX66" s="252"/>
      <c r="OY66" s="252"/>
      <c r="OZ66" s="252"/>
      <c r="PA66" s="252"/>
      <c r="PB66" s="252"/>
      <c r="PC66" s="252"/>
      <c r="PD66" s="252"/>
      <c r="PE66" s="252"/>
      <c r="PF66" s="252"/>
      <c r="PG66" s="252"/>
      <c r="PH66" s="252"/>
      <c r="PI66" s="252"/>
      <c r="PJ66" s="252"/>
      <c r="PK66" s="252"/>
      <c r="PL66" s="252"/>
      <c r="PM66" s="252"/>
      <c r="PN66" s="252"/>
      <c r="PO66" s="252"/>
      <c r="PP66" s="252"/>
      <c r="PQ66" s="252"/>
      <c r="PR66" s="252"/>
      <c r="PS66" s="252"/>
      <c r="PT66" s="252"/>
      <c r="PU66" s="252"/>
      <c r="PV66" s="252"/>
      <c r="PW66" s="252"/>
      <c r="PX66" s="252"/>
      <c r="PY66" s="252"/>
      <c r="PZ66" s="252"/>
      <c r="QA66" s="252"/>
      <c r="QB66" s="252"/>
      <c r="QC66" s="252"/>
      <c r="QD66" s="252"/>
      <c r="QE66" s="252"/>
      <c r="QF66" s="252"/>
      <c r="QG66" s="252"/>
      <c r="QH66" s="252"/>
      <c r="QI66" s="252"/>
      <c r="QJ66" s="252"/>
      <c r="QK66" s="252"/>
      <c r="QL66" s="252"/>
      <c r="QM66" s="252"/>
      <c r="QN66" s="252"/>
      <c r="QO66" s="252"/>
      <c r="QP66" s="252"/>
      <c r="QQ66" s="252"/>
      <c r="QR66" s="252"/>
      <c r="QS66" s="252"/>
      <c r="QT66" s="252"/>
      <c r="QU66" s="252"/>
      <c r="QV66" s="252"/>
      <c r="QW66" s="252"/>
      <c r="QX66" s="252"/>
      <c r="QY66" s="252"/>
      <c r="QZ66" s="252"/>
      <c r="RA66" s="252"/>
      <c r="RB66" s="252"/>
      <c r="RC66" s="252"/>
      <c r="RD66" s="252"/>
      <c r="RE66" s="252"/>
      <c r="RF66" s="252"/>
      <c r="RG66" s="252"/>
      <c r="RH66" s="252"/>
      <c r="RI66" s="252"/>
      <c r="RJ66" s="252"/>
      <c r="RK66" s="252"/>
      <c r="RL66" s="252"/>
      <c r="RM66" s="252"/>
      <c r="RN66" s="252"/>
      <c r="RO66" s="252"/>
      <c r="RP66" s="252"/>
      <c r="RQ66" s="252"/>
      <c r="RR66" s="252"/>
      <c r="RS66" s="252"/>
      <c r="RT66" s="252"/>
      <c r="RU66" s="252"/>
      <c r="RV66" s="252"/>
      <c r="RW66" s="252"/>
      <c r="RX66" s="252"/>
      <c r="RY66" s="252"/>
      <c r="RZ66" s="252"/>
      <c r="SA66" s="252"/>
      <c r="SB66" s="252"/>
      <c r="SC66" s="252"/>
      <c r="SD66" s="252"/>
      <c r="SE66" s="252"/>
      <c r="SF66" s="252"/>
      <c r="SG66" s="252"/>
      <c r="SH66" s="252"/>
      <c r="SI66" s="252"/>
      <c r="SJ66" s="252"/>
      <c r="SK66" s="252"/>
      <c r="SL66" s="252"/>
      <c r="SM66" s="252"/>
      <c r="SN66" s="252"/>
      <c r="SO66" s="252"/>
      <c r="SP66" s="252"/>
      <c r="SQ66" s="252"/>
      <c r="SR66" s="252"/>
      <c r="SS66" s="252"/>
      <c r="ST66" s="252"/>
      <c r="SU66" s="252"/>
      <c r="SV66" s="252"/>
      <c r="SW66" s="252"/>
      <c r="SX66" s="252"/>
      <c r="SY66" s="252"/>
      <c r="SZ66" s="252"/>
      <c r="TA66" s="252"/>
      <c r="TB66" s="252"/>
      <c r="TC66" s="252"/>
      <c r="TD66" s="252"/>
      <c r="TE66" s="252"/>
      <c r="TF66" s="252"/>
      <c r="TG66" s="252"/>
      <c r="TH66" s="252"/>
      <c r="TI66" s="252"/>
      <c r="TJ66" s="252"/>
      <c r="TK66" s="252"/>
      <c r="TL66" s="252"/>
      <c r="TM66" s="252"/>
      <c r="TN66" s="252"/>
      <c r="TO66" s="252"/>
      <c r="TP66" s="252"/>
      <c r="TQ66" s="252"/>
      <c r="TR66" s="252"/>
      <c r="TS66" s="252"/>
      <c r="TT66" s="252"/>
      <c r="TU66" s="252"/>
      <c r="TV66" s="252"/>
      <c r="TW66" s="252"/>
      <c r="TX66" s="252"/>
      <c r="TY66" s="252"/>
      <c r="TZ66" s="252"/>
      <c r="UA66" s="252"/>
      <c r="UB66" s="252"/>
      <c r="UC66" s="252"/>
      <c r="UD66" s="252"/>
      <c r="UE66" s="252"/>
      <c r="UF66" s="252"/>
      <c r="UG66" s="252"/>
      <c r="UH66" s="252"/>
      <c r="UI66" s="252"/>
      <c r="UJ66" s="252"/>
      <c r="UK66" s="252"/>
      <c r="UL66" s="252"/>
      <c r="UM66" s="252"/>
      <c r="UN66" s="252"/>
      <c r="UO66" s="252"/>
      <c r="UP66" s="252"/>
      <c r="UQ66" s="252"/>
      <c r="UR66" s="252"/>
      <c r="US66" s="252"/>
      <c r="UT66" s="252"/>
      <c r="UU66" s="252"/>
      <c r="UV66" s="252"/>
      <c r="UW66" s="252"/>
      <c r="UX66" s="252"/>
      <c r="UY66" s="252"/>
      <c r="UZ66" s="252"/>
      <c r="VA66" s="252"/>
      <c r="VB66" s="252"/>
      <c r="VC66" s="252"/>
      <c r="VD66" s="252"/>
      <c r="VE66" s="252"/>
      <c r="VF66" s="252"/>
      <c r="VG66" s="252"/>
      <c r="VH66" s="252"/>
      <c r="VI66" s="252"/>
      <c r="VJ66" s="252"/>
      <c r="VK66" s="252"/>
      <c r="VL66" s="252"/>
      <c r="VM66" s="252"/>
      <c r="VN66" s="252"/>
      <c r="VO66" s="252"/>
      <c r="VP66" s="252"/>
      <c r="VQ66" s="252"/>
      <c r="VR66" s="252"/>
      <c r="VS66" s="252"/>
      <c r="VT66" s="252"/>
      <c r="VU66" s="252"/>
      <c r="VV66" s="252"/>
      <c r="VW66" s="252"/>
      <c r="VX66" s="252"/>
      <c r="VY66" s="252"/>
      <c r="VZ66" s="252"/>
      <c r="WA66" s="252"/>
      <c r="WB66" s="252"/>
      <c r="WC66" s="252"/>
      <c r="WD66" s="252"/>
      <c r="WE66" s="252"/>
      <c r="WF66" s="252"/>
      <c r="WG66" s="252"/>
      <c r="WH66" s="252"/>
      <c r="WI66" s="252"/>
      <c r="WJ66" s="252"/>
      <c r="WK66" s="252"/>
      <c r="WL66" s="252"/>
      <c r="WM66" s="252"/>
      <c r="WN66" s="252"/>
      <c r="WO66" s="252"/>
      <c r="WP66" s="252"/>
      <c r="WQ66" s="252"/>
      <c r="WR66" s="252"/>
      <c r="WS66" s="252"/>
      <c r="WT66" s="252"/>
      <c r="WU66" s="252"/>
      <c r="WV66" s="252"/>
      <c r="WW66" s="252"/>
      <c r="WX66" s="252"/>
      <c r="WY66" s="252"/>
      <c r="WZ66" s="252"/>
      <c r="XA66" s="252"/>
      <c r="XB66" s="252"/>
      <c r="XC66" s="252"/>
      <c r="XD66" s="252"/>
      <c r="XE66" s="252"/>
      <c r="XF66" s="252"/>
      <c r="XG66" s="252"/>
      <c r="XH66" s="252"/>
      <c r="XI66" s="252"/>
      <c r="XJ66" s="252"/>
      <c r="XK66" s="252"/>
      <c r="XL66" s="252"/>
      <c r="XM66" s="252"/>
      <c r="XN66" s="252"/>
      <c r="XO66" s="252"/>
      <c r="XP66" s="252"/>
      <c r="XQ66" s="252"/>
      <c r="XR66" s="252"/>
      <c r="XS66" s="252"/>
      <c r="XT66" s="252"/>
      <c r="XU66" s="252"/>
      <c r="XV66" s="252"/>
      <c r="XW66" s="252"/>
      <c r="XX66" s="252"/>
      <c r="XY66" s="252"/>
      <c r="XZ66" s="252"/>
      <c r="YA66" s="252"/>
      <c r="YB66" s="252"/>
      <c r="YC66" s="252"/>
      <c r="YD66" s="252"/>
      <c r="YE66" s="252"/>
      <c r="YF66" s="252"/>
      <c r="YG66" s="252"/>
      <c r="YH66" s="252"/>
      <c r="YI66" s="252"/>
      <c r="YJ66" s="252"/>
      <c r="YK66" s="252"/>
      <c r="YL66" s="252"/>
      <c r="YM66" s="252"/>
      <c r="YN66" s="252"/>
      <c r="YO66" s="252"/>
      <c r="YP66" s="252"/>
      <c r="YQ66" s="252"/>
      <c r="YR66" s="252"/>
      <c r="YS66" s="252"/>
      <c r="YT66" s="252"/>
      <c r="YU66" s="252"/>
      <c r="YV66" s="252"/>
      <c r="YW66" s="252"/>
      <c r="YX66" s="252"/>
      <c r="YY66" s="252"/>
      <c r="YZ66" s="252"/>
      <c r="ZA66" s="252"/>
      <c r="ZB66" s="252"/>
      <c r="ZC66" s="252"/>
      <c r="ZD66" s="252"/>
      <c r="ZE66" s="252"/>
      <c r="ZF66" s="252"/>
      <c r="ZG66" s="252"/>
      <c r="ZH66" s="252"/>
      <c r="ZI66" s="252"/>
      <c r="ZJ66" s="252"/>
      <c r="ZK66" s="252"/>
      <c r="ZL66" s="252"/>
      <c r="ZM66" s="252"/>
      <c r="ZN66" s="252"/>
      <c r="ZO66" s="252"/>
      <c r="ZP66" s="252"/>
      <c r="ZQ66" s="252"/>
      <c r="ZR66" s="252"/>
      <c r="ZS66" s="252"/>
      <c r="ZT66" s="252"/>
      <c r="ZU66" s="252"/>
      <c r="ZV66" s="252"/>
      <c r="ZW66" s="252"/>
      <c r="ZX66" s="252"/>
      <c r="ZY66" s="252"/>
      <c r="ZZ66" s="252"/>
      <c r="AAA66" s="252"/>
      <c r="AAB66" s="252"/>
      <c r="AAC66" s="252"/>
      <c r="AAD66" s="252"/>
      <c r="AAE66" s="252"/>
      <c r="AAF66" s="252"/>
      <c r="AAG66" s="252"/>
      <c r="AAH66" s="252"/>
      <c r="AAI66" s="252"/>
      <c r="AAJ66" s="252"/>
      <c r="AAK66" s="252"/>
      <c r="AAL66" s="252"/>
      <c r="AAM66" s="252"/>
      <c r="AAN66" s="252"/>
      <c r="AAO66" s="252"/>
      <c r="AAP66" s="252"/>
      <c r="AAQ66" s="252"/>
      <c r="AAR66" s="252"/>
      <c r="AAS66" s="252"/>
      <c r="AAT66" s="252"/>
      <c r="AAU66" s="252"/>
      <c r="AAV66" s="252"/>
      <c r="AAW66" s="252"/>
      <c r="AAX66" s="252"/>
      <c r="AAY66" s="252"/>
      <c r="AAZ66" s="252"/>
      <c r="ABA66" s="252"/>
      <c r="ABB66" s="252"/>
      <c r="ABC66" s="252"/>
      <c r="ABD66" s="252"/>
      <c r="ABE66" s="252"/>
      <c r="ABF66" s="252"/>
      <c r="ABG66" s="252"/>
      <c r="ABH66" s="252"/>
      <c r="ABI66" s="252"/>
      <c r="ABJ66" s="252"/>
      <c r="ABK66" s="252"/>
      <c r="ABL66" s="252"/>
      <c r="ABM66" s="252"/>
      <c r="ABN66" s="252"/>
      <c r="ABO66" s="252"/>
      <c r="ABP66" s="252"/>
      <c r="ABQ66" s="252"/>
      <c r="ABR66" s="252"/>
      <c r="ABS66" s="252"/>
      <c r="ABT66" s="252"/>
      <c r="ABU66" s="252"/>
      <c r="ABV66" s="252"/>
      <c r="ABW66" s="252"/>
      <c r="ABX66" s="252"/>
      <c r="ABY66" s="252"/>
      <c r="ABZ66" s="252"/>
      <c r="ACA66" s="252"/>
      <c r="ACB66" s="252"/>
      <c r="ACC66" s="252"/>
      <c r="ACD66" s="252"/>
      <c r="ACE66" s="252"/>
      <c r="ACF66" s="252"/>
      <c r="ACG66" s="252"/>
      <c r="ACH66" s="252"/>
      <c r="ACI66" s="252"/>
      <c r="ACJ66" s="252"/>
      <c r="ACK66" s="252"/>
      <c r="ACL66" s="252"/>
      <c r="ACM66" s="252"/>
      <c r="ACN66" s="252"/>
      <c r="ACO66" s="252"/>
      <c r="ACP66" s="252"/>
      <c r="ACQ66" s="252"/>
      <c r="ACR66" s="252"/>
      <c r="ACS66" s="252"/>
      <c r="ACT66" s="252"/>
      <c r="ACU66" s="252"/>
      <c r="ACV66" s="252"/>
      <c r="ACW66" s="252"/>
      <c r="ACX66" s="252"/>
      <c r="ACY66" s="252"/>
      <c r="ACZ66" s="252"/>
      <c r="ADA66" s="252"/>
      <c r="ADB66" s="252"/>
      <c r="ADC66" s="252"/>
      <c r="ADD66" s="252"/>
      <c r="ADE66" s="252"/>
      <c r="ADF66" s="252"/>
      <c r="ADG66" s="252"/>
      <c r="ADH66" s="252"/>
      <c r="ADI66" s="252"/>
      <c r="ADJ66" s="252"/>
      <c r="ADK66" s="252"/>
      <c r="ADL66" s="252"/>
      <c r="ADM66" s="252"/>
      <c r="ADN66" s="252"/>
      <c r="ADO66" s="252"/>
      <c r="ADP66" s="252"/>
      <c r="ADQ66" s="252"/>
      <c r="ADR66" s="252"/>
      <c r="ADS66" s="252"/>
      <c r="ADT66" s="252"/>
      <c r="ADU66" s="252"/>
      <c r="ADV66" s="252"/>
      <c r="ADW66" s="252"/>
      <c r="ADX66" s="252"/>
      <c r="ADY66" s="252"/>
      <c r="ADZ66" s="252"/>
      <c r="AEA66" s="252"/>
      <c r="AEB66" s="252"/>
      <c r="AEC66" s="252"/>
      <c r="AED66" s="252"/>
      <c r="AEE66" s="252"/>
      <c r="AEF66" s="252"/>
      <c r="AEG66" s="252"/>
      <c r="AEH66" s="252"/>
      <c r="AEI66" s="252"/>
      <c r="AEJ66" s="252"/>
      <c r="AEK66" s="252"/>
      <c r="AEL66" s="252"/>
      <c r="AEM66" s="252"/>
      <c r="AEN66" s="252"/>
      <c r="AEO66" s="252"/>
      <c r="AEP66" s="252"/>
      <c r="AEQ66" s="252"/>
      <c r="AER66" s="252"/>
      <c r="AES66" s="252"/>
      <c r="AET66" s="252"/>
      <c r="AEU66" s="252"/>
      <c r="AEV66" s="252"/>
      <c r="AEW66" s="252"/>
      <c r="AEX66" s="252"/>
      <c r="AEY66" s="252"/>
      <c r="AEZ66" s="252"/>
      <c r="AFA66" s="252"/>
      <c r="AFB66" s="252"/>
      <c r="AFC66" s="252"/>
      <c r="AFD66" s="252"/>
      <c r="AFE66" s="252"/>
      <c r="AFF66" s="252"/>
      <c r="AFG66" s="252"/>
      <c r="AFH66" s="252"/>
      <c r="AFI66" s="252"/>
      <c r="AFJ66" s="252"/>
      <c r="AFK66" s="252"/>
      <c r="AFL66" s="252"/>
      <c r="AFM66" s="252"/>
      <c r="AFN66" s="252"/>
      <c r="AFO66" s="252"/>
      <c r="AFP66" s="252"/>
      <c r="AFQ66" s="252"/>
      <c r="AFR66" s="252"/>
      <c r="AFS66" s="252"/>
      <c r="AFT66" s="252"/>
      <c r="AFU66" s="252"/>
      <c r="AFV66" s="252"/>
      <c r="AFW66" s="252"/>
      <c r="AFX66" s="252"/>
      <c r="AFY66" s="252"/>
      <c r="AFZ66" s="252"/>
      <c r="AGA66" s="252"/>
      <c r="AGB66" s="252"/>
      <c r="AGC66" s="252"/>
      <c r="AGD66" s="252"/>
      <c r="AGE66" s="252"/>
      <c r="AGF66" s="252"/>
      <c r="AGG66" s="252"/>
      <c r="AGH66" s="252"/>
      <c r="AGI66" s="252"/>
      <c r="AGJ66" s="252"/>
      <c r="AGK66" s="252"/>
      <c r="AGL66" s="252"/>
      <c r="AGM66" s="252"/>
      <c r="AGN66" s="252"/>
      <c r="AGO66" s="252"/>
      <c r="AGP66" s="252"/>
      <c r="AGQ66" s="252"/>
      <c r="AGR66" s="252"/>
      <c r="AGS66" s="252"/>
      <c r="AGT66" s="252"/>
      <c r="AGU66" s="252"/>
      <c r="AGV66" s="252"/>
      <c r="AGW66" s="252"/>
      <c r="AGX66" s="252"/>
      <c r="AGY66" s="252"/>
      <c r="AGZ66" s="252"/>
      <c r="AHA66" s="252"/>
      <c r="AHB66" s="252"/>
      <c r="AHC66" s="252"/>
      <c r="AHD66" s="252"/>
      <c r="AHE66" s="252"/>
      <c r="AHF66" s="252"/>
      <c r="AHG66" s="252"/>
      <c r="AHH66" s="252"/>
      <c r="AHI66" s="252"/>
      <c r="AHJ66" s="252"/>
      <c r="AHK66" s="252"/>
      <c r="AHL66" s="252"/>
      <c r="AHM66" s="252"/>
      <c r="AHN66" s="252"/>
      <c r="AHO66" s="252"/>
      <c r="AHP66" s="252"/>
      <c r="AHQ66" s="252"/>
      <c r="AHR66" s="252"/>
      <c r="AHS66" s="252"/>
      <c r="AHT66" s="252"/>
      <c r="AHU66" s="252"/>
      <c r="AHV66" s="252"/>
      <c r="AHW66" s="252"/>
      <c r="AHX66" s="252"/>
      <c r="AHY66" s="252"/>
      <c r="AHZ66" s="252"/>
      <c r="AIA66" s="252"/>
      <c r="AIB66" s="252"/>
      <c r="AIC66" s="252"/>
      <c r="AID66" s="252"/>
      <c r="AIE66" s="252"/>
      <c r="AIF66" s="252"/>
      <c r="AIG66" s="252"/>
      <c r="AIH66" s="252"/>
      <c r="AII66" s="252"/>
      <c r="AIJ66" s="252"/>
      <c r="AIK66" s="252"/>
      <c r="AIL66" s="252"/>
      <c r="AIM66" s="252"/>
      <c r="AIN66" s="252"/>
      <c r="AIO66" s="252"/>
      <c r="AIP66" s="252"/>
      <c r="AIQ66" s="252"/>
      <c r="AIR66" s="252"/>
      <c r="AIS66" s="252"/>
      <c r="AIT66" s="252"/>
      <c r="AIU66" s="252"/>
      <c r="AIV66" s="252"/>
      <c r="AIW66" s="252"/>
      <c r="AIX66" s="252"/>
      <c r="AIY66" s="252"/>
      <c r="AIZ66" s="252"/>
      <c r="AJA66" s="252"/>
      <c r="AJB66" s="252"/>
      <c r="AJC66" s="252"/>
      <c r="AJD66" s="252"/>
      <c r="AJE66" s="252"/>
      <c r="AJF66" s="252"/>
      <c r="AJG66" s="252"/>
      <c r="AJH66" s="252"/>
      <c r="AJI66" s="252"/>
      <c r="AJJ66" s="252"/>
      <c r="AJK66" s="252"/>
      <c r="AJL66" s="252"/>
      <c r="AJM66" s="252"/>
      <c r="AJN66" s="252"/>
      <c r="AJO66" s="252"/>
      <c r="AJP66" s="252"/>
      <c r="AJQ66" s="252"/>
      <c r="AJR66" s="252"/>
      <c r="AJS66" s="252"/>
      <c r="AJT66" s="252"/>
      <c r="AJU66" s="252"/>
      <c r="AJV66" s="252"/>
      <c r="AJW66" s="252"/>
      <c r="AJX66" s="252"/>
      <c r="AJY66" s="252"/>
      <c r="AJZ66" s="252"/>
      <c r="AKA66" s="252"/>
      <c r="AKB66" s="252"/>
      <c r="AKC66" s="252"/>
      <c r="AKD66" s="252"/>
      <c r="AKE66" s="252"/>
      <c r="AKF66" s="252"/>
      <c r="AKG66" s="252"/>
      <c r="AKH66" s="252"/>
      <c r="AKI66" s="252"/>
      <c r="AKJ66" s="252"/>
      <c r="AKK66" s="252"/>
      <c r="AKL66" s="252"/>
      <c r="AKM66" s="252"/>
      <c r="AKN66" s="252"/>
      <c r="AKO66" s="252"/>
      <c r="AKP66" s="252"/>
      <c r="AKQ66" s="252"/>
      <c r="AKR66" s="252"/>
      <c r="AKS66" s="252"/>
      <c r="AKT66" s="252"/>
      <c r="AKU66" s="252"/>
      <c r="AKV66" s="252"/>
      <c r="AKW66" s="252"/>
      <c r="AKX66" s="252"/>
      <c r="AKY66" s="252"/>
      <c r="AKZ66" s="252"/>
      <c r="ALA66" s="252"/>
      <c r="ALB66" s="252"/>
      <c r="ALC66" s="252"/>
      <c r="ALD66" s="252"/>
      <c r="ALE66" s="252"/>
      <c r="ALF66" s="252"/>
      <c r="ALG66" s="252"/>
      <c r="ALH66" s="252"/>
      <c r="ALI66" s="252"/>
      <c r="ALJ66" s="252"/>
      <c r="ALK66" s="252"/>
      <c r="ALL66" s="252"/>
      <c r="ALM66" s="252"/>
      <c r="ALN66" s="252"/>
      <c r="ALO66" s="252"/>
      <c r="ALP66" s="252"/>
      <c r="ALQ66" s="252"/>
      <c r="ALR66" s="252"/>
      <c r="ALS66" s="252"/>
    </row>
    <row r="67" spans="1:1007" s="3" customFormat="1" x14ac:dyDescent="0.2">
      <c r="A67" s="749" t="s">
        <v>296</v>
      </c>
      <c r="B67" s="392"/>
      <c r="C67" s="392"/>
      <c r="D67" s="392">
        <v>950</v>
      </c>
      <c r="E67" s="744">
        <v>840</v>
      </c>
      <c r="F67" s="730"/>
      <c r="G67" s="730"/>
      <c r="H67" s="730"/>
      <c r="I67" s="730"/>
      <c r="J67" s="252"/>
      <c r="K67" s="252"/>
      <c r="L67" s="252"/>
      <c r="M67" s="252"/>
      <c r="N67" s="252"/>
      <c r="O67" s="252"/>
      <c r="P67" s="252"/>
      <c r="Q67" s="252"/>
      <c r="R67" s="252"/>
      <c r="S67" s="252"/>
      <c r="T67" s="252"/>
      <c r="U67" s="252"/>
      <c r="V67" s="252"/>
      <c r="W67" s="252"/>
      <c r="X67" s="252"/>
      <c r="Y67" s="252"/>
      <c r="Z67" s="252"/>
      <c r="AA67" s="252"/>
      <c r="AB67" s="252"/>
      <c r="AC67" s="252"/>
      <c r="AD67" s="252"/>
      <c r="AE67" s="252"/>
      <c r="AF67" s="252"/>
      <c r="AG67" s="252"/>
      <c r="AH67" s="252"/>
      <c r="AI67" s="252"/>
      <c r="AJ67" s="252"/>
      <c r="AK67" s="252"/>
      <c r="AL67" s="252"/>
      <c r="AM67" s="252"/>
      <c r="AN67" s="252"/>
      <c r="AO67" s="252"/>
      <c r="AP67" s="252"/>
      <c r="AQ67" s="252"/>
      <c r="AR67" s="252"/>
      <c r="AS67" s="252"/>
      <c r="AT67" s="252"/>
      <c r="AU67" s="252"/>
      <c r="AV67" s="252"/>
      <c r="AW67" s="252"/>
      <c r="AX67" s="252"/>
      <c r="AY67" s="252"/>
      <c r="AZ67" s="252"/>
      <c r="BA67" s="252"/>
      <c r="BB67" s="252"/>
      <c r="BC67" s="252"/>
      <c r="BD67" s="252"/>
      <c r="BE67" s="252"/>
      <c r="BF67" s="252"/>
      <c r="BG67" s="252"/>
      <c r="BH67" s="252"/>
      <c r="BI67" s="252"/>
      <c r="BJ67" s="252"/>
      <c r="BK67" s="252"/>
      <c r="BL67" s="252"/>
      <c r="BM67" s="252"/>
      <c r="BN67" s="252"/>
      <c r="BO67" s="252"/>
      <c r="BP67" s="252"/>
      <c r="BQ67" s="252"/>
      <c r="BR67" s="252"/>
      <c r="BS67" s="252"/>
      <c r="BT67" s="252"/>
      <c r="BU67" s="252"/>
      <c r="BV67" s="252"/>
      <c r="BW67" s="252"/>
      <c r="BX67" s="252"/>
      <c r="BY67" s="252"/>
      <c r="BZ67" s="252"/>
      <c r="CA67" s="252"/>
      <c r="CB67" s="252"/>
      <c r="CC67" s="252"/>
      <c r="CD67" s="252"/>
      <c r="CE67" s="252"/>
      <c r="CF67" s="252"/>
      <c r="CG67" s="252"/>
      <c r="CH67" s="252"/>
      <c r="CI67" s="252"/>
      <c r="CJ67" s="252"/>
      <c r="CK67" s="252"/>
      <c r="CL67" s="252"/>
      <c r="CM67" s="252"/>
      <c r="CN67" s="252"/>
      <c r="CO67" s="252"/>
      <c r="CP67" s="252"/>
      <c r="CQ67" s="252"/>
      <c r="CR67" s="252"/>
      <c r="CS67" s="252"/>
      <c r="CT67" s="252"/>
      <c r="CU67" s="252"/>
      <c r="CV67" s="252"/>
      <c r="CW67" s="252"/>
      <c r="CX67" s="252"/>
      <c r="CY67" s="252"/>
      <c r="CZ67" s="252"/>
      <c r="DA67" s="252"/>
      <c r="DB67" s="252"/>
      <c r="DC67" s="252"/>
      <c r="DD67" s="252"/>
      <c r="DE67" s="252"/>
      <c r="DF67" s="252"/>
      <c r="DG67" s="252"/>
      <c r="DH67" s="252"/>
      <c r="DI67" s="252"/>
      <c r="DJ67" s="252"/>
      <c r="DK67" s="252"/>
      <c r="DL67" s="252"/>
      <c r="DM67" s="252"/>
      <c r="DN67" s="252"/>
      <c r="DO67" s="252"/>
      <c r="DP67" s="252"/>
      <c r="DQ67" s="252"/>
      <c r="DR67" s="252"/>
      <c r="DS67" s="252"/>
      <c r="DT67" s="252"/>
      <c r="DU67" s="252"/>
      <c r="DV67" s="252"/>
      <c r="DW67" s="252"/>
      <c r="DX67" s="252"/>
      <c r="DY67" s="252"/>
      <c r="DZ67" s="252"/>
      <c r="EA67" s="252"/>
      <c r="EB67" s="252"/>
      <c r="EC67" s="252"/>
      <c r="ED67" s="252"/>
      <c r="EE67" s="252"/>
      <c r="EF67" s="252"/>
      <c r="EG67" s="252"/>
      <c r="EH67" s="252"/>
      <c r="EI67" s="252"/>
      <c r="EJ67" s="252"/>
      <c r="EK67" s="252"/>
      <c r="EL67" s="252"/>
      <c r="EM67" s="252"/>
      <c r="EN67" s="252"/>
      <c r="EO67" s="252"/>
      <c r="EP67" s="252"/>
      <c r="EQ67" s="252"/>
      <c r="ER67" s="252"/>
      <c r="ES67" s="252"/>
      <c r="ET67" s="252"/>
      <c r="EU67" s="252"/>
      <c r="EV67" s="252"/>
      <c r="EW67" s="252"/>
      <c r="EX67" s="252"/>
      <c r="EY67" s="252"/>
      <c r="EZ67" s="252"/>
      <c r="FA67" s="252"/>
      <c r="FB67" s="252"/>
      <c r="FC67" s="252"/>
      <c r="FD67" s="252"/>
      <c r="FE67" s="252"/>
      <c r="FF67" s="252"/>
      <c r="FG67" s="252"/>
      <c r="FH67" s="252"/>
      <c r="FI67" s="252"/>
      <c r="FJ67" s="252"/>
      <c r="FK67" s="252"/>
      <c r="FL67" s="252"/>
      <c r="FM67" s="252"/>
      <c r="FN67" s="252"/>
      <c r="FO67" s="252"/>
      <c r="FP67" s="252"/>
      <c r="FQ67" s="252"/>
      <c r="FR67" s="252"/>
      <c r="FS67" s="252"/>
      <c r="FT67" s="252"/>
      <c r="FU67" s="252"/>
      <c r="FV67" s="252"/>
      <c r="FW67" s="252"/>
      <c r="FX67" s="252"/>
      <c r="FY67" s="252"/>
      <c r="FZ67" s="252"/>
      <c r="GA67" s="252"/>
      <c r="GB67" s="252"/>
      <c r="GC67" s="252"/>
      <c r="GD67" s="252"/>
      <c r="GE67" s="252"/>
      <c r="GF67" s="252"/>
      <c r="GG67" s="252"/>
      <c r="GH67" s="252"/>
      <c r="GI67" s="252"/>
      <c r="GJ67" s="252"/>
      <c r="GK67" s="252"/>
      <c r="GL67" s="252"/>
      <c r="GM67" s="252"/>
      <c r="GN67" s="252"/>
      <c r="GO67" s="252"/>
      <c r="GP67" s="252"/>
      <c r="GQ67" s="252"/>
      <c r="GR67" s="252"/>
      <c r="GS67" s="252"/>
      <c r="GT67" s="252"/>
      <c r="GU67" s="252"/>
      <c r="GV67" s="252"/>
      <c r="GW67" s="252"/>
      <c r="GX67" s="252"/>
      <c r="GY67" s="252"/>
      <c r="GZ67" s="252"/>
      <c r="HA67" s="252"/>
      <c r="HB67" s="252"/>
      <c r="HC67" s="252"/>
      <c r="HD67" s="252"/>
      <c r="HE67" s="252"/>
      <c r="HF67" s="252"/>
      <c r="HG67" s="252"/>
      <c r="HH67" s="252"/>
      <c r="HI67" s="252"/>
      <c r="HJ67" s="252"/>
      <c r="HK67" s="252"/>
      <c r="HL67" s="252"/>
      <c r="HM67" s="252"/>
      <c r="HN67" s="252"/>
      <c r="HO67" s="252"/>
      <c r="HP67" s="252"/>
      <c r="HQ67" s="252"/>
      <c r="HR67" s="252"/>
      <c r="HS67" s="252"/>
      <c r="HT67" s="252"/>
      <c r="HU67" s="252"/>
      <c r="HV67" s="252"/>
      <c r="HW67" s="252"/>
      <c r="HX67" s="252"/>
      <c r="HY67" s="252"/>
      <c r="HZ67" s="252"/>
      <c r="IA67" s="252"/>
      <c r="IB67" s="252"/>
      <c r="IC67" s="252"/>
      <c r="ID67" s="252"/>
      <c r="IE67" s="252"/>
      <c r="IF67" s="252"/>
      <c r="IG67" s="252"/>
      <c r="IH67" s="252"/>
      <c r="II67" s="252"/>
      <c r="IJ67" s="252"/>
      <c r="IK67" s="252"/>
      <c r="IL67" s="252"/>
      <c r="IM67" s="252"/>
      <c r="IN67" s="252"/>
      <c r="IO67" s="252"/>
      <c r="IP67" s="252"/>
      <c r="IQ67" s="252"/>
      <c r="IR67" s="252"/>
      <c r="IS67" s="252"/>
      <c r="IT67" s="252"/>
      <c r="IU67" s="252"/>
      <c r="IV67" s="252"/>
      <c r="IW67" s="252"/>
      <c r="IX67" s="252"/>
      <c r="IY67" s="252"/>
      <c r="IZ67" s="252"/>
      <c r="JA67" s="252"/>
      <c r="JB67" s="252"/>
      <c r="JC67" s="252"/>
      <c r="JD67" s="252"/>
      <c r="JE67" s="252"/>
      <c r="JF67" s="252"/>
      <c r="JG67" s="252"/>
      <c r="JH67" s="252"/>
      <c r="JI67" s="252"/>
      <c r="JJ67" s="252"/>
      <c r="JK67" s="252"/>
      <c r="JL67" s="252"/>
      <c r="JM67" s="252"/>
      <c r="JN67" s="252"/>
      <c r="JO67" s="252"/>
      <c r="JP67" s="252"/>
      <c r="JQ67" s="252"/>
      <c r="JR67" s="252"/>
      <c r="JS67" s="252"/>
      <c r="JT67" s="252"/>
      <c r="JU67" s="252"/>
      <c r="JV67" s="252"/>
      <c r="JW67" s="252"/>
      <c r="JX67" s="252"/>
      <c r="JY67" s="252"/>
      <c r="JZ67" s="252"/>
      <c r="KA67" s="252"/>
      <c r="KB67" s="252"/>
      <c r="KC67" s="252"/>
      <c r="KD67" s="252"/>
      <c r="KE67" s="252"/>
      <c r="KF67" s="252"/>
      <c r="KG67" s="252"/>
      <c r="KH67" s="252"/>
      <c r="KI67" s="252"/>
      <c r="KJ67" s="252"/>
      <c r="KK67" s="252"/>
      <c r="KL67" s="252"/>
      <c r="KM67" s="252"/>
      <c r="KN67" s="252"/>
      <c r="KO67" s="252"/>
      <c r="KP67" s="252"/>
      <c r="KQ67" s="252"/>
      <c r="KR67" s="252"/>
      <c r="KS67" s="252"/>
      <c r="KT67" s="252"/>
      <c r="KU67" s="252"/>
      <c r="KV67" s="252"/>
      <c r="KW67" s="252"/>
      <c r="KX67" s="252"/>
      <c r="KY67" s="252"/>
      <c r="KZ67" s="252"/>
      <c r="LA67" s="252"/>
      <c r="LB67" s="252"/>
      <c r="LC67" s="252"/>
      <c r="LD67" s="252"/>
      <c r="LE67" s="252"/>
      <c r="LF67" s="252"/>
      <c r="LG67" s="252"/>
      <c r="LH67" s="252"/>
      <c r="LI67" s="252"/>
      <c r="LJ67" s="252"/>
      <c r="LK67" s="252"/>
      <c r="LL67" s="252"/>
      <c r="LM67" s="252"/>
      <c r="LN67" s="252"/>
      <c r="LO67" s="252"/>
      <c r="LP67" s="252"/>
      <c r="LQ67" s="252"/>
      <c r="LR67" s="252"/>
      <c r="LS67" s="252"/>
      <c r="LT67" s="252"/>
      <c r="LU67" s="252"/>
      <c r="LV67" s="252"/>
      <c r="LW67" s="252"/>
      <c r="LX67" s="252"/>
      <c r="LY67" s="252"/>
      <c r="LZ67" s="252"/>
      <c r="MA67" s="252"/>
      <c r="MB67" s="252"/>
      <c r="MC67" s="252"/>
      <c r="MD67" s="252"/>
      <c r="ME67" s="252"/>
      <c r="MF67" s="252"/>
      <c r="MG67" s="252"/>
      <c r="MH67" s="252"/>
      <c r="MI67" s="252"/>
      <c r="MJ67" s="252"/>
      <c r="MK67" s="252"/>
      <c r="ML67" s="252"/>
      <c r="MM67" s="252"/>
      <c r="MN67" s="252"/>
      <c r="MO67" s="252"/>
      <c r="MP67" s="252"/>
      <c r="MQ67" s="252"/>
      <c r="MR67" s="252"/>
      <c r="MS67" s="252"/>
      <c r="MT67" s="252"/>
      <c r="MU67" s="252"/>
      <c r="MV67" s="252"/>
      <c r="MW67" s="252"/>
      <c r="MX67" s="252"/>
      <c r="MY67" s="252"/>
      <c r="MZ67" s="252"/>
      <c r="NA67" s="252"/>
      <c r="NB67" s="252"/>
      <c r="NC67" s="252"/>
      <c r="ND67" s="252"/>
      <c r="NE67" s="252"/>
      <c r="NF67" s="252"/>
      <c r="NG67" s="252"/>
      <c r="NH67" s="252"/>
      <c r="NI67" s="252"/>
      <c r="NJ67" s="252"/>
      <c r="NK67" s="252"/>
      <c r="NL67" s="252"/>
      <c r="NM67" s="252"/>
      <c r="NN67" s="252"/>
      <c r="NO67" s="252"/>
      <c r="NP67" s="252"/>
      <c r="NQ67" s="252"/>
      <c r="NR67" s="252"/>
      <c r="NS67" s="252"/>
      <c r="NT67" s="252"/>
      <c r="NU67" s="252"/>
      <c r="NV67" s="252"/>
      <c r="NW67" s="252"/>
      <c r="NX67" s="252"/>
      <c r="NY67" s="252"/>
      <c r="NZ67" s="252"/>
      <c r="OA67" s="252"/>
      <c r="OB67" s="252"/>
      <c r="OC67" s="252"/>
      <c r="OD67" s="252"/>
      <c r="OE67" s="252"/>
      <c r="OF67" s="252"/>
      <c r="OG67" s="252"/>
      <c r="OH67" s="252"/>
      <c r="OI67" s="252"/>
      <c r="OJ67" s="252"/>
      <c r="OK67" s="252"/>
      <c r="OL67" s="252"/>
      <c r="OM67" s="252"/>
      <c r="ON67" s="252"/>
      <c r="OO67" s="252"/>
      <c r="OP67" s="252"/>
      <c r="OQ67" s="252"/>
      <c r="OR67" s="252"/>
      <c r="OS67" s="252"/>
      <c r="OT67" s="252"/>
      <c r="OU67" s="252"/>
      <c r="OV67" s="252"/>
      <c r="OW67" s="252"/>
      <c r="OX67" s="252"/>
      <c r="OY67" s="252"/>
      <c r="OZ67" s="252"/>
      <c r="PA67" s="252"/>
      <c r="PB67" s="252"/>
      <c r="PC67" s="252"/>
      <c r="PD67" s="252"/>
      <c r="PE67" s="252"/>
      <c r="PF67" s="252"/>
      <c r="PG67" s="252"/>
      <c r="PH67" s="252"/>
      <c r="PI67" s="252"/>
      <c r="PJ67" s="252"/>
      <c r="PK67" s="252"/>
      <c r="PL67" s="252"/>
      <c r="PM67" s="252"/>
      <c r="PN67" s="252"/>
      <c r="PO67" s="252"/>
      <c r="PP67" s="252"/>
      <c r="PQ67" s="252"/>
      <c r="PR67" s="252"/>
      <c r="PS67" s="252"/>
      <c r="PT67" s="252"/>
      <c r="PU67" s="252"/>
      <c r="PV67" s="252"/>
      <c r="PW67" s="252"/>
      <c r="PX67" s="252"/>
      <c r="PY67" s="252"/>
      <c r="PZ67" s="252"/>
      <c r="QA67" s="252"/>
      <c r="QB67" s="252"/>
      <c r="QC67" s="252"/>
      <c r="QD67" s="252"/>
      <c r="QE67" s="252"/>
      <c r="QF67" s="252"/>
      <c r="QG67" s="252"/>
      <c r="QH67" s="252"/>
      <c r="QI67" s="252"/>
      <c r="QJ67" s="252"/>
      <c r="QK67" s="252"/>
      <c r="QL67" s="252"/>
      <c r="QM67" s="252"/>
      <c r="QN67" s="252"/>
      <c r="QO67" s="252"/>
      <c r="QP67" s="252"/>
      <c r="QQ67" s="252"/>
      <c r="QR67" s="252"/>
      <c r="QS67" s="252"/>
      <c r="QT67" s="252"/>
      <c r="QU67" s="252"/>
      <c r="QV67" s="252"/>
      <c r="QW67" s="252"/>
      <c r="QX67" s="252"/>
      <c r="QY67" s="252"/>
      <c r="QZ67" s="252"/>
      <c r="RA67" s="252"/>
      <c r="RB67" s="252"/>
      <c r="RC67" s="252"/>
      <c r="RD67" s="252"/>
      <c r="RE67" s="252"/>
      <c r="RF67" s="252"/>
      <c r="RG67" s="252"/>
      <c r="RH67" s="252"/>
      <c r="RI67" s="252"/>
      <c r="RJ67" s="252"/>
      <c r="RK67" s="252"/>
      <c r="RL67" s="252"/>
      <c r="RM67" s="252"/>
      <c r="RN67" s="252"/>
      <c r="RO67" s="252"/>
      <c r="RP67" s="252"/>
      <c r="RQ67" s="252"/>
      <c r="RR67" s="252"/>
      <c r="RS67" s="252"/>
      <c r="RT67" s="252"/>
      <c r="RU67" s="252"/>
      <c r="RV67" s="252"/>
      <c r="RW67" s="252"/>
      <c r="RX67" s="252"/>
      <c r="RY67" s="252"/>
      <c r="RZ67" s="252"/>
      <c r="SA67" s="252"/>
      <c r="SB67" s="252"/>
      <c r="SC67" s="252"/>
      <c r="SD67" s="252"/>
      <c r="SE67" s="252"/>
      <c r="SF67" s="252"/>
      <c r="SG67" s="252"/>
      <c r="SH67" s="252"/>
      <c r="SI67" s="252"/>
      <c r="SJ67" s="252"/>
      <c r="SK67" s="252"/>
      <c r="SL67" s="252"/>
      <c r="SM67" s="252"/>
      <c r="SN67" s="252"/>
      <c r="SO67" s="252"/>
      <c r="SP67" s="252"/>
      <c r="SQ67" s="252"/>
      <c r="SR67" s="252"/>
      <c r="SS67" s="252"/>
      <c r="ST67" s="252"/>
      <c r="SU67" s="252"/>
      <c r="SV67" s="252"/>
      <c r="SW67" s="252"/>
      <c r="SX67" s="252"/>
      <c r="SY67" s="252"/>
      <c r="SZ67" s="252"/>
      <c r="TA67" s="252"/>
      <c r="TB67" s="252"/>
      <c r="TC67" s="252"/>
      <c r="TD67" s="252"/>
      <c r="TE67" s="252"/>
      <c r="TF67" s="252"/>
      <c r="TG67" s="252"/>
      <c r="TH67" s="252"/>
      <c r="TI67" s="252"/>
      <c r="TJ67" s="252"/>
      <c r="TK67" s="252"/>
      <c r="TL67" s="252"/>
      <c r="TM67" s="252"/>
      <c r="TN67" s="252"/>
      <c r="TO67" s="252"/>
      <c r="TP67" s="252"/>
      <c r="TQ67" s="252"/>
      <c r="TR67" s="252"/>
      <c r="TS67" s="252"/>
      <c r="TT67" s="252"/>
      <c r="TU67" s="252"/>
      <c r="TV67" s="252"/>
      <c r="TW67" s="252"/>
      <c r="TX67" s="252"/>
      <c r="TY67" s="252"/>
      <c r="TZ67" s="252"/>
      <c r="UA67" s="252"/>
      <c r="UB67" s="252"/>
      <c r="UC67" s="252"/>
      <c r="UD67" s="252"/>
      <c r="UE67" s="252"/>
      <c r="UF67" s="252"/>
      <c r="UG67" s="252"/>
      <c r="UH67" s="252"/>
      <c r="UI67" s="252"/>
      <c r="UJ67" s="252"/>
      <c r="UK67" s="252"/>
      <c r="UL67" s="252"/>
      <c r="UM67" s="252"/>
      <c r="UN67" s="252"/>
      <c r="UO67" s="252"/>
      <c r="UP67" s="252"/>
      <c r="UQ67" s="252"/>
      <c r="UR67" s="252"/>
      <c r="US67" s="252"/>
      <c r="UT67" s="252"/>
      <c r="UU67" s="252"/>
      <c r="UV67" s="252"/>
      <c r="UW67" s="252"/>
      <c r="UX67" s="252"/>
      <c r="UY67" s="252"/>
      <c r="UZ67" s="252"/>
      <c r="VA67" s="252"/>
      <c r="VB67" s="252"/>
      <c r="VC67" s="252"/>
      <c r="VD67" s="252"/>
      <c r="VE67" s="252"/>
      <c r="VF67" s="252"/>
      <c r="VG67" s="252"/>
      <c r="VH67" s="252"/>
      <c r="VI67" s="252"/>
      <c r="VJ67" s="252"/>
      <c r="VK67" s="252"/>
      <c r="VL67" s="252"/>
      <c r="VM67" s="252"/>
      <c r="VN67" s="252"/>
      <c r="VO67" s="252"/>
      <c r="VP67" s="252"/>
      <c r="VQ67" s="252"/>
      <c r="VR67" s="252"/>
      <c r="VS67" s="252"/>
      <c r="VT67" s="252"/>
      <c r="VU67" s="252"/>
      <c r="VV67" s="252"/>
      <c r="VW67" s="252"/>
      <c r="VX67" s="252"/>
      <c r="VY67" s="252"/>
      <c r="VZ67" s="252"/>
      <c r="WA67" s="252"/>
      <c r="WB67" s="252"/>
      <c r="WC67" s="252"/>
      <c r="WD67" s="252"/>
      <c r="WE67" s="252"/>
      <c r="WF67" s="252"/>
      <c r="WG67" s="252"/>
      <c r="WH67" s="252"/>
      <c r="WI67" s="252"/>
      <c r="WJ67" s="252"/>
      <c r="WK67" s="252"/>
      <c r="WL67" s="252"/>
      <c r="WM67" s="252"/>
      <c r="WN67" s="252"/>
      <c r="WO67" s="252"/>
      <c r="WP67" s="252"/>
      <c r="WQ67" s="252"/>
      <c r="WR67" s="252"/>
      <c r="WS67" s="252"/>
      <c r="WT67" s="252"/>
      <c r="WU67" s="252"/>
      <c r="WV67" s="252"/>
      <c r="WW67" s="252"/>
      <c r="WX67" s="252"/>
      <c r="WY67" s="252"/>
      <c r="WZ67" s="252"/>
      <c r="XA67" s="252"/>
      <c r="XB67" s="252"/>
      <c r="XC67" s="252"/>
      <c r="XD67" s="252"/>
      <c r="XE67" s="252"/>
      <c r="XF67" s="252"/>
      <c r="XG67" s="252"/>
      <c r="XH67" s="252"/>
      <c r="XI67" s="252"/>
      <c r="XJ67" s="252"/>
      <c r="XK67" s="252"/>
      <c r="XL67" s="252"/>
      <c r="XM67" s="252"/>
      <c r="XN67" s="252"/>
      <c r="XO67" s="252"/>
      <c r="XP67" s="252"/>
      <c r="XQ67" s="252"/>
      <c r="XR67" s="252"/>
      <c r="XS67" s="252"/>
      <c r="XT67" s="252"/>
      <c r="XU67" s="252"/>
      <c r="XV67" s="252"/>
      <c r="XW67" s="252"/>
      <c r="XX67" s="252"/>
      <c r="XY67" s="252"/>
      <c r="XZ67" s="252"/>
      <c r="YA67" s="252"/>
      <c r="YB67" s="252"/>
      <c r="YC67" s="252"/>
      <c r="YD67" s="252"/>
      <c r="YE67" s="252"/>
      <c r="YF67" s="252"/>
      <c r="YG67" s="252"/>
      <c r="YH67" s="252"/>
      <c r="YI67" s="252"/>
      <c r="YJ67" s="252"/>
      <c r="YK67" s="252"/>
      <c r="YL67" s="252"/>
      <c r="YM67" s="252"/>
      <c r="YN67" s="252"/>
      <c r="YO67" s="252"/>
      <c r="YP67" s="252"/>
      <c r="YQ67" s="252"/>
      <c r="YR67" s="252"/>
      <c r="YS67" s="252"/>
      <c r="YT67" s="252"/>
      <c r="YU67" s="252"/>
      <c r="YV67" s="252"/>
      <c r="YW67" s="252"/>
      <c r="YX67" s="252"/>
      <c r="YY67" s="252"/>
      <c r="YZ67" s="252"/>
      <c r="ZA67" s="252"/>
      <c r="ZB67" s="252"/>
      <c r="ZC67" s="252"/>
      <c r="ZD67" s="252"/>
      <c r="ZE67" s="252"/>
      <c r="ZF67" s="252"/>
      <c r="ZG67" s="252"/>
      <c r="ZH67" s="252"/>
      <c r="ZI67" s="252"/>
      <c r="ZJ67" s="252"/>
      <c r="ZK67" s="252"/>
      <c r="ZL67" s="252"/>
      <c r="ZM67" s="252"/>
      <c r="ZN67" s="252"/>
      <c r="ZO67" s="252"/>
      <c r="ZP67" s="252"/>
      <c r="ZQ67" s="252"/>
      <c r="ZR67" s="252"/>
      <c r="ZS67" s="252"/>
      <c r="ZT67" s="252"/>
      <c r="ZU67" s="252"/>
      <c r="ZV67" s="252"/>
      <c r="ZW67" s="252"/>
      <c r="ZX67" s="252"/>
      <c r="ZY67" s="252"/>
      <c r="ZZ67" s="252"/>
      <c r="AAA67" s="252"/>
      <c r="AAB67" s="252"/>
      <c r="AAC67" s="252"/>
      <c r="AAD67" s="252"/>
      <c r="AAE67" s="252"/>
      <c r="AAF67" s="252"/>
      <c r="AAG67" s="252"/>
      <c r="AAH67" s="252"/>
      <c r="AAI67" s="252"/>
      <c r="AAJ67" s="252"/>
      <c r="AAK67" s="252"/>
      <c r="AAL67" s="252"/>
      <c r="AAM67" s="252"/>
      <c r="AAN67" s="252"/>
      <c r="AAO67" s="252"/>
      <c r="AAP67" s="252"/>
      <c r="AAQ67" s="252"/>
      <c r="AAR67" s="252"/>
      <c r="AAS67" s="252"/>
      <c r="AAT67" s="252"/>
      <c r="AAU67" s="252"/>
      <c r="AAV67" s="252"/>
      <c r="AAW67" s="252"/>
      <c r="AAX67" s="252"/>
      <c r="AAY67" s="252"/>
      <c r="AAZ67" s="252"/>
      <c r="ABA67" s="252"/>
      <c r="ABB67" s="252"/>
      <c r="ABC67" s="252"/>
      <c r="ABD67" s="252"/>
      <c r="ABE67" s="252"/>
      <c r="ABF67" s="252"/>
      <c r="ABG67" s="252"/>
      <c r="ABH67" s="252"/>
      <c r="ABI67" s="252"/>
      <c r="ABJ67" s="252"/>
      <c r="ABK67" s="252"/>
      <c r="ABL67" s="252"/>
      <c r="ABM67" s="252"/>
      <c r="ABN67" s="252"/>
      <c r="ABO67" s="252"/>
      <c r="ABP67" s="252"/>
      <c r="ABQ67" s="252"/>
      <c r="ABR67" s="252"/>
      <c r="ABS67" s="252"/>
      <c r="ABT67" s="252"/>
      <c r="ABU67" s="252"/>
      <c r="ABV67" s="252"/>
      <c r="ABW67" s="252"/>
      <c r="ABX67" s="252"/>
      <c r="ABY67" s="252"/>
      <c r="ABZ67" s="252"/>
      <c r="ACA67" s="252"/>
      <c r="ACB67" s="252"/>
      <c r="ACC67" s="252"/>
      <c r="ACD67" s="252"/>
      <c r="ACE67" s="252"/>
      <c r="ACF67" s="252"/>
      <c r="ACG67" s="252"/>
      <c r="ACH67" s="252"/>
      <c r="ACI67" s="252"/>
      <c r="ACJ67" s="252"/>
      <c r="ACK67" s="252"/>
      <c r="ACL67" s="252"/>
      <c r="ACM67" s="252"/>
      <c r="ACN67" s="252"/>
      <c r="ACO67" s="252"/>
      <c r="ACP67" s="252"/>
      <c r="ACQ67" s="252"/>
      <c r="ACR67" s="252"/>
      <c r="ACS67" s="252"/>
      <c r="ACT67" s="252"/>
      <c r="ACU67" s="252"/>
      <c r="ACV67" s="252"/>
      <c r="ACW67" s="252"/>
      <c r="ACX67" s="252"/>
      <c r="ACY67" s="252"/>
      <c r="ACZ67" s="252"/>
      <c r="ADA67" s="252"/>
      <c r="ADB67" s="252"/>
      <c r="ADC67" s="252"/>
      <c r="ADD67" s="252"/>
      <c r="ADE67" s="252"/>
      <c r="ADF67" s="252"/>
      <c r="ADG67" s="252"/>
      <c r="ADH67" s="252"/>
      <c r="ADI67" s="252"/>
      <c r="ADJ67" s="252"/>
      <c r="ADK67" s="252"/>
      <c r="ADL67" s="252"/>
      <c r="ADM67" s="252"/>
      <c r="ADN67" s="252"/>
      <c r="ADO67" s="252"/>
      <c r="ADP67" s="252"/>
      <c r="ADQ67" s="252"/>
      <c r="ADR67" s="252"/>
      <c r="ADS67" s="252"/>
      <c r="ADT67" s="252"/>
      <c r="ADU67" s="252"/>
      <c r="ADV67" s="252"/>
      <c r="ADW67" s="252"/>
      <c r="ADX67" s="252"/>
      <c r="ADY67" s="252"/>
      <c r="ADZ67" s="252"/>
      <c r="AEA67" s="252"/>
      <c r="AEB67" s="252"/>
      <c r="AEC67" s="252"/>
      <c r="AED67" s="252"/>
      <c r="AEE67" s="252"/>
      <c r="AEF67" s="252"/>
      <c r="AEG67" s="252"/>
      <c r="AEH67" s="252"/>
      <c r="AEI67" s="252"/>
      <c r="AEJ67" s="252"/>
      <c r="AEK67" s="252"/>
      <c r="AEL67" s="252"/>
      <c r="AEM67" s="252"/>
      <c r="AEN67" s="252"/>
      <c r="AEO67" s="252"/>
      <c r="AEP67" s="252"/>
      <c r="AEQ67" s="252"/>
      <c r="AER67" s="252"/>
      <c r="AES67" s="252"/>
      <c r="AET67" s="252"/>
      <c r="AEU67" s="252"/>
      <c r="AEV67" s="252"/>
      <c r="AEW67" s="252"/>
      <c r="AEX67" s="252"/>
      <c r="AEY67" s="252"/>
      <c r="AEZ67" s="252"/>
      <c r="AFA67" s="252"/>
      <c r="AFB67" s="252"/>
      <c r="AFC67" s="252"/>
      <c r="AFD67" s="252"/>
      <c r="AFE67" s="252"/>
      <c r="AFF67" s="252"/>
      <c r="AFG67" s="252"/>
      <c r="AFH67" s="252"/>
      <c r="AFI67" s="252"/>
      <c r="AFJ67" s="252"/>
      <c r="AFK67" s="252"/>
      <c r="AFL67" s="252"/>
      <c r="AFM67" s="252"/>
      <c r="AFN67" s="252"/>
      <c r="AFO67" s="252"/>
      <c r="AFP67" s="252"/>
      <c r="AFQ67" s="252"/>
      <c r="AFR67" s="252"/>
      <c r="AFS67" s="252"/>
      <c r="AFT67" s="252"/>
      <c r="AFU67" s="252"/>
      <c r="AFV67" s="252"/>
      <c r="AFW67" s="252"/>
      <c r="AFX67" s="252"/>
      <c r="AFY67" s="252"/>
      <c r="AFZ67" s="252"/>
      <c r="AGA67" s="252"/>
      <c r="AGB67" s="252"/>
      <c r="AGC67" s="252"/>
      <c r="AGD67" s="252"/>
      <c r="AGE67" s="252"/>
      <c r="AGF67" s="252"/>
      <c r="AGG67" s="252"/>
      <c r="AGH67" s="252"/>
      <c r="AGI67" s="252"/>
      <c r="AGJ67" s="252"/>
      <c r="AGK67" s="252"/>
      <c r="AGL67" s="252"/>
      <c r="AGM67" s="252"/>
      <c r="AGN67" s="252"/>
      <c r="AGO67" s="252"/>
      <c r="AGP67" s="252"/>
      <c r="AGQ67" s="252"/>
      <c r="AGR67" s="252"/>
      <c r="AGS67" s="252"/>
      <c r="AGT67" s="252"/>
      <c r="AGU67" s="252"/>
      <c r="AGV67" s="252"/>
      <c r="AGW67" s="252"/>
      <c r="AGX67" s="252"/>
      <c r="AGY67" s="252"/>
      <c r="AGZ67" s="252"/>
      <c r="AHA67" s="252"/>
      <c r="AHB67" s="252"/>
      <c r="AHC67" s="252"/>
      <c r="AHD67" s="252"/>
      <c r="AHE67" s="252"/>
      <c r="AHF67" s="252"/>
      <c r="AHG67" s="252"/>
      <c r="AHH67" s="252"/>
      <c r="AHI67" s="252"/>
      <c r="AHJ67" s="252"/>
      <c r="AHK67" s="252"/>
      <c r="AHL67" s="252"/>
      <c r="AHM67" s="252"/>
      <c r="AHN67" s="252"/>
      <c r="AHO67" s="252"/>
      <c r="AHP67" s="252"/>
      <c r="AHQ67" s="252"/>
      <c r="AHR67" s="252"/>
      <c r="AHS67" s="252"/>
      <c r="AHT67" s="252"/>
      <c r="AHU67" s="252"/>
      <c r="AHV67" s="252"/>
      <c r="AHW67" s="252"/>
      <c r="AHX67" s="252"/>
      <c r="AHY67" s="252"/>
      <c r="AHZ67" s="252"/>
      <c r="AIA67" s="252"/>
      <c r="AIB67" s="252"/>
      <c r="AIC67" s="252"/>
      <c r="AID67" s="252"/>
      <c r="AIE67" s="252"/>
      <c r="AIF67" s="252"/>
      <c r="AIG67" s="252"/>
      <c r="AIH67" s="252"/>
      <c r="AII67" s="252"/>
      <c r="AIJ67" s="252"/>
      <c r="AIK67" s="252"/>
      <c r="AIL67" s="252"/>
      <c r="AIM67" s="252"/>
      <c r="AIN67" s="252"/>
      <c r="AIO67" s="252"/>
      <c r="AIP67" s="252"/>
      <c r="AIQ67" s="252"/>
      <c r="AIR67" s="252"/>
      <c r="AIS67" s="252"/>
      <c r="AIT67" s="252"/>
      <c r="AIU67" s="252"/>
      <c r="AIV67" s="252"/>
      <c r="AIW67" s="252"/>
      <c r="AIX67" s="252"/>
      <c r="AIY67" s="252"/>
      <c r="AIZ67" s="252"/>
      <c r="AJA67" s="252"/>
      <c r="AJB67" s="252"/>
      <c r="AJC67" s="252"/>
      <c r="AJD67" s="252"/>
      <c r="AJE67" s="252"/>
      <c r="AJF67" s="252"/>
      <c r="AJG67" s="252"/>
      <c r="AJH67" s="252"/>
      <c r="AJI67" s="252"/>
      <c r="AJJ67" s="252"/>
      <c r="AJK67" s="252"/>
      <c r="AJL67" s="252"/>
      <c r="AJM67" s="252"/>
      <c r="AJN67" s="252"/>
      <c r="AJO67" s="252"/>
      <c r="AJP67" s="252"/>
      <c r="AJQ67" s="252"/>
      <c r="AJR67" s="252"/>
      <c r="AJS67" s="252"/>
      <c r="AJT67" s="252"/>
      <c r="AJU67" s="252"/>
      <c r="AJV67" s="252"/>
      <c r="AJW67" s="252"/>
      <c r="AJX67" s="252"/>
      <c r="AJY67" s="252"/>
      <c r="AJZ67" s="252"/>
      <c r="AKA67" s="252"/>
      <c r="AKB67" s="252"/>
      <c r="AKC67" s="252"/>
      <c r="AKD67" s="252"/>
      <c r="AKE67" s="252"/>
      <c r="AKF67" s="252"/>
      <c r="AKG67" s="252"/>
      <c r="AKH67" s="252"/>
      <c r="AKI67" s="252"/>
      <c r="AKJ67" s="252"/>
      <c r="AKK67" s="252"/>
      <c r="AKL67" s="252"/>
      <c r="AKM67" s="252"/>
      <c r="AKN67" s="252"/>
      <c r="AKO67" s="252"/>
      <c r="AKP67" s="252"/>
      <c r="AKQ67" s="252"/>
      <c r="AKR67" s="252"/>
      <c r="AKS67" s="252"/>
      <c r="AKT67" s="252"/>
      <c r="AKU67" s="252"/>
      <c r="AKV67" s="252"/>
      <c r="AKW67" s="252"/>
      <c r="AKX67" s="252"/>
      <c r="AKY67" s="252"/>
      <c r="AKZ67" s="252"/>
      <c r="ALA67" s="252"/>
      <c r="ALB67" s="252"/>
      <c r="ALC67" s="252"/>
      <c r="ALD67" s="252"/>
      <c r="ALE67" s="252"/>
      <c r="ALF67" s="252"/>
      <c r="ALG67" s="252"/>
      <c r="ALH67" s="252"/>
      <c r="ALI67" s="252"/>
      <c r="ALJ67" s="252"/>
      <c r="ALK67" s="252"/>
      <c r="ALL67" s="252"/>
      <c r="ALM67" s="252"/>
      <c r="ALN67" s="252"/>
      <c r="ALO67" s="252"/>
      <c r="ALP67" s="252"/>
      <c r="ALQ67" s="252"/>
      <c r="ALR67" s="252"/>
      <c r="ALS67" s="252"/>
    </row>
    <row r="68" spans="1:1007" s="3" customFormat="1" x14ac:dyDescent="0.2">
      <c r="A68" s="749" t="s">
        <v>289</v>
      </c>
      <c r="B68" s="392">
        <v>950</v>
      </c>
      <c r="C68" s="392">
        <v>900</v>
      </c>
      <c r="D68" s="417">
        <v>850</v>
      </c>
      <c r="E68" s="744">
        <v>800</v>
      </c>
      <c r="F68" s="730"/>
      <c r="G68" s="730"/>
      <c r="H68" s="730"/>
      <c r="I68" s="730"/>
      <c r="J68" s="252"/>
      <c r="K68" s="252"/>
      <c r="L68" s="252"/>
      <c r="M68" s="252"/>
      <c r="N68" s="252"/>
      <c r="O68" s="252"/>
      <c r="P68" s="252"/>
      <c r="Q68" s="252"/>
      <c r="R68" s="252"/>
      <c r="S68" s="252"/>
      <c r="T68" s="252"/>
      <c r="U68" s="252"/>
      <c r="V68" s="252"/>
      <c r="W68" s="252"/>
      <c r="X68" s="252"/>
      <c r="Y68" s="252"/>
      <c r="Z68" s="252"/>
      <c r="AA68" s="252"/>
      <c r="AB68" s="252"/>
      <c r="AC68" s="252"/>
      <c r="AD68" s="252"/>
      <c r="AE68" s="252"/>
      <c r="AF68" s="252"/>
      <c r="AG68" s="252"/>
      <c r="AH68" s="252"/>
      <c r="AI68" s="252"/>
      <c r="AJ68" s="252"/>
      <c r="AK68" s="252"/>
      <c r="AL68" s="252"/>
      <c r="AM68" s="252"/>
      <c r="AN68" s="252"/>
      <c r="AO68" s="252"/>
      <c r="AP68" s="252"/>
      <c r="AQ68" s="252"/>
      <c r="AR68" s="252"/>
      <c r="AS68" s="252"/>
      <c r="AT68" s="252"/>
      <c r="AU68" s="252"/>
      <c r="AV68" s="252"/>
      <c r="AW68" s="252"/>
      <c r="AX68" s="252"/>
      <c r="AY68" s="252"/>
      <c r="AZ68" s="252"/>
      <c r="BA68" s="252"/>
      <c r="BB68" s="252"/>
      <c r="BC68" s="252"/>
      <c r="BD68" s="252"/>
      <c r="BE68" s="252"/>
      <c r="BF68" s="252"/>
      <c r="BG68" s="252"/>
      <c r="BH68" s="252"/>
      <c r="BI68" s="252"/>
      <c r="BJ68" s="252"/>
      <c r="BK68" s="252"/>
      <c r="BL68" s="252"/>
      <c r="BM68" s="252"/>
      <c r="BN68" s="252"/>
      <c r="BO68" s="252"/>
      <c r="BP68" s="252"/>
      <c r="BQ68" s="252"/>
      <c r="BR68" s="252"/>
      <c r="BS68" s="252"/>
      <c r="BT68" s="252"/>
      <c r="BU68" s="252"/>
      <c r="BV68" s="252"/>
      <c r="BW68" s="252"/>
      <c r="BX68" s="252"/>
      <c r="BY68" s="252"/>
      <c r="BZ68" s="252"/>
      <c r="CA68" s="252"/>
      <c r="CB68" s="252"/>
      <c r="CC68" s="252"/>
      <c r="CD68" s="252"/>
      <c r="CE68" s="252"/>
      <c r="CF68" s="252"/>
      <c r="CG68" s="252"/>
      <c r="CH68" s="252"/>
      <c r="CI68" s="252"/>
      <c r="CJ68" s="252"/>
      <c r="CK68" s="252"/>
      <c r="CL68" s="252"/>
      <c r="CM68" s="252"/>
      <c r="CN68" s="252"/>
      <c r="CO68" s="252"/>
      <c r="CP68" s="252"/>
      <c r="CQ68" s="252"/>
      <c r="CR68" s="252"/>
      <c r="CS68" s="252"/>
      <c r="CT68" s="252"/>
      <c r="CU68" s="252"/>
      <c r="CV68" s="252"/>
      <c r="CW68" s="252"/>
      <c r="CX68" s="252"/>
      <c r="CY68" s="252"/>
      <c r="CZ68" s="252"/>
      <c r="DA68" s="252"/>
      <c r="DB68" s="252"/>
      <c r="DC68" s="252"/>
      <c r="DD68" s="252"/>
      <c r="DE68" s="252"/>
      <c r="DF68" s="252"/>
      <c r="DG68" s="252"/>
      <c r="DH68" s="252"/>
      <c r="DI68" s="252"/>
      <c r="DJ68" s="252"/>
      <c r="DK68" s="252"/>
      <c r="DL68" s="252"/>
      <c r="DM68" s="252"/>
      <c r="DN68" s="252"/>
      <c r="DO68" s="252"/>
      <c r="DP68" s="252"/>
      <c r="DQ68" s="252"/>
      <c r="DR68" s="252"/>
      <c r="DS68" s="252"/>
      <c r="DT68" s="252"/>
      <c r="DU68" s="252"/>
      <c r="DV68" s="252"/>
      <c r="DW68" s="252"/>
      <c r="DX68" s="252"/>
      <c r="DY68" s="252"/>
      <c r="DZ68" s="252"/>
      <c r="EA68" s="252"/>
      <c r="EB68" s="252"/>
      <c r="EC68" s="252"/>
      <c r="ED68" s="252"/>
      <c r="EE68" s="252"/>
      <c r="EF68" s="252"/>
      <c r="EG68" s="252"/>
      <c r="EH68" s="252"/>
      <c r="EI68" s="252"/>
      <c r="EJ68" s="252"/>
      <c r="EK68" s="252"/>
      <c r="EL68" s="252"/>
      <c r="EM68" s="252"/>
      <c r="EN68" s="252"/>
      <c r="EO68" s="252"/>
      <c r="EP68" s="252"/>
      <c r="EQ68" s="252"/>
      <c r="ER68" s="252"/>
      <c r="ES68" s="252"/>
      <c r="ET68" s="252"/>
      <c r="EU68" s="252"/>
      <c r="EV68" s="252"/>
      <c r="EW68" s="252"/>
      <c r="EX68" s="252"/>
      <c r="EY68" s="252"/>
      <c r="EZ68" s="252"/>
      <c r="FA68" s="252"/>
      <c r="FB68" s="252"/>
      <c r="FC68" s="252"/>
      <c r="FD68" s="252"/>
      <c r="FE68" s="252"/>
      <c r="FF68" s="252"/>
      <c r="FG68" s="252"/>
      <c r="FH68" s="252"/>
      <c r="FI68" s="252"/>
      <c r="FJ68" s="252"/>
      <c r="FK68" s="252"/>
      <c r="FL68" s="252"/>
      <c r="FM68" s="252"/>
      <c r="FN68" s="252"/>
      <c r="FO68" s="252"/>
      <c r="FP68" s="252"/>
      <c r="FQ68" s="252"/>
      <c r="FR68" s="252"/>
      <c r="FS68" s="252"/>
      <c r="FT68" s="252"/>
      <c r="FU68" s="252"/>
      <c r="FV68" s="252"/>
      <c r="FW68" s="252"/>
      <c r="FX68" s="252"/>
      <c r="FY68" s="252"/>
      <c r="FZ68" s="252"/>
      <c r="GA68" s="252"/>
      <c r="GB68" s="252"/>
      <c r="GC68" s="252"/>
      <c r="GD68" s="252"/>
      <c r="GE68" s="252"/>
      <c r="GF68" s="252"/>
      <c r="GG68" s="252"/>
      <c r="GH68" s="252"/>
      <c r="GI68" s="252"/>
      <c r="GJ68" s="252"/>
      <c r="GK68" s="252"/>
      <c r="GL68" s="252"/>
      <c r="GM68" s="252"/>
      <c r="GN68" s="252"/>
      <c r="GO68" s="252"/>
      <c r="GP68" s="252"/>
      <c r="GQ68" s="252"/>
      <c r="GR68" s="252"/>
      <c r="GS68" s="252"/>
      <c r="GT68" s="252"/>
      <c r="GU68" s="252"/>
      <c r="GV68" s="252"/>
      <c r="GW68" s="252"/>
      <c r="GX68" s="252"/>
      <c r="GY68" s="252"/>
      <c r="GZ68" s="252"/>
      <c r="HA68" s="252"/>
      <c r="HB68" s="252"/>
      <c r="HC68" s="252"/>
      <c r="HD68" s="252"/>
      <c r="HE68" s="252"/>
      <c r="HF68" s="252"/>
      <c r="HG68" s="252"/>
      <c r="HH68" s="252"/>
      <c r="HI68" s="252"/>
      <c r="HJ68" s="252"/>
      <c r="HK68" s="252"/>
      <c r="HL68" s="252"/>
      <c r="HM68" s="252"/>
      <c r="HN68" s="252"/>
      <c r="HO68" s="252"/>
      <c r="HP68" s="252"/>
      <c r="HQ68" s="252"/>
      <c r="HR68" s="252"/>
      <c r="HS68" s="252"/>
      <c r="HT68" s="252"/>
      <c r="HU68" s="252"/>
      <c r="HV68" s="252"/>
      <c r="HW68" s="252"/>
      <c r="HX68" s="252"/>
      <c r="HY68" s="252"/>
      <c r="HZ68" s="252"/>
      <c r="IA68" s="252"/>
      <c r="IB68" s="252"/>
      <c r="IC68" s="252"/>
      <c r="ID68" s="252"/>
      <c r="IE68" s="252"/>
      <c r="IF68" s="252"/>
      <c r="IG68" s="252"/>
      <c r="IH68" s="252"/>
      <c r="II68" s="252"/>
      <c r="IJ68" s="252"/>
      <c r="IK68" s="252"/>
      <c r="IL68" s="252"/>
      <c r="IM68" s="252"/>
      <c r="IN68" s="252"/>
      <c r="IO68" s="252"/>
      <c r="IP68" s="252"/>
      <c r="IQ68" s="252"/>
      <c r="IR68" s="252"/>
      <c r="IS68" s="252"/>
      <c r="IT68" s="252"/>
      <c r="IU68" s="252"/>
      <c r="IV68" s="252"/>
      <c r="IW68" s="252"/>
      <c r="IX68" s="252"/>
      <c r="IY68" s="252"/>
      <c r="IZ68" s="252"/>
      <c r="JA68" s="252"/>
      <c r="JB68" s="252"/>
      <c r="JC68" s="252"/>
      <c r="JD68" s="252"/>
      <c r="JE68" s="252"/>
      <c r="JF68" s="252"/>
      <c r="JG68" s="252"/>
      <c r="JH68" s="252"/>
      <c r="JI68" s="252"/>
      <c r="JJ68" s="252"/>
      <c r="JK68" s="252"/>
      <c r="JL68" s="252"/>
      <c r="JM68" s="252"/>
      <c r="JN68" s="252"/>
      <c r="JO68" s="252"/>
      <c r="JP68" s="252"/>
      <c r="JQ68" s="252"/>
      <c r="JR68" s="252"/>
      <c r="JS68" s="252"/>
      <c r="JT68" s="252"/>
      <c r="JU68" s="252"/>
      <c r="JV68" s="252"/>
      <c r="JW68" s="252"/>
      <c r="JX68" s="252"/>
      <c r="JY68" s="252"/>
      <c r="JZ68" s="252"/>
      <c r="KA68" s="252"/>
      <c r="KB68" s="252"/>
      <c r="KC68" s="252"/>
      <c r="KD68" s="252"/>
      <c r="KE68" s="252"/>
      <c r="KF68" s="252"/>
      <c r="KG68" s="252"/>
      <c r="KH68" s="252"/>
      <c r="KI68" s="252"/>
      <c r="KJ68" s="252"/>
      <c r="KK68" s="252"/>
      <c r="KL68" s="252"/>
      <c r="KM68" s="252"/>
      <c r="KN68" s="252"/>
      <c r="KO68" s="252"/>
      <c r="KP68" s="252"/>
      <c r="KQ68" s="252"/>
      <c r="KR68" s="252"/>
      <c r="KS68" s="252"/>
      <c r="KT68" s="252"/>
      <c r="KU68" s="252"/>
      <c r="KV68" s="252"/>
      <c r="KW68" s="252"/>
      <c r="KX68" s="252"/>
      <c r="KY68" s="252"/>
      <c r="KZ68" s="252"/>
      <c r="LA68" s="252"/>
      <c r="LB68" s="252"/>
      <c r="LC68" s="252"/>
      <c r="LD68" s="252"/>
      <c r="LE68" s="252"/>
      <c r="LF68" s="252"/>
      <c r="LG68" s="252"/>
      <c r="LH68" s="252"/>
      <c r="LI68" s="252"/>
      <c r="LJ68" s="252"/>
      <c r="LK68" s="252"/>
      <c r="LL68" s="252"/>
      <c r="LM68" s="252"/>
      <c r="LN68" s="252"/>
      <c r="LO68" s="252"/>
      <c r="LP68" s="252"/>
      <c r="LQ68" s="252"/>
      <c r="LR68" s="252"/>
      <c r="LS68" s="252"/>
      <c r="LT68" s="252"/>
      <c r="LU68" s="252"/>
      <c r="LV68" s="252"/>
      <c r="LW68" s="252"/>
      <c r="LX68" s="252"/>
      <c r="LY68" s="252"/>
      <c r="LZ68" s="252"/>
      <c r="MA68" s="252"/>
      <c r="MB68" s="252"/>
      <c r="MC68" s="252"/>
      <c r="MD68" s="252"/>
      <c r="ME68" s="252"/>
      <c r="MF68" s="252"/>
      <c r="MG68" s="252"/>
      <c r="MH68" s="252"/>
      <c r="MI68" s="252"/>
      <c r="MJ68" s="252"/>
      <c r="MK68" s="252"/>
      <c r="ML68" s="252"/>
      <c r="MM68" s="252"/>
      <c r="MN68" s="252"/>
      <c r="MO68" s="252"/>
      <c r="MP68" s="252"/>
      <c r="MQ68" s="252"/>
      <c r="MR68" s="252"/>
      <c r="MS68" s="252"/>
      <c r="MT68" s="252"/>
      <c r="MU68" s="252"/>
      <c r="MV68" s="252"/>
      <c r="MW68" s="252"/>
      <c r="MX68" s="252"/>
      <c r="MY68" s="252"/>
      <c r="MZ68" s="252"/>
      <c r="NA68" s="252"/>
      <c r="NB68" s="252"/>
      <c r="NC68" s="252"/>
      <c r="ND68" s="252"/>
      <c r="NE68" s="252"/>
      <c r="NF68" s="252"/>
      <c r="NG68" s="252"/>
      <c r="NH68" s="252"/>
      <c r="NI68" s="252"/>
      <c r="NJ68" s="252"/>
      <c r="NK68" s="252"/>
      <c r="NL68" s="252"/>
      <c r="NM68" s="252"/>
      <c r="NN68" s="252"/>
      <c r="NO68" s="252"/>
      <c r="NP68" s="252"/>
      <c r="NQ68" s="252"/>
      <c r="NR68" s="252"/>
      <c r="NS68" s="252"/>
      <c r="NT68" s="252"/>
      <c r="NU68" s="252"/>
      <c r="NV68" s="252"/>
      <c r="NW68" s="252"/>
      <c r="NX68" s="252"/>
      <c r="NY68" s="252"/>
      <c r="NZ68" s="252"/>
      <c r="OA68" s="252"/>
      <c r="OB68" s="252"/>
      <c r="OC68" s="252"/>
      <c r="OD68" s="252"/>
      <c r="OE68" s="252"/>
      <c r="OF68" s="252"/>
      <c r="OG68" s="252"/>
      <c r="OH68" s="252"/>
      <c r="OI68" s="252"/>
      <c r="OJ68" s="252"/>
      <c r="OK68" s="252"/>
      <c r="OL68" s="252"/>
      <c r="OM68" s="252"/>
      <c r="ON68" s="252"/>
      <c r="OO68" s="252"/>
      <c r="OP68" s="252"/>
      <c r="OQ68" s="252"/>
      <c r="OR68" s="252"/>
      <c r="OS68" s="252"/>
      <c r="OT68" s="252"/>
      <c r="OU68" s="252"/>
      <c r="OV68" s="252"/>
      <c r="OW68" s="252"/>
      <c r="OX68" s="252"/>
      <c r="OY68" s="252"/>
      <c r="OZ68" s="252"/>
      <c r="PA68" s="252"/>
      <c r="PB68" s="252"/>
      <c r="PC68" s="252"/>
      <c r="PD68" s="252"/>
      <c r="PE68" s="252"/>
      <c r="PF68" s="252"/>
      <c r="PG68" s="252"/>
      <c r="PH68" s="252"/>
      <c r="PI68" s="252"/>
      <c r="PJ68" s="252"/>
      <c r="PK68" s="252"/>
      <c r="PL68" s="252"/>
      <c r="PM68" s="252"/>
      <c r="PN68" s="252"/>
      <c r="PO68" s="252"/>
      <c r="PP68" s="252"/>
      <c r="PQ68" s="252"/>
      <c r="PR68" s="252"/>
      <c r="PS68" s="252"/>
      <c r="PT68" s="252"/>
      <c r="PU68" s="252"/>
      <c r="PV68" s="252"/>
      <c r="PW68" s="252"/>
      <c r="PX68" s="252"/>
      <c r="PY68" s="252"/>
      <c r="PZ68" s="252"/>
      <c r="QA68" s="252"/>
      <c r="QB68" s="252"/>
      <c r="QC68" s="252"/>
      <c r="QD68" s="252"/>
      <c r="QE68" s="252"/>
      <c r="QF68" s="252"/>
      <c r="QG68" s="252"/>
      <c r="QH68" s="252"/>
      <c r="QI68" s="252"/>
      <c r="QJ68" s="252"/>
      <c r="QK68" s="252"/>
      <c r="QL68" s="252"/>
      <c r="QM68" s="252"/>
      <c r="QN68" s="252"/>
      <c r="QO68" s="252"/>
      <c r="QP68" s="252"/>
      <c r="QQ68" s="252"/>
      <c r="QR68" s="252"/>
      <c r="QS68" s="252"/>
      <c r="QT68" s="252"/>
      <c r="QU68" s="252"/>
      <c r="QV68" s="252"/>
      <c r="QW68" s="252"/>
      <c r="QX68" s="252"/>
      <c r="QY68" s="252"/>
      <c r="QZ68" s="252"/>
      <c r="RA68" s="252"/>
      <c r="RB68" s="252"/>
      <c r="RC68" s="252"/>
      <c r="RD68" s="252"/>
      <c r="RE68" s="252"/>
      <c r="RF68" s="252"/>
      <c r="RG68" s="252"/>
      <c r="RH68" s="252"/>
      <c r="RI68" s="252"/>
      <c r="RJ68" s="252"/>
      <c r="RK68" s="252"/>
      <c r="RL68" s="252"/>
      <c r="RM68" s="252"/>
      <c r="RN68" s="252"/>
      <c r="RO68" s="252"/>
      <c r="RP68" s="252"/>
      <c r="RQ68" s="252"/>
      <c r="RR68" s="252"/>
      <c r="RS68" s="252"/>
      <c r="RT68" s="252"/>
      <c r="RU68" s="252"/>
      <c r="RV68" s="252"/>
      <c r="RW68" s="252"/>
      <c r="RX68" s="252"/>
      <c r="RY68" s="252"/>
      <c r="RZ68" s="252"/>
      <c r="SA68" s="252"/>
      <c r="SB68" s="252"/>
      <c r="SC68" s="252"/>
      <c r="SD68" s="252"/>
      <c r="SE68" s="252"/>
      <c r="SF68" s="252"/>
      <c r="SG68" s="252"/>
      <c r="SH68" s="252"/>
      <c r="SI68" s="252"/>
      <c r="SJ68" s="252"/>
      <c r="SK68" s="252"/>
      <c r="SL68" s="252"/>
      <c r="SM68" s="252"/>
      <c r="SN68" s="252"/>
      <c r="SO68" s="252"/>
      <c r="SP68" s="252"/>
      <c r="SQ68" s="252"/>
      <c r="SR68" s="252"/>
      <c r="SS68" s="252"/>
      <c r="ST68" s="252"/>
      <c r="SU68" s="252"/>
      <c r="SV68" s="252"/>
      <c r="SW68" s="252"/>
      <c r="SX68" s="252"/>
      <c r="SY68" s="252"/>
      <c r="SZ68" s="252"/>
      <c r="TA68" s="252"/>
      <c r="TB68" s="252"/>
      <c r="TC68" s="252"/>
      <c r="TD68" s="252"/>
      <c r="TE68" s="252"/>
      <c r="TF68" s="252"/>
      <c r="TG68" s="252"/>
      <c r="TH68" s="252"/>
      <c r="TI68" s="252"/>
      <c r="TJ68" s="252"/>
      <c r="TK68" s="252"/>
      <c r="TL68" s="252"/>
      <c r="TM68" s="252"/>
      <c r="TN68" s="252"/>
      <c r="TO68" s="252"/>
      <c r="TP68" s="252"/>
      <c r="TQ68" s="252"/>
      <c r="TR68" s="252"/>
      <c r="TS68" s="252"/>
      <c r="TT68" s="252"/>
      <c r="TU68" s="252"/>
      <c r="TV68" s="252"/>
      <c r="TW68" s="252"/>
      <c r="TX68" s="252"/>
      <c r="TY68" s="252"/>
      <c r="TZ68" s="252"/>
      <c r="UA68" s="252"/>
      <c r="UB68" s="252"/>
      <c r="UC68" s="252"/>
      <c r="UD68" s="252"/>
      <c r="UE68" s="252"/>
      <c r="UF68" s="252"/>
      <c r="UG68" s="252"/>
      <c r="UH68" s="252"/>
      <c r="UI68" s="252"/>
      <c r="UJ68" s="252"/>
      <c r="UK68" s="252"/>
      <c r="UL68" s="252"/>
      <c r="UM68" s="252"/>
      <c r="UN68" s="252"/>
      <c r="UO68" s="252"/>
      <c r="UP68" s="252"/>
      <c r="UQ68" s="252"/>
      <c r="UR68" s="252"/>
      <c r="US68" s="252"/>
      <c r="UT68" s="252"/>
      <c r="UU68" s="252"/>
      <c r="UV68" s="252"/>
      <c r="UW68" s="252"/>
      <c r="UX68" s="252"/>
      <c r="UY68" s="252"/>
      <c r="UZ68" s="252"/>
      <c r="VA68" s="252"/>
      <c r="VB68" s="252"/>
      <c r="VC68" s="252"/>
      <c r="VD68" s="252"/>
      <c r="VE68" s="252"/>
      <c r="VF68" s="252"/>
      <c r="VG68" s="252"/>
      <c r="VH68" s="252"/>
      <c r="VI68" s="252"/>
      <c r="VJ68" s="252"/>
      <c r="VK68" s="252"/>
      <c r="VL68" s="252"/>
      <c r="VM68" s="252"/>
      <c r="VN68" s="252"/>
      <c r="VO68" s="252"/>
      <c r="VP68" s="252"/>
      <c r="VQ68" s="252"/>
      <c r="VR68" s="252"/>
      <c r="VS68" s="252"/>
      <c r="VT68" s="252"/>
      <c r="VU68" s="252"/>
      <c r="VV68" s="252"/>
      <c r="VW68" s="252"/>
      <c r="VX68" s="252"/>
      <c r="VY68" s="252"/>
      <c r="VZ68" s="252"/>
      <c r="WA68" s="252"/>
      <c r="WB68" s="252"/>
      <c r="WC68" s="252"/>
      <c r="WD68" s="252"/>
      <c r="WE68" s="252"/>
      <c r="WF68" s="252"/>
      <c r="WG68" s="252"/>
      <c r="WH68" s="252"/>
      <c r="WI68" s="252"/>
      <c r="WJ68" s="252"/>
      <c r="WK68" s="252"/>
      <c r="WL68" s="252"/>
      <c r="WM68" s="252"/>
      <c r="WN68" s="252"/>
      <c r="WO68" s="252"/>
      <c r="WP68" s="252"/>
      <c r="WQ68" s="252"/>
      <c r="WR68" s="252"/>
      <c r="WS68" s="252"/>
      <c r="WT68" s="252"/>
      <c r="WU68" s="252"/>
      <c r="WV68" s="252"/>
      <c r="WW68" s="252"/>
      <c r="WX68" s="252"/>
      <c r="WY68" s="252"/>
      <c r="WZ68" s="252"/>
      <c r="XA68" s="252"/>
      <c r="XB68" s="252"/>
      <c r="XC68" s="252"/>
      <c r="XD68" s="252"/>
      <c r="XE68" s="252"/>
      <c r="XF68" s="252"/>
      <c r="XG68" s="252"/>
      <c r="XH68" s="252"/>
      <c r="XI68" s="252"/>
      <c r="XJ68" s="252"/>
      <c r="XK68" s="252"/>
      <c r="XL68" s="252"/>
      <c r="XM68" s="252"/>
      <c r="XN68" s="252"/>
      <c r="XO68" s="252"/>
      <c r="XP68" s="252"/>
      <c r="XQ68" s="252"/>
      <c r="XR68" s="252"/>
      <c r="XS68" s="252"/>
      <c r="XT68" s="252"/>
      <c r="XU68" s="252"/>
      <c r="XV68" s="252"/>
      <c r="XW68" s="252"/>
      <c r="XX68" s="252"/>
      <c r="XY68" s="252"/>
      <c r="XZ68" s="252"/>
      <c r="YA68" s="252"/>
      <c r="YB68" s="252"/>
      <c r="YC68" s="252"/>
      <c r="YD68" s="252"/>
      <c r="YE68" s="252"/>
      <c r="YF68" s="252"/>
      <c r="YG68" s="252"/>
      <c r="YH68" s="252"/>
      <c r="YI68" s="252"/>
      <c r="YJ68" s="252"/>
      <c r="YK68" s="252"/>
      <c r="YL68" s="252"/>
      <c r="YM68" s="252"/>
      <c r="YN68" s="252"/>
      <c r="YO68" s="252"/>
      <c r="YP68" s="252"/>
      <c r="YQ68" s="252"/>
      <c r="YR68" s="252"/>
      <c r="YS68" s="252"/>
      <c r="YT68" s="252"/>
      <c r="YU68" s="252"/>
      <c r="YV68" s="252"/>
      <c r="YW68" s="252"/>
      <c r="YX68" s="252"/>
      <c r="YY68" s="252"/>
      <c r="YZ68" s="252"/>
      <c r="ZA68" s="252"/>
      <c r="ZB68" s="252"/>
      <c r="ZC68" s="252"/>
      <c r="ZD68" s="252"/>
      <c r="ZE68" s="252"/>
      <c r="ZF68" s="252"/>
      <c r="ZG68" s="252"/>
      <c r="ZH68" s="252"/>
      <c r="ZI68" s="252"/>
      <c r="ZJ68" s="252"/>
      <c r="ZK68" s="252"/>
      <c r="ZL68" s="252"/>
      <c r="ZM68" s="252"/>
      <c r="ZN68" s="252"/>
      <c r="ZO68" s="252"/>
      <c r="ZP68" s="252"/>
      <c r="ZQ68" s="252"/>
      <c r="ZR68" s="252"/>
      <c r="ZS68" s="252"/>
      <c r="ZT68" s="252"/>
      <c r="ZU68" s="252"/>
      <c r="ZV68" s="252"/>
      <c r="ZW68" s="252"/>
      <c r="ZX68" s="252"/>
      <c r="ZY68" s="252"/>
      <c r="ZZ68" s="252"/>
      <c r="AAA68" s="252"/>
      <c r="AAB68" s="252"/>
      <c r="AAC68" s="252"/>
      <c r="AAD68" s="252"/>
      <c r="AAE68" s="252"/>
      <c r="AAF68" s="252"/>
      <c r="AAG68" s="252"/>
      <c r="AAH68" s="252"/>
      <c r="AAI68" s="252"/>
      <c r="AAJ68" s="252"/>
      <c r="AAK68" s="252"/>
      <c r="AAL68" s="252"/>
      <c r="AAM68" s="252"/>
      <c r="AAN68" s="252"/>
      <c r="AAO68" s="252"/>
      <c r="AAP68" s="252"/>
      <c r="AAQ68" s="252"/>
      <c r="AAR68" s="252"/>
      <c r="AAS68" s="252"/>
      <c r="AAT68" s="252"/>
      <c r="AAU68" s="252"/>
      <c r="AAV68" s="252"/>
      <c r="AAW68" s="252"/>
      <c r="AAX68" s="252"/>
      <c r="AAY68" s="252"/>
      <c r="AAZ68" s="252"/>
      <c r="ABA68" s="252"/>
      <c r="ABB68" s="252"/>
      <c r="ABC68" s="252"/>
      <c r="ABD68" s="252"/>
      <c r="ABE68" s="252"/>
      <c r="ABF68" s="252"/>
      <c r="ABG68" s="252"/>
      <c r="ABH68" s="252"/>
      <c r="ABI68" s="252"/>
      <c r="ABJ68" s="252"/>
      <c r="ABK68" s="252"/>
      <c r="ABL68" s="252"/>
      <c r="ABM68" s="252"/>
      <c r="ABN68" s="252"/>
      <c r="ABO68" s="252"/>
      <c r="ABP68" s="252"/>
      <c r="ABQ68" s="252"/>
      <c r="ABR68" s="252"/>
      <c r="ABS68" s="252"/>
      <c r="ABT68" s="252"/>
      <c r="ABU68" s="252"/>
      <c r="ABV68" s="252"/>
      <c r="ABW68" s="252"/>
      <c r="ABX68" s="252"/>
      <c r="ABY68" s="252"/>
      <c r="ABZ68" s="252"/>
      <c r="ACA68" s="252"/>
      <c r="ACB68" s="252"/>
      <c r="ACC68" s="252"/>
      <c r="ACD68" s="252"/>
      <c r="ACE68" s="252"/>
      <c r="ACF68" s="252"/>
      <c r="ACG68" s="252"/>
      <c r="ACH68" s="252"/>
      <c r="ACI68" s="252"/>
      <c r="ACJ68" s="252"/>
      <c r="ACK68" s="252"/>
      <c r="ACL68" s="252"/>
      <c r="ACM68" s="252"/>
      <c r="ACN68" s="252"/>
      <c r="ACO68" s="252"/>
      <c r="ACP68" s="252"/>
      <c r="ACQ68" s="252"/>
      <c r="ACR68" s="252"/>
      <c r="ACS68" s="252"/>
      <c r="ACT68" s="252"/>
      <c r="ACU68" s="252"/>
      <c r="ACV68" s="252"/>
      <c r="ACW68" s="252"/>
      <c r="ACX68" s="252"/>
      <c r="ACY68" s="252"/>
      <c r="ACZ68" s="252"/>
      <c r="ADA68" s="252"/>
      <c r="ADB68" s="252"/>
      <c r="ADC68" s="252"/>
      <c r="ADD68" s="252"/>
      <c r="ADE68" s="252"/>
      <c r="ADF68" s="252"/>
      <c r="ADG68" s="252"/>
      <c r="ADH68" s="252"/>
      <c r="ADI68" s="252"/>
      <c r="ADJ68" s="252"/>
      <c r="ADK68" s="252"/>
      <c r="ADL68" s="252"/>
      <c r="ADM68" s="252"/>
      <c r="ADN68" s="252"/>
      <c r="ADO68" s="252"/>
      <c r="ADP68" s="252"/>
      <c r="ADQ68" s="252"/>
      <c r="ADR68" s="252"/>
      <c r="ADS68" s="252"/>
      <c r="ADT68" s="252"/>
      <c r="ADU68" s="252"/>
      <c r="ADV68" s="252"/>
      <c r="ADW68" s="252"/>
      <c r="ADX68" s="252"/>
      <c r="ADY68" s="252"/>
      <c r="ADZ68" s="252"/>
      <c r="AEA68" s="252"/>
      <c r="AEB68" s="252"/>
      <c r="AEC68" s="252"/>
      <c r="AED68" s="252"/>
      <c r="AEE68" s="252"/>
      <c r="AEF68" s="252"/>
      <c r="AEG68" s="252"/>
      <c r="AEH68" s="252"/>
      <c r="AEI68" s="252"/>
      <c r="AEJ68" s="252"/>
      <c r="AEK68" s="252"/>
      <c r="AEL68" s="252"/>
      <c r="AEM68" s="252"/>
      <c r="AEN68" s="252"/>
      <c r="AEO68" s="252"/>
      <c r="AEP68" s="252"/>
      <c r="AEQ68" s="252"/>
      <c r="AER68" s="252"/>
      <c r="AES68" s="252"/>
      <c r="AET68" s="252"/>
      <c r="AEU68" s="252"/>
      <c r="AEV68" s="252"/>
      <c r="AEW68" s="252"/>
      <c r="AEX68" s="252"/>
      <c r="AEY68" s="252"/>
      <c r="AEZ68" s="252"/>
      <c r="AFA68" s="252"/>
      <c r="AFB68" s="252"/>
      <c r="AFC68" s="252"/>
      <c r="AFD68" s="252"/>
      <c r="AFE68" s="252"/>
      <c r="AFF68" s="252"/>
      <c r="AFG68" s="252"/>
      <c r="AFH68" s="252"/>
      <c r="AFI68" s="252"/>
      <c r="AFJ68" s="252"/>
      <c r="AFK68" s="252"/>
      <c r="AFL68" s="252"/>
      <c r="AFM68" s="252"/>
      <c r="AFN68" s="252"/>
      <c r="AFO68" s="252"/>
      <c r="AFP68" s="252"/>
      <c r="AFQ68" s="252"/>
      <c r="AFR68" s="252"/>
      <c r="AFS68" s="252"/>
      <c r="AFT68" s="252"/>
      <c r="AFU68" s="252"/>
      <c r="AFV68" s="252"/>
      <c r="AFW68" s="252"/>
      <c r="AFX68" s="252"/>
      <c r="AFY68" s="252"/>
      <c r="AFZ68" s="252"/>
      <c r="AGA68" s="252"/>
      <c r="AGB68" s="252"/>
      <c r="AGC68" s="252"/>
      <c r="AGD68" s="252"/>
      <c r="AGE68" s="252"/>
      <c r="AGF68" s="252"/>
      <c r="AGG68" s="252"/>
      <c r="AGH68" s="252"/>
      <c r="AGI68" s="252"/>
      <c r="AGJ68" s="252"/>
      <c r="AGK68" s="252"/>
      <c r="AGL68" s="252"/>
      <c r="AGM68" s="252"/>
      <c r="AGN68" s="252"/>
      <c r="AGO68" s="252"/>
      <c r="AGP68" s="252"/>
      <c r="AGQ68" s="252"/>
      <c r="AGR68" s="252"/>
      <c r="AGS68" s="252"/>
      <c r="AGT68" s="252"/>
      <c r="AGU68" s="252"/>
      <c r="AGV68" s="252"/>
      <c r="AGW68" s="252"/>
      <c r="AGX68" s="252"/>
      <c r="AGY68" s="252"/>
      <c r="AGZ68" s="252"/>
      <c r="AHA68" s="252"/>
      <c r="AHB68" s="252"/>
      <c r="AHC68" s="252"/>
      <c r="AHD68" s="252"/>
      <c r="AHE68" s="252"/>
      <c r="AHF68" s="252"/>
      <c r="AHG68" s="252"/>
      <c r="AHH68" s="252"/>
      <c r="AHI68" s="252"/>
      <c r="AHJ68" s="252"/>
      <c r="AHK68" s="252"/>
      <c r="AHL68" s="252"/>
      <c r="AHM68" s="252"/>
      <c r="AHN68" s="252"/>
      <c r="AHO68" s="252"/>
      <c r="AHP68" s="252"/>
      <c r="AHQ68" s="252"/>
      <c r="AHR68" s="252"/>
      <c r="AHS68" s="252"/>
      <c r="AHT68" s="252"/>
      <c r="AHU68" s="252"/>
      <c r="AHV68" s="252"/>
      <c r="AHW68" s="252"/>
      <c r="AHX68" s="252"/>
      <c r="AHY68" s="252"/>
      <c r="AHZ68" s="252"/>
      <c r="AIA68" s="252"/>
      <c r="AIB68" s="252"/>
      <c r="AIC68" s="252"/>
      <c r="AID68" s="252"/>
      <c r="AIE68" s="252"/>
      <c r="AIF68" s="252"/>
      <c r="AIG68" s="252"/>
      <c r="AIH68" s="252"/>
      <c r="AII68" s="252"/>
      <c r="AIJ68" s="252"/>
      <c r="AIK68" s="252"/>
      <c r="AIL68" s="252"/>
      <c r="AIM68" s="252"/>
      <c r="AIN68" s="252"/>
      <c r="AIO68" s="252"/>
      <c r="AIP68" s="252"/>
      <c r="AIQ68" s="252"/>
      <c r="AIR68" s="252"/>
      <c r="AIS68" s="252"/>
      <c r="AIT68" s="252"/>
      <c r="AIU68" s="252"/>
      <c r="AIV68" s="252"/>
      <c r="AIW68" s="252"/>
      <c r="AIX68" s="252"/>
      <c r="AIY68" s="252"/>
      <c r="AIZ68" s="252"/>
      <c r="AJA68" s="252"/>
      <c r="AJB68" s="252"/>
      <c r="AJC68" s="252"/>
      <c r="AJD68" s="252"/>
      <c r="AJE68" s="252"/>
      <c r="AJF68" s="252"/>
      <c r="AJG68" s="252"/>
      <c r="AJH68" s="252"/>
      <c r="AJI68" s="252"/>
      <c r="AJJ68" s="252"/>
      <c r="AJK68" s="252"/>
      <c r="AJL68" s="252"/>
      <c r="AJM68" s="252"/>
      <c r="AJN68" s="252"/>
      <c r="AJO68" s="252"/>
      <c r="AJP68" s="252"/>
      <c r="AJQ68" s="252"/>
      <c r="AJR68" s="252"/>
      <c r="AJS68" s="252"/>
      <c r="AJT68" s="252"/>
      <c r="AJU68" s="252"/>
      <c r="AJV68" s="252"/>
      <c r="AJW68" s="252"/>
      <c r="AJX68" s="252"/>
      <c r="AJY68" s="252"/>
      <c r="AJZ68" s="252"/>
      <c r="AKA68" s="252"/>
      <c r="AKB68" s="252"/>
      <c r="AKC68" s="252"/>
      <c r="AKD68" s="252"/>
      <c r="AKE68" s="252"/>
      <c r="AKF68" s="252"/>
      <c r="AKG68" s="252"/>
      <c r="AKH68" s="252"/>
      <c r="AKI68" s="252"/>
      <c r="AKJ68" s="252"/>
      <c r="AKK68" s="252"/>
      <c r="AKL68" s="252"/>
      <c r="AKM68" s="252"/>
      <c r="AKN68" s="252"/>
      <c r="AKO68" s="252"/>
      <c r="AKP68" s="252"/>
      <c r="AKQ68" s="252"/>
      <c r="AKR68" s="252"/>
      <c r="AKS68" s="252"/>
      <c r="AKT68" s="252"/>
      <c r="AKU68" s="252"/>
      <c r="AKV68" s="252"/>
      <c r="AKW68" s="252"/>
      <c r="AKX68" s="252"/>
      <c r="AKY68" s="252"/>
      <c r="AKZ68" s="252"/>
      <c r="ALA68" s="252"/>
      <c r="ALB68" s="252"/>
      <c r="ALC68" s="252"/>
      <c r="ALD68" s="252"/>
      <c r="ALE68" s="252"/>
      <c r="ALF68" s="252"/>
      <c r="ALG68" s="252"/>
      <c r="ALH68" s="252"/>
      <c r="ALI68" s="252"/>
      <c r="ALJ68" s="252"/>
      <c r="ALK68" s="252"/>
      <c r="ALL68" s="252"/>
      <c r="ALM68" s="252"/>
      <c r="ALN68" s="252"/>
      <c r="ALO68" s="252"/>
      <c r="ALP68" s="252"/>
      <c r="ALQ68" s="252"/>
      <c r="ALR68" s="252"/>
      <c r="ALS68" s="252"/>
    </row>
    <row r="69" spans="1:1007" s="3" customFormat="1" x14ac:dyDescent="0.2">
      <c r="A69" s="749" t="s">
        <v>287</v>
      </c>
      <c r="B69" s="392">
        <v>950</v>
      </c>
      <c r="C69" s="392">
        <v>950</v>
      </c>
      <c r="D69" s="417">
        <v>890</v>
      </c>
      <c r="E69" s="744">
        <v>840</v>
      </c>
      <c r="F69" s="730"/>
      <c r="G69" s="730"/>
      <c r="H69" s="730"/>
      <c r="I69" s="730"/>
      <c r="J69" s="252"/>
      <c r="K69" s="252"/>
      <c r="L69" s="252"/>
      <c r="M69" s="252"/>
      <c r="N69" s="252"/>
      <c r="O69" s="252"/>
      <c r="P69" s="252"/>
      <c r="Q69" s="252"/>
      <c r="R69" s="252"/>
      <c r="S69" s="252"/>
      <c r="T69" s="252"/>
      <c r="U69" s="252"/>
      <c r="V69" s="252"/>
      <c r="W69" s="252"/>
      <c r="X69" s="252"/>
      <c r="Y69" s="252"/>
      <c r="Z69" s="252"/>
      <c r="AA69" s="252"/>
      <c r="AB69" s="252"/>
      <c r="AC69" s="252"/>
      <c r="AD69" s="252"/>
      <c r="AE69" s="252"/>
      <c r="AF69" s="252"/>
      <c r="AG69" s="252"/>
      <c r="AH69" s="252"/>
      <c r="AI69" s="252"/>
      <c r="AJ69" s="252"/>
      <c r="AK69" s="252"/>
      <c r="AL69" s="252"/>
      <c r="AM69" s="252"/>
      <c r="AN69" s="252"/>
      <c r="AO69" s="252"/>
      <c r="AP69" s="252"/>
      <c r="AQ69" s="252"/>
      <c r="AR69" s="252"/>
      <c r="AS69" s="252"/>
      <c r="AT69" s="252"/>
      <c r="AU69" s="252"/>
      <c r="AV69" s="252"/>
      <c r="AW69" s="252"/>
      <c r="AX69" s="252"/>
      <c r="AY69" s="252"/>
      <c r="AZ69" s="252"/>
      <c r="BA69" s="252"/>
      <c r="BB69" s="252"/>
      <c r="BC69" s="252"/>
      <c r="BD69" s="252"/>
      <c r="BE69" s="252"/>
      <c r="BF69" s="252"/>
      <c r="BG69" s="252"/>
      <c r="BH69" s="252"/>
      <c r="BI69" s="252"/>
      <c r="BJ69" s="252"/>
      <c r="BK69" s="252"/>
      <c r="BL69" s="252"/>
      <c r="BM69" s="252"/>
      <c r="BN69" s="252"/>
      <c r="BO69" s="252"/>
      <c r="BP69" s="252"/>
      <c r="BQ69" s="252"/>
      <c r="BR69" s="252"/>
      <c r="BS69" s="252"/>
      <c r="BT69" s="252"/>
      <c r="BU69" s="252"/>
      <c r="BV69" s="252"/>
      <c r="BW69" s="252"/>
      <c r="BX69" s="252"/>
      <c r="BY69" s="252"/>
      <c r="BZ69" s="252"/>
      <c r="CA69" s="252"/>
      <c r="CB69" s="252"/>
      <c r="CC69" s="252"/>
      <c r="CD69" s="252"/>
      <c r="CE69" s="252"/>
      <c r="CF69" s="252"/>
      <c r="CG69" s="252"/>
      <c r="CH69" s="252"/>
      <c r="CI69" s="252"/>
      <c r="CJ69" s="252"/>
      <c r="CK69" s="252"/>
      <c r="CL69" s="252"/>
      <c r="CM69" s="252"/>
      <c r="CN69" s="252"/>
      <c r="CO69" s="252"/>
      <c r="CP69" s="252"/>
      <c r="CQ69" s="252"/>
      <c r="CR69" s="252"/>
      <c r="CS69" s="252"/>
      <c r="CT69" s="252"/>
      <c r="CU69" s="252"/>
      <c r="CV69" s="252"/>
      <c r="CW69" s="252"/>
      <c r="CX69" s="252"/>
      <c r="CY69" s="252"/>
      <c r="CZ69" s="252"/>
      <c r="DA69" s="252"/>
      <c r="DB69" s="252"/>
      <c r="DC69" s="252"/>
      <c r="DD69" s="252"/>
      <c r="DE69" s="252"/>
      <c r="DF69" s="252"/>
      <c r="DG69" s="252"/>
      <c r="DH69" s="252"/>
      <c r="DI69" s="252"/>
      <c r="DJ69" s="252"/>
      <c r="DK69" s="252"/>
      <c r="DL69" s="252"/>
      <c r="DM69" s="252"/>
      <c r="DN69" s="252"/>
      <c r="DO69" s="252"/>
      <c r="DP69" s="252"/>
      <c r="DQ69" s="252"/>
      <c r="DR69" s="252"/>
      <c r="DS69" s="252"/>
      <c r="DT69" s="252"/>
      <c r="DU69" s="252"/>
      <c r="DV69" s="252"/>
      <c r="DW69" s="252"/>
      <c r="DX69" s="252"/>
      <c r="DY69" s="252"/>
      <c r="DZ69" s="252"/>
      <c r="EA69" s="252"/>
      <c r="EB69" s="252"/>
      <c r="EC69" s="252"/>
      <c r="ED69" s="252"/>
      <c r="EE69" s="252"/>
      <c r="EF69" s="252"/>
      <c r="EG69" s="252"/>
      <c r="EH69" s="252"/>
      <c r="EI69" s="252"/>
      <c r="EJ69" s="252"/>
      <c r="EK69" s="252"/>
      <c r="EL69" s="252"/>
      <c r="EM69" s="252"/>
      <c r="EN69" s="252"/>
      <c r="EO69" s="252"/>
      <c r="EP69" s="252"/>
      <c r="EQ69" s="252"/>
      <c r="ER69" s="252"/>
      <c r="ES69" s="252"/>
      <c r="ET69" s="252"/>
      <c r="EU69" s="252"/>
      <c r="EV69" s="252"/>
      <c r="EW69" s="252"/>
      <c r="EX69" s="252"/>
      <c r="EY69" s="252"/>
      <c r="EZ69" s="252"/>
      <c r="FA69" s="252"/>
      <c r="FB69" s="252"/>
      <c r="FC69" s="252"/>
      <c r="FD69" s="252"/>
      <c r="FE69" s="252"/>
      <c r="FF69" s="252"/>
      <c r="FG69" s="252"/>
      <c r="FH69" s="252"/>
      <c r="FI69" s="252"/>
      <c r="FJ69" s="252"/>
      <c r="FK69" s="252"/>
      <c r="FL69" s="252"/>
      <c r="FM69" s="252"/>
      <c r="FN69" s="252"/>
      <c r="FO69" s="252"/>
      <c r="FP69" s="252"/>
      <c r="FQ69" s="252"/>
      <c r="FR69" s="252"/>
      <c r="FS69" s="252"/>
      <c r="FT69" s="252"/>
      <c r="FU69" s="252"/>
      <c r="FV69" s="252"/>
      <c r="FW69" s="252"/>
      <c r="FX69" s="252"/>
      <c r="FY69" s="252"/>
      <c r="FZ69" s="252"/>
      <c r="GA69" s="252"/>
      <c r="GB69" s="252"/>
      <c r="GC69" s="252"/>
      <c r="GD69" s="252"/>
      <c r="GE69" s="252"/>
      <c r="GF69" s="252"/>
      <c r="GG69" s="252"/>
      <c r="GH69" s="252"/>
      <c r="GI69" s="252"/>
      <c r="GJ69" s="252"/>
      <c r="GK69" s="252"/>
      <c r="GL69" s="252"/>
      <c r="GM69" s="252"/>
      <c r="GN69" s="252"/>
      <c r="GO69" s="252"/>
      <c r="GP69" s="252"/>
      <c r="GQ69" s="252"/>
      <c r="GR69" s="252"/>
      <c r="GS69" s="252"/>
      <c r="GT69" s="252"/>
      <c r="GU69" s="252"/>
      <c r="GV69" s="252"/>
      <c r="GW69" s="252"/>
      <c r="GX69" s="252"/>
      <c r="GY69" s="252"/>
      <c r="GZ69" s="252"/>
      <c r="HA69" s="252"/>
      <c r="HB69" s="252"/>
      <c r="HC69" s="252"/>
      <c r="HD69" s="252"/>
      <c r="HE69" s="252"/>
      <c r="HF69" s="252"/>
      <c r="HG69" s="252"/>
      <c r="HH69" s="252"/>
      <c r="HI69" s="252"/>
      <c r="HJ69" s="252"/>
      <c r="HK69" s="252"/>
      <c r="HL69" s="252"/>
      <c r="HM69" s="252"/>
      <c r="HN69" s="252"/>
      <c r="HO69" s="252"/>
      <c r="HP69" s="252"/>
      <c r="HQ69" s="252"/>
      <c r="HR69" s="252"/>
      <c r="HS69" s="252"/>
      <c r="HT69" s="252"/>
      <c r="HU69" s="252"/>
      <c r="HV69" s="252"/>
      <c r="HW69" s="252"/>
      <c r="HX69" s="252"/>
      <c r="HY69" s="252"/>
      <c r="HZ69" s="252"/>
      <c r="IA69" s="252"/>
      <c r="IB69" s="252"/>
      <c r="IC69" s="252"/>
      <c r="ID69" s="252"/>
      <c r="IE69" s="252"/>
      <c r="IF69" s="252"/>
      <c r="IG69" s="252"/>
      <c r="IH69" s="252"/>
      <c r="II69" s="252"/>
      <c r="IJ69" s="252"/>
      <c r="IK69" s="252"/>
      <c r="IL69" s="252"/>
      <c r="IM69" s="252"/>
      <c r="IN69" s="252"/>
      <c r="IO69" s="252"/>
      <c r="IP69" s="252"/>
      <c r="IQ69" s="252"/>
      <c r="IR69" s="252"/>
      <c r="IS69" s="252"/>
      <c r="IT69" s="252"/>
      <c r="IU69" s="252"/>
      <c r="IV69" s="252"/>
      <c r="IW69" s="252"/>
      <c r="IX69" s="252"/>
      <c r="IY69" s="252"/>
      <c r="IZ69" s="252"/>
      <c r="JA69" s="252"/>
      <c r="JB69" s="252"/>
      <c r="JC69" s="252"/>
      <c r="JD69" s="252"/>
      <c r="JE69" s="252"/>
      <c r="JF69" s="252"/>
      <c r="JG69" s="252"/>
      <c r="JH69" s="252"/>
      <c r="JI69" s="252"/>
      <c r="JJ69" s="252"/>
      <c r="JK69" s="252"/>
      <c r="JL69" s="252"/>
      <c r="JM69" s="252"/>
      <c r="JN69" s="252"/>
      <c r="JO69" s="252"/>
      <c r="JP69" s="252"/>
      <c r="JQ69" s="252"/>
      <c r="JR69" s="252"/>
      <c r="JS69" s="252"/>
      <c r="JT69" s="252"/>
      <c r="JU69" s="252"/>
      <c r="JV69" s="252"/>
      <c r="JW69" s="252"/>
      <c r="JX69" s="252"/>
      <c r="JY69" s="252"/>
      <c r="JZ69" s="252"/>
      <c r="KA69" s="252"/>
      <c r="KB69" s="252"/>
      <c r="KC69" s="252"/>
      <c r="KD69" s="252"/>
      <c r="KE69" s="252"/>
      <c r="KF69" s="252"/>
      <c r="KG69" s="252"/>
      <c r="KH69" s="252"/>
      <c r="KI69" s="252"/>
      <c r="KJ69" s="252"/>
      <c r="KK69" s="252"/>
      <c r="KL69" s="252"/>
      <c r="KM69" s="252"/>
      <c r="KN69" s="252"/>
      <c r="KO69" s="252"/>
      <c r="KP69" s="252"/>
      <c r="KQ69" s="252"/>
      <c r="KR69" s="252"/>
      <c r="KS69" s="252"/>
      <c r="KT69" s="252"/>
      <c r="KU69" s="252"/>
      <c r="KV69" s="252"/>
      <c r="KW69" s="252"/>
      <c r="KX69" s="252"/>
      <c r="KY69" s="252"/>
      <c r="KZ69" s="252"/>
      <c r="LA69" s="252"/>
      <c r="LB69" s="252"/>
      <c r="LC69" s="252"/>
      <c r="LD69" s="252"/>
      <c r="LE69" s="252"/>
      <c r="LF69" s="252"/>
      <c r="LG69" s="252"/>
      <c r="LH69" s="252"/>
      <c r="LI69" s="252"/>
      <c r="LJ69" s="252"/>
      <c r="LK69" s="252"/>
      <c r="LL69" s="252"/>
      <c r="LM69" s="252"/>
      <c r="LN69" s="252"/>
      <c r="LO69" s="252"/>
      <c r="LP69" s="252"/>
      <c r="LQ69" s="252"/>
      <c r="LR69" s="252"/>
      <c r="LS69" s="252"/>
      <c r="LT69" s="252"/>
      <c r="LU69" s="252"/>
      <c r="LV69" s="252"/>
      <c r="LW69" s="252"/>
      <c r="LX69" s="252"/>
      <c r="LY69" s="252"/>
      <c r="LZ69" s="252"/>
      <c r="MA69" s="252"/>
      <c r="MB69" s="252"/>
      <c r="MC69" s="252"/>
      <c r="MD69" s="252"/>
      <c r="ME69" s="252"/>
      <c r="MF69" s="252"/>
      <c r="MG69" s="252"/>
      <c r="MH69" s="252"/>
      <c r="MI69" s="252"/>
      <c r="MJ69" s="252"/>
      <c r="MK69" s="252"/>
      <c r="ML69" s="252"/>
      <c r="MM69" s="252"/>
      <c r="MN69" s="252"/>
      <c r="MO69" s="252"/>
      <c r="MP69" s="252"/>
      <c r="MQ69" s="252"/>
      <c r="MR69" s="252"/>
      <c r="MS69" s="252"/>
      <c r="MT69" s="252"/>
      <c r="MU69" s="252"/>
      <c r="MV69" s="252"/>
      <c r="MW69" s="252"/>
      <c r="MX69" s="252"/>
      <c r="MY69" s="252"/>
      <c r="MZ69" s="252"/>
      <c r="NA69" s="252"/>
      <c r="NB69" s="252"/>
      <c r="NC69" s="252"/>
      <c r="ND69" s="252"/>
      <c r="NE69" s="252"/>
      <c r="NF69" s="252"/>
      <c r="NG69" s="252"/>
      <c r="NH69" s="252"/>
      <c r="NI69" s="252"/>
      <c r="NJ69" s="252"/>
      <c r="NK69" s="252"/>
      <c r="NL69" s="252"/>
      <c r="NM69" s="252"/>
      <c r="NN69" s="252"/>
      <c r="NO69" s="252"/>
      <c r="NP69" s="252"/>
      <c r="NQ69" s="252"/>
      <c r="NR69" s="252"/>
      <c r="NS69" s="252"/>
      <c r="NT69" s="252"/>
      <c r="NU69" s="252"/>
      <c r="NV69" s="252"/>
      <c r="NW69" s="252"/>
      <c r="NX69" s="252"/>
      <c r="NY69" s="252"/>
      <c r="NZ69" s="252"/>
      <c r="OA69" s="252"/>
      <c r="OB69" s="252"/>
      <c r="OC69" s="252"/>
      <c r="OD69" s="252"/>
      <c r="OE69" s="252"/>
      <c r="OF69" s="252"/>
      <c r="OG69" s="252"/>
      <c r="OH69" s="252"/>
      <c r="OI69" s="252"/>
      <c r="OJ69" s="252"/>
      <c r="OK69" s="252"/>
      <c r="OL69" s="252"/>
      <c r="OM69" s="252"/>
      <c r="ON69" s="252"/>
      <c r="OO69" s="252"/>
      <c r="OP69" s="252"/>
      <c r="OQ69" s="252"/>
      <c r="OR69" s="252"/>
      <c r="OS69" s="252"/>
      <c r="OT69" s="252"/>
      <c r="OU69" s="252"/>
      <c r="OV69" s="252"/>
      <c r="OW69" s="252"/>
      <c r="OX69" s="252"/>
      <c r="OY69" s="252"/>
      <c r="OZ69" s="252"/>
      <c r="PA69" s="252"/>
      <c r="PB69" s="252"/>
      <c r="PC69" s="252"/>
      <c r="PD69" s="252"/>
      <c r="PE69" s="252"/>
      <c r="PF69" s="252"/>
      <c r="PG69" s="252"/>
      <c r="PH69" s="252"/>
      <c r="PI69" s="252"/>
      <c r="PJ69" s="252"/>
      <c r="PK69" s="252"/>
      <c r="PL69" s="252"/>
      <c r="PM69" s="252"/>
      <c r="PN69" s="252"/>
      <c r="PO69" s="252"/>
      <c r="PP69" s="252"/>
      <c r="PQ69" s="252"/>
      <c r="PR69" s="252"/>
      <c r="PS69" s="252"/>
      <c r="PT69" s="252"/>
      <c r="PU69" s="252"/>
      <c r="PV69" s="252"/>
      <c r="PW69" s="252"/>
      <c r="PX69" s="252"/>
      <c r="PY69" s="252"/>
      <c r="PZ69" s="252"/>
      <c r="QA69" s="252"/>
      <c r="QB69" s="252"/>
      <c r="QC69" s="252"/>
      <c r="QD69" s="252"/>
      <c r="QE69" s="252"/>
      <c r="QF69" s="252"/>
      <c r="QG69" s="252"/>
      <c r="QH69" s="252"/>
      <c r="QI69" s="252"/>
      <c r="QJ69" s="252"/>
      <c r="QK69" s="252"/>
      <c r="QL69" s="252"/>
      <c r="QM69" s="252"/>
      <c r="QN69" s="252"/>
      <c r="QO69" s="252"/>
      <c r="QP69" s="252"/>
      <c r="QQ69" s="252"/>
      <c r="QR69" s="252"/>
      <c r="QS69" s="252"/>
      <c r="QT69" s="252"/>
      <c r="QU69" s="252"/>
      <c r="QV69" s="252"/>
      <c r="QW69" s="252"/>
      <c r="QX69" s="252"/>
      <c r="QY69" s="252"/>
      <c r="QZ69" s="252"/>
      <c r="RA69" s="252"/>
      <c r="RB69" s="252"/>
      <c r="RC69" s="252"/>
      <c r="RD69" s="252"/>
      <c r="RE69" s="252"/>
      <c r="RF69" s="252"/>
      <c r="RG69" s="252"/>
      <c r="RH69" s="252"/>
      <c r="RI69" s="252"/>
      <c r="RJ69" s="252"/>
      <c r="RK69" s="252"/>
      <c r="RL69" s="252"/>
      <c r="RM69" s="252"/>
      <c r="RN69" s="252"/>
      <c r="RO69" s="252"/>
      <c r="RP69" s="252"/>
      <c r="RQ69" s="252"/>
      <c r="RR69" s="252"/>
      <c r="RS69" s="252"/>
      <c r="RT69" s="252"/>
      <c r="RU69" s="252"/>
      <c r="RV69" s="252"/>
      <c r="RW69" s="252"/>
      <c r="RX69" s="252"/>
      <c r="RY69" s="252"/>
      <c r="RZ69" s="252"/>
      <c r="SA69" s="252"/>
      <c r="SB69" s="252"/>
      <c r="SC69" s="252"/>
      <c r="SD69" s="252"/>
      <c r="SE69" s="252"/>
      <c r="SF69" s="252"/>
      <c r="SG69" s="252"/>
      <c r="SH69" s="252"/>
      <c r="SI69" s="252"/>
      <c r="SJ69" s="252"/>
      <c r="SK69" s="252"/>
      <c r="SL69" s="252"/>
      <c r="SM69" s="252"/>
      <c r="SN69" s="252"/>
      <c r="SO69" s="252"/>
      <c r="SP69" s="252"/>
      <c r="SQ69" s="252"/>
      <c r="SR69" s="252"/>
      <c r="SS69" s="252"/>
      <c r="ST69" s="252"/>
      <c r="SU69" s="252"/>
      <c r="SV69" s="252"/>
      <c r="SW69" s="252"/>
      <c r="SX69" s="252"/>
      <c r="SY69" s="252"/>
      <c r="SZ69" s="252"/>
      <c r="TA69" s="252"/>
      <c r="TB69" s="252"/>
      <c r="TC69" s="252"/>
      <c r="TD69" s="252"/>
      <c r="TE69" s="252"/>
      <c r="TF69" s="252"/>
      <c r="TG69" s="252"/>
      <c r="TH69" s="252"/>
      <c r="TI69" s="252"/>
      <c r="TJ69" s="252"/>
      <c r="TK69" s="252"/>
      <c r="TL69" s="252"/>
      <c r="TM69" s="252"/>
      <c r="TN69" s="252"/>
      <c r="TO69" s="252"/>
      <c r="TP69" s="252"/>
      <c r="TQ69" s="252"/>
      <c r="TR69" s="252"/>
      <c r="TS69" s="252"/>
      <c r="TT69" s="252"/>
      <c r="TU69" s="252"/>
      <c r="TV69" s="252"/>
      <c r="TW69" s="252"/>
      <c r="TX69" s="252"/>
      <c r="TY69" s="252"/>
      <c r="TZ69" s="252"/>
      <c r="UA69" s="252"/>
      <c r="UB69" s="252"/>
      <c r="UC69" s="252"/>
      <c r="UD69" s="252"/>
      <c r="UE69" s="252"/>
      <c r="UF69" s="252"/>
      <c r="UG69" s="252"/>
      <c r="UH69" s="252"/>
      <c r="UI69" s="252"/>
      <c r="UJ69" s="252"/>
      <c r="UK69" s="252"/>
      <c r="UL69" s="252"/>
      <c r="UM69" s="252"/>
      <c r="UN69" s="252"/>
      <c r="UO69" s="252"/>
      <c r="UP69" s="252"/>
      <c r="UQ69" s="252"/>
      <c r="UR69" s="252"/>
      <c r="US69" s="252"/>
      <c r="UT69" s="252"/>
      <c r="UU69" s="252"/>
      <c r="UV69" s="252"/>
      <c r="UW69" s="252"/>
      <c r="UX69" s="252"/>
      <c r="UY69" s="252"/>
      <c r="UZ69" s="252"/>
      <c r="VA69" s="252"/>
      <c r="VB69" s="252"/>
      <c r="VC69" s="252"/>
      <c r="VD69" s="252"/>
      <c r="VE69" s="252"/>
      <c r="VF69" s="252"/>
      <c r="VG69" s="252"/>
      <c r="VH69" s="252"/>
      <c r="VI69" s="252"/>
      <c r="VJ69" s="252"/>
      <c r="VK69" s="252"/>
      <c r="VL69" s="252"/>
      <c r="VM69" s="252"/>
      <c r="VN69" s="252"/>
      <c r="VO69" s="252"/>
      <c r="VP69" s="252"/>
      <c r="VQ69" s="252"/>
      <c r="VR69" s="252"/>
      <c r="VS69" s="252"/>
      <c r="VT69" s="252"/>
      <c r="VU69" s="252"/>
      <c r="VV69" s="252"/>
      <c r="VW69" s="252"/>
      <c r="VX69" s="252"/>
      <c r="VY69" s="252"/>
      <c r="VZ69" s="252"/>
      <c r="WA69" s="252"/>
      <c r="WB69" s="252"/>
      <c r="WC69" s="252"/>
      <c r="WD69" s="252"/>
      <c r="WE69" s="252"/>
      <c r="WF69" s="252"/>
      <c r="WG69" s="252"/>
      <c r="WH69" s="252"/>
      <c r="WI69" s="252"/>
      <c r="WJ69" s="252"/>
      <c r="WK69" s="252"/>
      <c r="WL69" s="252"/>
      <c r="WM69" s="252"/>
      <c r="WN69" s="252"/>
      <c r="WO69" s="252"/>
      <c r="WP69" s="252"/>
      <c r="WQ69" s="252"/>
      <c r="WR69" s="252"/>
      <c r="WS69" s="252"/>
      <c r="WT69" s="252"/>
      <c r="WU69" s="252"/>
      <c r="WV69" s="252"/>
      <c r="WW69" s="252"/>
      <c r="WX69" s="252"/>
      <c r="WY69" s="252"/>
      <c r="WZ69" s="252"/>
      <c r="XA69" s="252"/>
      <c r="XB69" s="252"/>
      <c r="XC69" s="252"/>
      <c r="XD69" s="252"/>
      <c r="XE69" s="252"/>
      <c r="XF69" s="252"/>
      <c r="XG69" s="252"/>
      <c r="XH69" s="252"/>
      <c r="XI69" s="252"/>
      <c r="XJ69" s="252"/>
      <c r="XK69" s="252"/>
      <c r="XL69" s="252"/>
      <c r="XM69" s="252"/>
      <c r="XN69" s="252"/>
      <c r="XO69" s="252"/>
      <c r="XP69" s="252"/>
      <c r="XQ69" s="252"/>
      <c r="XR69" s="252"/>
      <c r="XS69" s="252"/>
      <c r="XT69" s="252"/>
      <c r="XU69" s="252"/>
      <c r="XV69" s="252"/>
      <c r="XW69" s="252"/>
      <c r="XX69" s="252"/>
      <c r="XY69" s="252"/>
      <c r="XZ69" s="252"/>
      <c r="YA69" s="252"/>
      <c r="YB69" s="252"/>
      <c r="YC69" s="252"/>
      <c r="YD69" s="252"/>
      <c r="YE69" s="252"/>
      <c r="YF69" s="252"/>
      <c r="YG69" s="252"/>
      <c r="YH69" s="252"/>
      <c r="YI69" s="252"/>
      <c r="YJ69" s="252"/>
      <c r="YK69" s="252"/>
      <c r="YL69" s="252"/>
      <c r="YM69" s="252"/>
      <c r="YN69" s="252"/>
      <c r="YO69" s="252"/>
      <c r="YP69" s="252"/>
      <c r="YQ69" s="252"/>
      <c r="YR69" s="252"/>
      <c r="YS69" s="252"/>
      <c r="YT69" s="252"/>
      <c r="YU69" s="252"/>
      <c r="YV69" s="252"/>
      <c r="YW69" s="252"/>
      <c r="YX69" s="252"/>
      <c r="YY69" s="252"/>
      <c r="YZ69" s="252"/>
      <c r="ZA69" s="252"/>
      <c r="ZB69" s="252"/>
      <c r="ZC69" s="252"/>
      <c r="ZD69" s="252"/>
      <c r="ZE69" s="252"/>
      <c r="ZF69" s="252"/>
      <c r="ZG69" s="252"/>
      <c r="ZH69" s="252"/>
      <c r="ZI69" s="252"/>
      <c r="ZJ69" s="252"/>
      <c r="ZK69" s="252"/>
      <c r="ZL69" s="252"/>
      <c r="ZM69" s="252"/>
      <c r="ZN69" s="252"/>
      <c r="ZO69" s="252"/>
      <c r="ZP69" s="252"/>
      <c r="ZQ69" s="252"/>
      <c r="ZR69" s="252"/>
      <c r="ZS69" s="252"/>
      <c r="ZT69" s="252"/>
      <c r="ZU69" s="252"/>
      <c r="ZV69" s="252"/>
      <c r="ZW69" s="252"/>
      <c r="ZX69" s="252"/>
      <c r="ZY69" s="252"/>
      <c r="ZZ69" s="252"/>
      <c r="AAA69" s="252"/>
      <c r="AAB69" s="252"/>
      <c r="AAC69" s="252"/>
      <c r="AAD69" s="252"/>
      <c r="AAE69" s="252"/>
      <c r="AAF69" s="252"/>
      <c r="AAG69" s="252"/>
      <c r="AAH69" s="252"/>
      <c r="AAI69" s="252"/>
      <c r="AAJ69" s="252"/>
      <c r="AAK69" s="252"/>
      <c r="AAL69" s="252"/>
      <c r="AAM69" s="252"/>
      <c r="AAN69" s="252"/>
      <c r="AAO69" s="252"/>
      <c r="AAP69" s="252"/>
      <c r="AAQ69" s="252"/>
      <c r="AAR69" s="252"/>
      <c r="AAS69" s="252"/>
      <c r="AAT69" s="252"/>
      <c r="AAU69" s="252"/>
      <c r="AAV69" s="252"/>
      <c r="AAW69" s="252"/>
      <c r="AAX69" s="252"/>
      <c r="AAY69" s="252"/>
      <c r="AAZ69" s="252"/>
      <c r="ABA69" s="252"/>
      <c r="ABB69" s="252"/>
      <c r="ABC69" s="252"/>
      <c r="ABD69" s="252"/>
      <c r="ABE69" s="252"/>
      <c r="ABF69" s="252"/>
      <c r="ABG69" s="252"/>
      <c r="ABH69" s="252"/>
      <c r="ABI69" s="252"/>
      <c r="ABJ69" s="252"/>
      <c r="ABK69" s="252"/>
      <c r="ABL69" s="252"/>
      <c r="ABM69" s="252"/>
      <c r="ABN69" s="252"/>
      <c r="ABO69" s="252"/>
      <c r="ABP69" s="252"/>
      <c r="ABQ69" s="252"/>
      <c r="ABR69" s="252"/>
      <c r="ABS69" s="252"/>
      <c r="ABT69" s="252"/>
      <c r="ABU69" s="252"/>
      <c r="ABV69" s="252"/>
      <c r="ABW69" s="252"/>
      <c r="ABX69" s="252"/>
      <c r="ABY69" s="252"/>
      <c r="ABZ69" s="252"/>
      <c r="ACA69" s="252"/>
      <c r="ACB69" s="252"/>
      <c r="ACC69" s="252"/>
      <c r="ACD69" s="252"/>
      <c r="ACE69" s="252"/>
      <c r="ACF69" s="252"/>
      <c r="ACG69" s="252"/>
      <c r="ACH69" s="252"/>
      <c r="ACI69" s="252"/>
      <c r="ACJ69" s="252"/>
      <c r="ACK69" s="252"/>
      <c r="ACL69" s="252"/>
      <c r="ACM69" s="252"/>
      <c r="ACN69" s="252"/>
      <c r="ACO69" s="252"/>
      <c r="ACP69" s="252"/>
      <c r="ACQ69" s="252"/>
      <c r="ACR69" s="252"/>
      <c r="ACS69" s="252"/>
      <c r="ACT69" s="252"/>
      <c r="ACU69" s="252"/>
      <c r="ACV69" s="252"/>
      <c r="ACW69" s="252"/>
      <c r="ACX69" s="252"/>
      <c r="ACY69" s="252"/>
      <c r="ACZ69" s="252"/>
      <c r="ADA69" s="252"/>
      <c r="ADB69" s="252"/>
      <c r="ADC69" s="252"/>
      <c r="ADD69" s="252"/>
      <c r="ADE69" s="252"/>
      <c r="ADF69" s="252"/>
      <c r="ADG69" s="252"/>
      <c r="ADH69" s="252"/>
      <c r="ADI69" s="252"/>
      <c r="ADJ69" s="252"/>
      <c r="ADK69" s="252"/>
      <c r="ADL69" s="252"/>
      <c r="ADM69" s="252"/>
      <c r="ADN69" s="252"/>
      <c r="ADO69" s="252"/>
      <c r="ADP69" s="252"/>
      <c r="ADQ69" s="252"/>
      <c r="ADR69" s="252"/>
      <c r="ADS69" s="252"/>
      <c r="ADT69" s="252"/>
      <c r="ADU69" s="252"/>
      <c r="ADV69" s="252"/>
      <c r="ADW69" s="252"/>
      <c r="ADX69" s="252"/>
      <c r="ADY69" s="252"/>
      <c r="ADZ69" s="252"/>
      <c r="AEA69" s="252"/>
      <c r="AEB69" s="252"/>
      <c r="AEC69" s="252"/>
      <c r="AED69" s="252"/>
      <c r="AEE69" s="252"/>
      <c r="AEF69" s="252"/>
      <c r="AEG69" s="252"/>
      <c r="AEH69" s="252"/>
      <c r="AEI69" s="252"/>
      <c r="AEJ69" s="252"/>
      <c r="AEK69" s="252"/>
      <c r="AEL69" s="252"/>
      <c r="AEM69" s="252"/>
      <c r="AEN69" s="252"/>
      <c r="AEO69" s="252"/>
      <c r="AEP69" s="252"/>
      <c r="AEQ69" s="252"/>
      <c r="AER69" s="252"/>
      <c r="AES69" s="252"/>
      <c r="AET69" s="252"/>
      <c r="AEU69" s="252"/>
      <c r="AEV69" s="252"/>
      <c r="AEW69" s="252"/>
      <c r="AEX69" s="252"/>
      <c r="AEY69" s="252"/>
      <c r="AEZ69" s="252"/>
      <c r="AFA69" s="252"/>
      <c r="AFB69" s="252"/>
      <c r="AFC69" s="252"/>
      <c r="AFD69" s="252"/>
      <c r="AFE69" s="252"/>
      <c r="AFF69" s="252"/>
      <c r="AFG69" s="252"/>
      <c r="AFH69" s="252"/>
      <c r="AFI69" s="252"/>
      <c r="AFJ69" s="252"/>
      <c r="AFK69" s="252"/>
      <c r="AFL69" s="252"/>
      <c r="AFM69" s="252"/>
      <c r="AFN69" s="252"/>
      <c r="AFO69" s="252"/>
      <c r="AFP69" s="252"/>
      <c r="AFQ69" s="252"/>
      <c r="AFR69" s="252"/>
      <c r="AFS69" s="252"/>
      <c r="AFT69" s="252"/>
      <c r="AFU69" s="252"/>
      <c r="AFV69" s="252"/>
      <c r="AFW69" s="252"/>
      <c r="AFX69" s="252"/>
      <c r="AFY69" s="252"/>
      <c r="AFZ69" s="252"/>
      <c r="AGA69" s="252"/>
      <c r="AGB69" s="252"/>
      <c r="AGC69" s="252"/>
      <c r="AGD69" s="252"/>
      <c r="AGE69" s="252"/>
      <c r="AGF69" s="252"/>
      <c r="AGG69" s="252"/>
      <c r="AGH69" s="252"/>
      <c r="AGI69" s="252"/>
      <c r="AGJ69" s="252"/>
      <c r="AGK69" s="252"/>
      <c r="AGL69" s="252"/>
      <c r="AGM69" s="252"/>
      <c r="AGN69" s="252"/>
      <c r="AGO69" s="252"/>
      <c r="AGP69" s="252"/>
      <c r="AGQ69" s="252"/>
      <c r="AGR69" s="252"/>
      <c r="AGS69" s="252"/>
      <c r="AGT69" s="252"/>
      <c r="AGU69" s="252"/>
      <c r="AGV69" s="252"/>
      <c r="AGW69" s="252"/>
      <c r="AGX69" s="252"/>
      <c r="AGY69" s="252"/>
      <c r="AGZ69" s="252"/>
      <c r="AHA69" s="252"/>
      <c r="AHB69" s="252"/>
      <c r="AHC69" s="252"/>
      <c r="AHD69" s="252"/>
      <c r="AHE69" s="252"/>
      <c r="AHF69" s="252"/>
      <c r="AHG69" s="252"/>
      <c r="AHH69" s="252"/>
      <c r="AHI69" s="252"/>
      <c r="AHJ69" s="252"/>
      <c r="AHK69" s="252"/>
      <c r="AHL69" s="252"/>
      <c r="AHM69" s="252"/>
      <c r="AHN69" s="252"/>
      <c r="AHO69" s="252"/>
      <c r="AHP69" s="252"/>
      <c r="AHQ69" s="252"/>
      <c r="AHR69" s="252"/>
      <c r="AHS69" s="252"/>
      <c r="AHT69" s="252"/>
      <c r="AHU69" s="252"/>
      <c r="AHV69" s="252"/>
      <c r="AHW69" s="252"/>
      <c r="AHX69" s="252"/>
      <c r="AHY69" s="252"/>
      <c r="AHZ69" s="252"/>
      <c r="AIA69" s="252"/>
      <c r="AIB69" s="252"/>
      <c r="AIC69" s="252"/>
      <c r="AID69" s="252"/>
      <c r="AIE69" s="252"/>
      <c r="AIF69" s="252"/>
      <c r="AIG69" s="252"/>
      <c r="AIH69" s="252"/>
      <c r="AII69" s="252"/>
      <c r="AIJ69" s="252"/>
      <c r="AIK69" s="252"/>
      <c r="AIL69" s="252"/>
      <c r="AIM69" s="252"/>
      <c r="AIN69" s="252"/>
      <c r="AIO69" s="252"/>
      <c r="AIP69" s="252"/>
      <c r="AIQ69" s="252"/>
      <c r="AIR69" s="252"/>
      <c r="AIS69" s="252"/>
      <c r="AIT69" s="252"/>
      <c r="AIU69" s="252"/>
      <c r="AIV69" s="252"/>
      <c r="AIW69" s="252"/>
      <c r="AIX69" s="252"/>
      <c r="AIY69" s="252"/>
      <c r="AIZ69" s="252"/>
      <c r="AJA69" s="252"/>
      <c r="AJB69" s="252"/>
      <c r="AJC69" s="252"/>
      <c r="AJD69" s="252"/>
      <c r="AJE69" s="252"/>
      <c r="AJF69" s="252"/>
      <c r="AJG69" s="252"/>
      <c r="AJH69" s="252"/>
      <c r="AJI69" s="252"/>
      <c r="AJJ69" s="252"/>
      <c r="AJK69" s="252"/>
      <c r="AJL69" s="252"/>
      <c r="AJM69" s="252"/>
      <c r="AJN69" s="252"/>
      <c r="AJO69" s="252"/>
      <c r="AJP69" s="252"/>
      <c r="AJQ69" s="252"/>
      <c r="AJR69" s="252"/>
      <c r="AJS69" s="252"/>
      <c r="AJT69" s="252"/>
      <c r="AJU69" s="252"/>
      <c r="AJV69" s="252"/>
      <c r="AJW69" s="252"/>
      <c r="AJX69" s="252"/>
      <c r="AJY69" s="252"/>
      <c r="AJZ69" s="252"/>
      <c r="AKA69" s="252"/>
      <c r="AKB69" s="252"/>
      <c r="AKC69" s="252"/>
      <c r="AKD69" s="252"/>
      <c r="AKE69" s="252"/>
      <c r="AKF69" s="252"/>
      <c r="AKG69" s="252"/>
      <c r="AKH69" s="252"/>
      <c r="AKI69" s="252"/>
      <c r="AKJ69" s="252"/>
      <c r="AKK69" s="252"/>
      <c r="AKL69" s="252"/>
      <c r="AKM69" s="252"/>
      <c r="AKN69" s="252"/>
      <c r="AKO69" s="252"/>
      <c r="AKP69" s="252"/>
      <c r="AKQ69" s="252"/>
      <c r="AKR69" s="252"/>
      <c r="AKS69" s="252"/>
      <c r="AKT69" s="252"/>
      <c r="AKU69" s="252"/>
      <c r="AKV69" s="252"/>
      <c r="AKW69" s="252"/>
      <c r="AKX69" s="252"/>
      <c r="AKY69" s="252"/>
      <c r="AKZ69" s="252"/>
      <c r="ALA69" s="252"/>
      <c r="ALB69" s="252"/>
      <c r="ALC69" s="252"/>
      <c r="ALD69" s="252"/>
      <c r="ALE69" s="252"/>
      <c r="ALF69" s="252"/>
      <c r="ALG69" s="252"/>
      <c r="ALH69" s="252"/>
      <c r="ALI69" s="252"/>
      <c r="ALJ69" s="252"/>
      <c r="ALK69" s="252"/>
      <c r="ALL69" s="252"/>
      <c r="ALM69" s="252"/>
      <c r="ALN69" s="252"/>
      <c r="ALO69" s="252"/>
      <c r="ALP69" s="252"/>
      <c r="ALQ69" s="252"/>
      <c r="ALR69" s="252"/>
      <c r="ALS69" s="252"/>
    </row>
    <row r="70" spans="1:1007" s="3" customFormat="1" x14ac:dyDescent="0.2">
      <c r="A70" s="369" t="s">
        <v>290</v>
      </c>
      <c r="B70" s="392">
        <v>950</v>
      </c>
      <c r="C70" s="392">
        <v>950</v>
      </c>
      <c r="D70" s="392"/>
      <c r="E70" s="731"/>
      <c r="F70" s="730"/>
      <c r="G70" s="730"/>
      <c r="H70" s="730"/>
      <c r="I70" s="730"/>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252"/>
      <c r="AQ70" s="252"/>
      <c r="AR70" s="252"/>
      <c r="AS70" s="252"/>
      <c r="AT70" s="252"/>
      <c r="AU70" s="252"/>
      <c r="AV70" s="252"/>
      <c r="AW70" s="252"/>
      <c r="AX70" s="252"/>
      <c r="AY70" s="252"/>
      <c r="AZ70" s="252"/>
      <c r="BA70" s="252"/>
      <c r="BB70" s="252"/>
      <c r="BC70" s="252"/>
      <c r="BD70" s="252"/>
      <c r="BE70" s="252"/>
      <c r="BF70" s="252"/>
      <c r="BG70" s="252"/>
      <c r="BH70" s="252"/>
      <c r="BI70" s="252"/>
      <c r="BJ70" s="252"/>
      <c r="BK70" s="252"/>
      <c r="BL70" s="252"/>
      <c r="BM70" s="252"/>
      <c r="BN70" s="252"/>
      <c r="BO70" s="252"/>
      <c r="BP70" s="252"/>
      <c r="BQ70" s="252"/>
      <c r="BR70" s="252"/>
      <c r="BS70" s="252"/>
      <c r="BT70" s="252"/>
      <c r="BU70" s="252"/>
      <c r="BV70" s="252"/>
      <c r="BW70" s="252"/>
      <c r="BX70" s="252"/>
      <c r="BY70" s="252"/>
      <c r="BZ70" s="252"/>
      <c r="CA70" s="252"/>
      <c r="CB70" s="252"/>
      <c r="CC70" s="252"/>
      <c r="CD70" s="252"/>
      <c r="CE70" s="252"/>
      <c r="CF70" s="252"/>
      <c r="CG70" s="252"/>
      <c r="CH70" s="252"/>
      <c r="CI70" s="252"/>
      <c r="CJ70" s="252"/>
      <c r="CK70" s="252"/>
      <c r="CL70" s="252"/>
      <c r="CM70" s="252"/>
      <c r="CN70" s="252"/>
      <c r="CO70" s="252"/>
      <c r="CP70" s="252"/>
      <c r="CQ70" s="252"/>
      <c r="CR70" s="252"/>
      <c r="CS70" s="252"/>
      <c r="CT70" s="252"/>
      <c r="CU70" s="252"/>
      <c r="CV70" s="252"/>
      <c r="CW70" s="252"/>
      <c r="CX70" s="252"/>
      <c r="CY70" s="252"/>
      <c r="CZ70" s="252"/>
      <c r="DA70" s="252"/>
      <c r="DB70" s="252"/>
      <c r="DC70" s="252"/>
      <c r="DD70" s="252"/>
      <c r="DE70" s="252"/>
      <c r="DF70" s="252"/>
      <c r="DG70" s="252"/>
      <c r="DH70" s="252"/>
      <c r="DI70" s="252"/>
      <c r="DJ70" s="252"/>
      <c r="DK70" s="252"/>
      <c r="DL70" s="252"/>
      <c r="DM70" s="252"/>
      <c r="DN70" s="252"/>
      <c r="DO70" s="252"/>
      <c r="DP70" s="252"/>
      <c r="DQ70" s="252"/>
      <c r="DR70" s="252"/>
      <c r="DS70" s="252"/>
      <c r="DT70" s="252"/>
      <c r="DU70" s="252"/>
      <c r="DV70" s="252"/>
      <c r="DW70" s="252"/>
      <c r="DX70" s="252"/>
      <c r="DY70" s="252"/>
      <c r="DZ70" s="252"/>
      <c r="EA70" s="252"/>
      <c r="EB70" s="252"/>
      <c r="EC70" s="252"/>
      <c r="ED70" s="252"/>
      <c r="EE70" s="252"/>
      <c r="EF70" s="252"/>
      <c r="EG70" s="252"/>
      <c r="EH70" s="252"/>
      <c r="EI70" s="252"/>
      <c r="EJ70" s="252"/>
      <c r="EK70" s="252"/>
      <c r="EL70" s="252"/>
      <c r="EM70" s="252"/>
      <c r="EN70" s="252"/>
      <c r="EO70" s="252"/>
      <c r="EP70" s="252"/>
      <c r="EQ70" s="252"/>
      <c r="ER70" s="252"/>
      <c r="ES70" s="252"/>
      <c r="ET70" s="252"/>
      <c r="EU70" s="252"/>
      <c r="EV70" s="252"/>
      <c r="EW70" s="252"/>
      <c r="EX70" s="252"/>
      <c r="EY70" s="252"/>
      <c r="EZ70" s="252"/>
      <c r="FA70" s="252"/>
      <c r="FB70" s="252"/>
      <c r="FC70" s="252"/>
      <c r="FD70" s="252"/>
      <c r="FE70" s="252"/>
      <c r="FF70" s="252"/>
      <c r="FG70" s="252"/>
      <c r="FH70" s="252"/>
      <c r="FI70" s="252"/>
      <c r="FJ70" s="252"/>
      <c r="FK70" s="252"/>
      <c r="FL70" s="252"/>
      <c r="FM70" s="252"/>
      <c r="FN70" s="252"/>
      <c r="FO70" s="252"/>
      <c r="FP70" s="252"/>
      <c r="FQ70" s="252"/>
      <c r="FR70" s="252"/>
      <c r="FS70" s="252"/>
      <c r="FT70" s="252"/>
      <c r="FU70" s="252"/>
      <c r="FV70" s="252"/>
      <c r="FW70" s="252"/>
      <c r="FX70" s="252"/>
      <c r="FY70" s="252"/>
      <c r="FZ70" s="252"/>
      <c r="GA70" s="252"/>
      <c r="GB70" s="252"/>
      <c r="GC70" s="252"/>
      <c r="GD70" s="252"/>
      <c r="GE70" s="252"/>
      <c r="GF70" s="252"/>
      <c r="GG70" s="252"/>
      <c r="GH70" s="252"/>
      <c r="GI70" s="252"/>
      <c r="GJ70" s="252"/>
      <c r="GK70" s="252"/>
      <c r="GL70" s="252"/>
      <c r="GM70" s="252"/>
      <c r="GN70" s="252"/>
      <c r="GO70" s="252"/>
      <c r="GP70" s="252"/>
      <c r="GQ70" s="252"/>
      <c r="GR70" s="252"/>
      <c r="GS70" s="252"/>
      <c r="GT70" s="252"/>
      <c r="GU70" s="252"/>
      <c r="GV70" s="252"/>
      <c r="GW70" s="252"/>
      <c r="GX70" s="252"/>
      <c r="GY70" s="252"/>
      <c r="GZ70" s="252"/>
      <c r="HA70" s="252"/>
      <c r="HB70" s="252"/>
      <c r="HC70" s="252"/>
      <c r="HD70" s="252"/>
      <c r="HE70" s="252"/>
      <c r="HF70" s="252"/>
      <c r="HG70" s="252"/>
      <c r="HH70" s="252"/>
      <c r="HI70" s="252"/>
      <c r="HJ70" s="252"/>
      <c r="HK70" s="252"/>
      <c r="HL70" s="252"/>
      <c r="HM70" s="252"/>
      <c r="HN70" s="252"/>
      <c r="HO70" s="252"/>
      <c r="HP70" s="252"/>
      <c r="HQ70" s="252"/>
      <c r="HR70" s="252"/>
      <c r="HS70" s="252"/>
      <c r="HT70" s="252"/>
      <c r="HU70" s="252"/>
      <c r="HV70" s="252"/>
      <c r="HW70" s="252"/>
      <c r="HX70" s="252"/>
      <c r="HY70" s="252"/>
      <c r="HZ70" s="252"/>
      <c r="IA70" s="252"/>
      <c r="IB70" s="252"/>
      <c r="IC70" s="252"/>
      <c r="ID70" s="252"/>
      <c r="IE70" s="252"/>
      <c r="IF70" s="252"/>
      <c r="IG70" s="252"/>
      <c r="IH70" s="252"/>
      <c r="II70" s="252"/>
      <c r="IJ70" s="252"/>
      <c r="IK70" s="252"/>
      <c r="IL70" s="252"/>
      <c r="IM70" s="252"/>
      <c r="IN70" s="252"/>
      <c r="IO70" s="252"/>
      <c r="IP70" s="252"/>
      <c r="IQ70" s="252"/>
      <c r="IR70" s="252"/>
      <c r="IS70" s="252"/>
      <c r="IT70" s="252"/>
      <c r="IU70" s="252"/>
      <c r="IV70" s="252"/>
      <c r="IW70" s="252"/>
      <c r="IX70" s="252"/>
      <c r="IY70" s="252"/>
      <c r="IZ70" s="252"/>
      <c r="JA70" s="252"/>
      <c r="JB70" s="252"/>
      <c r="JC70" s="252"/>
      <c r="JD70" s="252"/>
      <c r="JE70" s="252"/>
      <c r="JF70" s="252"/>
      <c r="JG70" s="252"/>
      <c r="JH70" s="252"/>
      <c r="JI70" s="252"/>
      <c r="JJ70" s="252"/>
      <c r="JK70" s="252"/>
      <c r="JL70" s="252"/>
      <c r="JM70" s="252"/>
      <c r="JN70" s="252"/>
      <c r="JO70" s="252"/>
      <c r="JP70" s="252"/>
      <c r="JQ70" s="252"/>
      <c r="JR70" s="252"/>
      <c r="JS70" s="252"/>
      <c r="JT70" s="252"/>
      <c r="JU70" s="252"/>
      <c r="JV70" s="252"/>
      <c r="JW70" s="252"/>
      <c r="JX70" s="252"/>
      <c r="JY70" s="252"/>
      <c r="JZ70" s="252"/>
      <c r="KA70" s="252"/>
      <c r="KB70" s="252"/>
      <c r="KC70" s="252"/>
      <c r="KD70" s="252"/>
      <c r="KE70" s="252"/>
      <c r="KF70" s="252"/>
      <c r="KG70" s="252"/>
      <c r="KH70" s="252"/>
      <c r="KI70" s="252"/>
      <c r="KJ70" s="252"/>
      <c r="KK70" s="252"/>
      <c r="KL70" s="252"/>
      <c r="KM70" s="252"/>
      <c r="KN70" s="252"/>
      <c r="KO70" s="252"/>
      <c r="KP70" s="252"/>
      <c r="KQ70" s="252"/>
      <c r="KR70" s="252"/>
      <c r="KS70" s="252"/>
      <c r="KT70" s="252"/>
      <c r="KU70" s="252"/>
      <c r="KV70" s="252"/>
      <c r="KW70" s="252"/>
      <c r="KX70" s="252"/>
      <c r="KY70" s="252"/>
      <c r="KZ70" s="252"/>
      <c r="LA70" s="252"/>
      <c r="LB70" s="252"/>
      <c r="LC70" s="252"/>
      <c r="LD70" s="252"/>
      <c r="LE70" s="252"/>
      <c r="LF70" s="252"/>
      <c r="LG70" s="252"/>
      <c r="LH70" s="252"/>
      <c r="LI70" s="252"/>
      <c r="LJ70" s="252"/>
      <c r="LK70" s="252"/>
      <c r="LL70" s="252"/>
      <c r="LM70" s="252"/>
      <c r="LN70" s="252"/>
      <c r="LO70" s="252"/>
      <c r="LP70" s="252"/>
      <c r="LQ70" s="252"/>
      <c r="LR70" s="252"/>
      <c r="LS70" s="252"/>
      <c r="LT70" s="252"/>
      <c r="LU70" s="252"/>
      <c r="LV70" s="252"/>
      <c r="LW70" s="252"/>
      <c r="LX70" s="252"/>
      <c r="LY70" s="252"/>
      <c r="LZ70" s="252"/>
      <c r="MA70" s="252"/>
      <c r="MB70" s="252"/>
      <c r="MC70" s="252"/>
      <c r="MD70" s="252"/>
      <c r="ME70" s="252"/>
      <c r="MF70" s="252"/>
      <c r="MG70" s="252"/>
      <c r="MH70" s="252"/>
      <c r="MI70" s="252"/>
      <c r="MJ70" s="252"/>
      <c r="MK70" s="252"/>
      <c r="ML70" s="252"/>
      <c r="MM70" s="252"/>
      <c r="MN70" s="252"/>
      <c r="MO70" s="252"/>
      <c r="MP70" s="252"/>
      <c r="MQ70" s="252"/>
      <c r="MR70" s="252"/>
      <c r="MS70" s="252"/>
      <c r="MT70" s="252"/>
      <c r="MU70" s="252"/>
      <c r="MV70" s="252"/>
      <c r="MW70" s="252"/>
      <c r="MX70" s="252"/>
      <c r="MY70" s="252"/>
      <c r="MZ70" s="252"/>
      <c r="NA70" s="252"/>
      <c r="NB70" s="252"/>
      <c r="NC70" s="252"/>
      <c r="ND70" s="252"/>
      <c r="NE70" s="252"/>
      <c r="NF70" s="252"/>
      <c r="NG70" s="252"/>
      <c r="NH70" s="252"/>
      <c r="NI70" s="252"/>
      <c r="NJ70" s="252"/>
      <c r="NK70" s="252"/>
      <c r="NL70" s="252"/>
      <c r="NM70" s="252"/>
      <c r="NN70" s="252"/>
      <c r="NO70" s="252"/>
      <c r="NP70" s="252"/>
      <c r="NQ70" s="252"/>
      <c r="NR70" s="252"/>
      <c r="NS70" s="252"/>
      <c r="NT70" s="252"/>
      <c r="NU70" s="252"/>
      <c r="NV70" s="252"/>
      <c r="NW70" s="252"/>
      <c r="NX70" s="252"/>
      <c r="NY70" s="252"/>
      <c r="NZ70" s="252"/>
      <c r="OA70" s="252"/>
      <c r="OB70" s="252"/>
      <c r="OC70" s="252"/>
      <c r="OD70" s="252"/>
      <c r="OE70" s="252"/>
      <c r="OF70" s="252"/>
      <c r="OG70" s="252"/>
      <c r="OH70" s="252"/>
      <c r="OI70" s="252"/>
      <c r="OJ70" s="252"/>
      <c r="OK70" s="252"/>
      <c r="OL70" s="252"/>
      <c r="OM70" s="252"/>
      <c r="ON70" s="252"/>
      <c r="OO70" s="252"/>
      <c r="OP70" s="252"/>
      <c r="OQ70" s="252"/>
      <c r="OR70" s="252"/>
      <c r="OS70" s="252"/>
      <c r="OT70" s="252"/>
      <c r="OU70" s="252"/>
      <c r="OV70" s="252"/>
      <c r="OW70" s="252"/>
      <c r="OX70" s="252"/>
      <c r="OY70" s="252"/>
      <c r="OZ70" s="252"/>
      <c r="PA70" s="252"/>
      <c r="PB70" s="252"/>
      <c r="PC70" s="252"/>
      <c r="PD70" s="252"/>
      <c r="PE70" s="252"/>
      <c r="PF70" s="252"/>
      <c r="PG70" s="252"/>
      <c r="PH70" s="252"/>
      <c r="PI70" s="252"/>
      <c r="PJ70" s="252"/>
      <c r="PK70" s="252"/>
      <c r="PL70" s="252"/>
      <c r="PM70" s="252"/>
      <c r="PN70" s="252"/>
      <c r="PO70" s="252"/>
      <c r="PP70" s="252"/>
      <c r="PQ70" s="252"/>
      <c r="PR70" s="252"/>
      <c r="PS70" s="252"/>
      <c r="PT70" s="252"/>
      <c r="PU70" s="252"/>
      <c r="PV70" s="252"/>
      <c r="PW70" s="252"/>
      <c r="PX70" s="252"/>
      <c r="PY70" s="252"/>
      <c r="PZ70" s="252"/>
      <c r="QA70" s="252"/>
      <c r="QB70" s="252"/>
      <c r="QC70" s="252"/>
      <c r="QD70" s="252"/>
      <c r="QE70" s="252"/>
      <c r="QF70" s="252"/>
      <c r="QG70" s="252"/>
      <c r="QH70" s="252"/>
      <c r="QI70" s="252"/>
      <c r="QJ70" s="252"/>
      <c r="QK70" s="252"/>
      <c r="QL70" s="252"/>
      <c r="QM70" s="252"/>
      <c r="QN70" s="252"/>
      <c r="QO70" s="252"/>
      <c r="QP70" s="252"/>
      <c r="QQ70" s="252"/>
      <c r="QR70" s="252"/>
      <c r="QS70" s="252"/>
      <c r="QT70" s="252"/>
      <c r="QU70" s="252"/>
      <c r="QV70" s="252"/>
      <c r="QW70" s="252"/>
      <c r="QX70" s="252"/>
      <c r="QY70" s="252"/>
      <c r="QZ70" s="252"/>
      <c r="RA70" s="252"/>
      <c r="RB70" s="252"/>
      <c r="RC70" s="252"/>
      <c r="RD70" s="252"/>
      <c r="RE70" s="252"/>
      <c r="RF70" s="252"/>
      <c r="RG70" s="252"/>
      <c r="RH70" s="252"/>
      <c r="RI70" s="252"/>
      <c r="RJ70" s="252"/>
      <c r="RK70" s="252"/>
      <c r="RL70" s="252"/>
      <c r="RM70" s="252"/>
      <c r="RN70" s="252"/>
      <c r="RO70" s="252"/>
      <c r="RP70" s="252"/>
      <c r="RQ70" s="252"/>
      <c r="RR70" s="252"/>
      <c r="RS70" s="252"/>
      <c r="RT70" s="252"/>
      <c r="RU70" s="252"/>
      <c r="RV70" s="252"/>
      <c r="RW70" s="252"/>
      <c r="RX70" s="252"/>
      <c r="RY70" s="252"/>
      <c r="RZ70" s="252"/>
      <c r="SA70" s="252"/>
      <c r="SB70" s="252"/>
      <c r="SC70" s="252"/>
      <c r="SD70" s="252"/>
      <c r="SE70" s="252"/>
      <c r="SF70" s="252"/>
      <c r="SG70" s="252"/>
      <c r="SH70" s="252"/>
      <c r="SI70" s="252"/>
      <c r="SJ70" s="252"/>
      <c r="SK70" s="252"/>
      <c r="SL70" s="252"/>
      <c r="SM70" s="252"/>
      <c r="SN70" s="252"/>
      <c r="SO70" s="252"/>
      <c r="SP70" s="252"/>
      <c r="SQ70" s="252"/>
      <c r="SR70" s="252"/>
      <c r="SS70" s="252"/>
      <c r="ST70" s="252"/>
      <c r="SU70" s="252"/>
      <c r="SV70" s="252"/>
      <c r="SW70" s="252"/>
      <c r="SX70" s="252"/>
      <c r="SY70" s="252"/>
      <c r="SZ70" s="252"/>
      <c r="TA70" s="252"/>
      <c r="TB70" s="252"/>
      <c r="TC70" s="252"/>
      <c r="TD70" s="252"/>
      <c r="TE70" s="252"/>
      <c r="TF70" s="252"/>
      <c r="TG70" s="252"/>
      <c r="TH70" s="252"/>
      <c r="TI70" s="252"/>
      <c r="TJ70" s="252"/>
      <c r="TK70" s="252"/>
      <c r="TL70" s="252"/>
      <c r="TM70" s="252"/>
      <c r="TN70" s="252"/>
      <c r="TO70" s="252"/>
      <c r="TP70" s="252"/>
      <c r="TQ70" s="252"/>
      <c r="TR70" s="252"/>
      <c r="TS70" s="252"/>
      <c r="TT70" s="252"/>
      <c r="TU70" s="252"/>
      <c r="TV70" s="252"/>
      <c r="TW70" s="252"/>
      <c r="TX70" s="252"/>
      <c r="TY70" s="252"/>
      <c r="TZ70" s="252"/>
      <c r="UA70" s="252"/>
      <c r="UB70" s="252"/>
      <c r="UC70" s="252"/>
      <c r="UD70" s="252"/>
      <c r="UE70" s="252"/>
      <c r="UF70" s="252"/>
      <c r="UG70" s="252"/>
      <c r="UH70" s="252"/>
      <c r="UI70" s="252"/>
      <c r="UJ70" s="252"/>
      <c r="UK70" s="252"/>
      <c r="UL70" s="252"/>
      <c r="UM70" s="252"/>
      <c r="UN70" s="252"/>
      <c r="UO70" s="252"/>
      <c r="UP70" s="252"/>
      <c r="UQ70" s="252"/>
      <c r="UR70" s="252"/>
      <c r="US70" s="252"/>
      <c r="UT70" s="252"/>
      <c r="UU70" s="252"/>
      <c r="UV70" s="252"/>
      <c r="UW70" s="252"/>
      <c r="UX70" s="252"/>
      <c r="UY70" s="252"/>
      <c r="UZ70" s="252"/>
      <c r="VA70" s="252"/>
      <c r="VB70" s="252"/>
      <c r="VC70" s="252"/>
      <c r="VD70" s="252"/>
      <c r="VE70" s="252"/>
      <c r="VF70" s="252"/>
      <c r="VG70" s="252"/>
      <c r="VH70" s="252"/>
      <c r="VI70" s="252"/>
      <c r="VJ70" s="252"/>
      <c r="VK70" s="252"/>
      <c r="VL70" s="252"/>
      <c r="VM70" s="252"/>
      <c r="VN70" s="252"/>
      <c r="VO70" s="252"/>
      <c r="VP70" s="252"/>
      <c r="VQ70" s="252"/>
      <c r="VR70" s="252"/>
      <c r="VS70" s="252"/>
      <c r="VT70" s="252"/>
      <c r="VU70" s="252"/>
      <c r="VV70" s="252"/>
      <c r="VW70" s="252"/>
      <c r="VX70" s="252"/>
      <c r="VY70" s="252"/>
      <c r="VZ70" s="252"/>
      <c r="WA70" s="252"/>
      <c r="WB70" s="252"/>
      <c r="WC70" s="252"/>
      <c r="WD70" s="252"/>
      <c r="WE70" s="252"/>
      <c r="WF70" s="252"/>
      <c r="WG70" s="252"/>
      <c r="WH70" s="252"/>
      <c r="WI70" s="252"/>
      <c r="WJ70" s="252"/>
      <c r="WK70" s="252"/>
      <c r="WL70" s="252"/>
      <c r="WM70" s="252"/>
      <c r="WN70" s="252"/>
      <c r="WO70" s="252"/>
      <c r="WP70" s="252"/>
      <c r="WQ70" s="252"/>
      <c r="WR70" s="252"/>
      <c r="WS70" s="252"/>
      <c r="WT70" s="252"/>
      <c r="WU70" s="252"/>
      <c r="WV70" s="252"/>
      <c r="WW70" s="252"/>
      <c r="WX70" s="252"/>
      <c r="WY70" s="252"/>
      <c r="WZ70" s="252"/>
      <c r="XA70" s="252"/>
      <c r="XB70" s="252"/>
      <c r="XC70" s="252"/>
      <c r="XD70" s="252"/>
      <c r="XE70" s="252"/>
      <c r="XF70" s="252"/>
      <c r="XG70" s="252"/>
      <c r="XH70" s="252"/>
      <c r="XI70" s="252"/>
      <c r="XJ70" s="252"/>
      <c r="XK70" s="252"/>
      <c r="XL70" s="252"/>
      <c r="XM70" s="252"/>
      <c r="XN70" s="252"/>
      <c r="XO70" s="252"/>
      <c r="XP70" s="252"/>
      <c r="XQ70" s="252"/>
      <c r="XR70" s="252"/>
      <c r="XS70" s="252"/>
      <c r="XT70" s="252"/>
      <c r="XU70" s="252"/>
      <c r="XV70" s="252"/>
      <c r="XW70" s="252"/>
      <c r="XX70" s="252"/>
      <c r="XY70" s="252"/>
      <c r="XZ70" s="252"/>
      <c r="YA70" s="252"/>
      <c r="YB70" s="252"/>
      <c r="YC70" s="252"/>
      <c r="YD70" s="252"/>
      <c r="YE70" s="252"/>
      <c r="YF70" s="252"/>
      <c r="YG70" s="252"/>
      <c r="YH70" s="252"/>
      <c r="YI70" s="252"/>
      <c r="YJ70" s="252"/>
      <c r="YK70" s="252"/>
      <c r="YL70" s="252"/>
      <c r="YM70" s="252"/>
      <c r="YN70" s="252"/>
      <c r="YO70" s="252"/>
      <c r="YP70" s="252"/>
      <c r="YQ70" s="252"/>
      <c r="YR70" s="252"/>
      <c r="YS70" s="252"/>
      <c r="YT70" s="252"/>
      <c r="YU70" s="252"/>
      <c r="YV70" s="252"/>
      <c r="YW70" s="252"/>
      <c r="YX70" s="252"/>
      <c r="YY70" s="252"/>
      <c r="YZ70" s="252"/>
      <c r="ZA70" s="252"/>
      <c r="ZB70" s="252"/>
      <c r="ZC70" s="252"/>
      <c r="ZD70" s="252"/>
      <c r="ZE70" s="252"/>
      <c r="ZF70" s="252"/>
      <c r="ZG70" s="252"/>
      <c r="ZH70" s="252"/>
      <c r="ZI70" s="252"/>
      <c r="ZJ70" s="252"/>
      <c r="ZK70" s="252"/>
      <c r="ZL70" s="252"/>
      <c r="ZM70" s="252"/>
      <c r="ZN70" s="252"/>
      <c r="ZO70" s="252"/>
      <c r="ZP70" s="252"/>
      <c r="ZQ70" s="252"/>
      <c r="ZR70" s="252"/>
      <c r="ZS70" s="252"/>
      <c r="ZT70" s="252"/>
      <c r="ZU70" s="252"/>
      <c r="ZV70" s="252"/>
      <c r="ZW70" s="252"/>
      <c r="ZX70" s="252"/>
      <c r="ZY70" s="252"/>
      <c r="ZZ70" s="252"/>
      <c r="AAA70" s="252"/>
      <c r="AAB70" s="252"/>
      <c r="AAC70" s="252"/>
      <c r="AAD70" s="252"/>
      <c r="AAE70" s="252"/>
      <c r="AAF70" s="252"/>
      <c r="AAG70" s="252"/>
      <c r="AAH70" s="252"/>
      <c r="AAI70" s="252"/>
      <c r="AAJ70" s="252"/>
      <c r="AAK70" s="252"/>
      <c r="AAL70" s="252"/>
      <c r="AAM70" s="252"/>
      <c r="AAN70" s="252"/>
      <c r="AAO70" s="252"/>
      <c r="AAP70" s="252"/>
      <c r="AAQ70" s="252"/>
      <c r="AAR70" s="252"/>
      <c r="AAS70" s="252"/>
      <c r="AAT70" s="252"/>
      <c r="AAU70" s="252"/>
      <c r="AAV70" s="252"/>
      <c r="AAW70" s="252"/>
      <c r="AAX70" s="252"/>
      <c r="AAY70" s="252"/>
      <c r="AAZ70" s="252"/>
      <c r="ABA70" s="252"/>
      <c r="ABB70" s="252"/>
      <c r="ABC70" s="252"/>
      <c r="ABD70" s="252"/>
      <c r="ABE70" s="252"/>
      <c r="ABF70" s="252"/>
      <c r="ABG70" s="252"/>
      <c r="ABH70" s="252"/>
      <c r="ABI70" s="252"/>
      <c r="ABJ70" s="252"/>
      <c r="ABK70" s="252"/>
      <c r="ABL70" s="252"/>
      <c r="ABM70" s="252"/>
      <c r="ABN70" s="252"/>
      <c r="ABO70" s="252"/>
      <c r="ABP70" s="252"/>
      <c r="ABQ70" s="252"/>
      <c r="ABR70" s="252"/>
      <c r="ABS70" s="252"/>
      <c r="ABT70" s="252"/>
      <c r="ABU70" s="252"/>
      <c r="ABV70" s="252"/>
      <c r="ABW70" s="252"/>
      <c r="ABX70" s="252"/>
      <c r="ABY70" s="252"/>
      <c r="ABZ70" s="252"/>
      <c r="ACA70" s="252"/>
      <c r="ACB70" s="252"/>
      <c r="ACC70" s="252"/>
      <c r="ACD70" s="252"/>
      <c r="ACE70" s="252"/>
      <c r="ACF70" s="252"/>
      <c r="ACG70" s="252"/>
      <c r="ACH70" s="252"/>
      <c r="ACI70" s="252"/>
      <c r="ACJ70" s="252"/>
      <c r="ACK70" s="252"/>
      <c r="ACL70" s="252"/>
      <c r="ACM70" s="252"/>
      <c r="ACN70" s="252"/>
      <c r="ACO70" s="252"/>
      <c r="ACP70" s="252"/>
      <c r="ACQ70" s="252"/>
      <c r="ACR70" s="252"/>
      <c r="ACS70" s="252"/>
      <c r="ACT70" s="252"/>
      <c r="ACU70" s="252"/>
      <c r="ACV70" s="252"/>
      <c r="ACW70" s="252"/>
      <c r="ACX70" s="252"/>
      <c r="ACY70" s="252"/>
      <c r="ACZ70" s="252"/>
      <c r="ADA70" s="252"/>
      <c r="ADB70" s="252"/>
      <c r="ADC70" s="252"/>
      <c r="ADD70" s="252"/>
      <c r="ADE70" s="252"/>
      <c r="ADF70" s="252"/>
      <c r="ADG70" s="252"/>
      <c r="ADH70" s="252"/>
      <c r="ADI70" s="252"/>
      <c r="ADJ70" s="252"/>
      <c r="ADK70" s="252"/>
      <c r="ADL70" s="252"/>
      <c r="ADM70" s="252"/>
      <c r="ADN70" s="252"/>
      <c r="ADO70" s="252"/>
      <c r="ADP70" s="252"/>
      <c r="ADQ70" s="252"/>
      <c r="ADR70" s="252"/>
      <c r="ADS70" s="252"/>
      <c r="ADT70" s="252"/>
      <c r="ADU70" s="252"/>
      <c r="ADV70" s="252"/>
      <c r="ADW70" s="252"/>
      <c r="ADX70" s="252"/>
      <c r="ADY70" s="252"/>
      <c r="ADZ70" s="252"/>
      <c r="AEA70" s="252"/>
      <c r="AEB70" s="252"/>
      <c r="AEC70" s="252"/>
      <c r="AED70" s="252"/>
      <c r="AEE70" s="252"/>
      <c r="AEF70" s="252"/>
      <c r="AEG70" s="252"/>
      <c r="AEH70" s="252"/>
      <c r="AEI70" s="252"/>
      <c r="AEJ70" s="252"/>
      <c r="AEK70" s="252"/>
      <c r="AEL70" s="252"/>
      <c r="AEM70" s="252"/>
      <c r="AEN70" s="252"/>
      <c r="AEO70" s="252"/>
      <c r="AEP70" s="252"/>
      <c r="AEQ70" s="252"/>
      <c r="AER70" s="252"/>
      <c r="AES70" s="252"/>
      <c r="AET70" s="252"/>
      <c r="AEU70" s="252"/>
      <c r="AEV70" s="252"/>
      <c r="AEW70" s="252"/>
      <c r="AEX70" s="252"/>
      <c r="AEY70" s="252"/>
      <c r="AEZ70" s="252"/>
      <c r="AFA70" s="252"/>
      <c r="AFB70" s="252"/>
      <c r="AFC70" s="252"/>
      <c r="AFD70" s="252"/>
      <c r="AFE70" s="252"/>
      <c r="AFF70" s="252"/>
      <c r="AFG70" s="252"/>
      <c r="AFH70" s="252"/>
      <c r="AFI70" s="252"/>
      <c r="AFJ70" s="252"/>
      <c r="AFK70" s="252"/>
      <c r="AFL70" s="252"/>
      <c r="AFM70" s="252"/>
      <c r="AFN70" s="252"/>
      <c r="AFO70" s="252"/>
      <c r="AFP70" s="252"/>
      <c r="AFQ70" s="252"/>
      <c r="AFR70" s="252"/>
      <c r="AFS70" s="252"/>
      <c r="AFT70" s="252"/>
      <c r="AFU70" s="252"/>
      <c r="AFV70" s="252"/>
      <c r="AFW70" s="252"/>
      <c r="AFX70" s="252"/>
      <c r="AFY70" s="252"/>
      <c r="AFZ70" s="252"/>
      <c r="AGA70" s="252"/>
      <c r="AGB70" s="252"/>
      <c r="AGC70" s="252"/>
      <c r="AGD70" s="252"/>
      <c r="AGE70" s="252"/>
      <c r="AGF70" s="252"/>
      <c r="AGG70" s="252"/>
      <c r="AGH70" s="252"/>
      <c r="AGI70" s="252"/>
      <c r="AGJ70" s="252"/>
      <c r="AGK70" s="252"/>
      <c r="AGL70" s="252"/>
      <c r="AGM70" s="252"/>
      <c r="AGN70" s="252"/>
      <c r="AGO70" s="252"/>
      <c r="AGP70" s="252"/>
      <c r="AGQ70" s="252"/>
      <c r="AGR70" s="252"/>
      <c r="AGS70" s="252"/>
      <c r="AGT70" s="252"/>
      <c r="AGU70" s="252"/>
      <c r="AGV70" s="252"/>
      <c r="AGW70" s="252"/>
      <c r="AGX70" s="252"/>
      <c r="AGY70" s="252"/>
      <c r="AGZ70" s="252"/>
      <c r="AHA70" s="252"/>
      <c r="AHB70" s="252"/>
      <c r="AHC70" s="252"/>
      <c r="AHD70" s="252"/>
      <c r="AHE70" s="252"/>
      <c r="AHF70" s="252"/>
      <c r="AHG70" s="252"/>
      <c r="AHH70" s="252"/>
      <c r="AHI70" s="252"/>
      <c r="AHJ70" s="252"/>
      <c r="AHK70" s="252"/>
      <c r="AHL70" s="252"/>
      <c r="AHM70" s="252"/>
      <c r="AHN70" s="252"/>
      <c r="AHO70" s="252"/>
      <c r="AHP70" s="252"/>
      <c r="AHQ70" s="252"/>
      <c r="AHR70" s="252"/>
      <c r="AHS70" s="252"/>
      <c r="AHT70" s="252"/>
      <c r="AHU70" s="252"/>
      <c r="AHV70" s="252"/>
      <c r="AHW70" s="252"/>
      <c r="AHX70" s="252"/>
      <c r="AHY70" s="252"/>
      <c r="AHZ70" s="252"/>
      <c r="AIA70" s="252"/>
      <c r="AIB70" s="252"/>
      <c r="AIC70" s="252"/>
      <c r="AID70" s="252"/>
      <c r="AIE70" s="252"/>
      <c r="AIF70" s="252"/>
      <c r="AIG70" s="252"/>
      <c r="AIH70" s="252"/>
      <c r="AII70" s="252"/>
      <c r="AIJ70" s="252"/>
      <c r="AIK70" s="252"/>
      <c r="AIL70" s="252"/>
      <c r="AIM70" s="252"/>
      <c r="AIN70" s="252"/>
      <c r="AIO70" s="252"/>
      <c r="AIP70" s="252"/>
      <c r="AIQ70" s="252"/>
      <c r="AIR70" s="252"/>
      <c r="AIS70" s="252"/>
      <c r="AIT70" s="252"/>
      <c r="AIU70" s="252"/>
      <c r="AIV70" s="252"/>
      <c r="AIW70" s="252"/>
      <c r="AIX70" s="252"/>
      <c r="AIY70" s="252"/>
      <c r="AIZ70" s="252"/>
      <c r="AJA70" s="252"/>
      <c r="AJB70" s="252"/>
      <c r="AJC70" s="252"/>
      <c r="AJD70" s="252"/>
      <c r="AJE70" s="252"/>
      <c r="AJF70" s="252"/>
      <c r="AJG70" s="252"/>
      <c r="AJH70" s="252"/>
      <c r="AJI70" s="252"/>
      <c r="AJJ70" s="252"/>
      <c r="AJK70" s="252"/>
      <c r="AJL70" s="252"/>
      <c r="AJM70" s="252"/>
      <c r="AJN70" s="252"/>
      <c r="AJO70" s="252"/>
      <c r="AJP70" s="252"/>
      <c r="AJQ70" s="252"/>
      <c r="AJR70" s="252"/>
      <c r="AJS70" s="252"/>
      <c r="AJT70" s="252"/>
      <c r="AJU70" s="252"/>
      <c r="AJV70" s="252"/>
      <c r="AJW70" s="252"/>
      <c r="AJX70" s="252"/>
      <c r="AJY70" s="252"/>
      <c r="AJZ70" s="252"/>
      <c r="AKA70" s="252"/>
      <c r="AKB70" s="252"/>
      <c r="AKC70" s="252"/>
      <c r="AKD70" s="252"/>
      <c r="AKE70" s="252"/>
      <c r="AKF70" s="252"/>
      <c r="AKG70" s="252"/>
      <c r="AKH70" s="252"/>
      <c r="AKI70" s="252"/>
      <c r="AKJ70" s="252"/>
      <c r="AKK70" s="252"/>
      <c r="AKL70" s="252"/>
      <c r="AKM70" s="252"/>
      <c r="AKN70" s="252"/>
      <c r="AKO70" s="252"/>
      <c r="AKP70" s="252"/>
      <c r="AKQ70" s="252"/>
      <c r="AKR70" s="252"/>
      <c r="AKS70" s="252"/>
      <c r="AKT70" s="252"/>
      <c r="AKU70" s="252"/>
      <c r="AKV70" s="252"/>
      <c r="AKW70" s="252"/>
      <c r="AKX70" s="252"/>
      <c r="AKY70" s="252"/>
      <c r="AKZ70" s="252"/>
      <c r="ALA70" s="252"/>
      <c r="ALB70" s="252"/>
      <c r="ALC70" s="252"/>
      <c r="ALD70" s="252"/>
      <c r="ALE70" s="252"/>
      <c r="ALF70" s="252"/>
      <c r="ALG70" s="252"/>
      <c r="ALH70" s="252"/>
      <c r="ALI70" s="252"/>
      <c r="ALJ70" s="252"/>
      <c r="ALK70" s="252"/>
      <c r="ALL70" s="252"/>
      <c r="ALM70" s="252"/>
      <c r="ALN70" s="252"/>
      <c r="ALO70" s="252"/>
      <c r="ALP70" s="252"/>
      <c r="ALQ70" s="252"/>
      <c r="ALR70" s="252"/>
      <c r="ALS70" s="252"/>
    </row>
    <row r="71" spans="1:1007" s="3" customFormat="1" x14ac:dyDescent="0.2">
      <c r="A71" s="369" t="s">
        <v>297</v>
      </c>
      <c r="B71" s="392"/>
      <c r="C71" s="392"/>
      <c r="D71" s="417">
        <v>890</v>
      </c>
      <c r="E71" s="731"/>
      <c r="F71" s="730"/>
      <c r="G71" s="730"/>
      <c r="H71" s="730"/>
      <c r="I71" s="730"/>
      <c r="J71" s="252"/>
      <c r="K71" s="252"/>
      <c r="L71" s="252"/>
      <c r="M71" s="252"/>
      <c r="N71" s="252"/>
      <c r="O71" s="252"/>
      <c r="P71" s="252"/>
      <c r="Q71" s="252"/>
      <c r="R71" s="252"/>
      <c r="S71" s="252"/>
      <c r="T71" s="252"/>
      <c r="U71" s="252"/>
      <c r="V71" s="252"/>
      <c r="W71" s="252"/>
      <c r="X71" s="252"/>
      <c r="Y71" s="252"/>
      <c r="Z71" s="252"/>
      <c r="AA71" s="252"/>
      <c r="AB71" s="252"/>
      <c r="AC71" s="252"/>
      <c r="AD71" s="252"/>
      <c r="AE71" s="252"/>
      <c r="AF71" s="252"/>
      <c r="AG71" s="252"/>
      <c r="AH71" s="252"/>
      <c r="AI71" s="252"/>
      <c r="AJ71" s="252"/>
      <c r="AK71" s="252"/>
      <c r="AL71" s="252"/>
      <c r="AM71" s="252"/>
      <c r="AN71" s="252"/>
      <c r="AO71" s="252"/>
      <c r="AP71" s="252"/>
      <c r="AQ71" s="252"/>
      <c r="AR71" s="252"/>
      <c r="AS71" s="252"/>
      <c r="AT71" s="252"/>
      <c r="AU71" s="252"/>
      <c r="AV71" s="252"/>
      <c r="AW71" s="252"/>
      <c r="AX71" s="252"/>
      <c r="AY71" s="252"/>
      <c r="AZ71" s="252"/>
      <c r="BA71" s="252"/>
      <c r="BB71" s="252"/>
      <c r="BC71" s="252"/>
      <c r="BD71" s="252"/>
      <c r="BE71" s="252"/>
      <c r="BF71" s="252"/>
      <c r="BG71" s="252"/>
      <c r="BH71" s="252"/>
      <c r="BI71" s="252"/>
      <c r="BJ71" s="252"/>
      <c r="BK71" s="252"/>
      <c r="BL71" s="252"/>
      <c r="BM71" s="252"/>
      <c r="BN71" s="252"/>
      <c r="BO71" s="252"/>
      <c r="BP71" s="252"/>
      <c r="BQ71" s="252"/>
      <c r="BR71" s="252"/>
      <c r="BS71" s="252"/>
      <c r="BT71" s="252"/>
      <c r="BU71" s="252"/>
      <c r="BV71" s="252"/>
      <c r="BW71" s="252"/>
      <c r="BX71" s="252"/>
      <c r="BY71" s="252"/>
      <c r="BZ71" s="252"/>
      <c r="CA71" s="252"/>
      <c r="CB71" s="252"/>
      <c r="CC71" s="252"/>
      <c r="CD71" s="252"/>
      <c r="CE71" s="252"/>
      <c r="CF71" s="252"/>
      <c r="CG71" s="252"/>
      <c r="CH71" s="252"/>
      <c r="CI71" s="252"/>
      <c r="CJ71" s="252"/>
      <c r="CK71" s="252"/>
      <c r="CL71" s="252"/>
      <c r="CM71" s="252"/>
      <c r="CN71" s="252"/>
      <c r="CO71" s="252"/>
      <c r="CP71" s="252"/>
      <c r="CQ71" s="252"/>
      <c r="CR71" s="252"/>
      <c r="CS71" s="252"/>
      <c r="CT71" s="252"/>
      <c r="CU71" s="252"/>
      <c r="CV71" s="252"/>
      <c r="CW71" s="252"/>
      <c r="CX71" s="252"/>
      <c r="CY71" s="252"/>
      <c r="CZ71" s="252"/>
      <c r="DA71" s="252"/>
      <c r="DB71" s="252"/>
      <c r="DC71" s="252"/>
      <c r="DD71" s="252"/>
      <c r="DE71" s="252"/>
      <c r="DF71" s="252"/>
      <c r="DG71" s="252"/>
      <c r="DH71" s="252"/>
      <c r="DI71" s="252"/>
      <c r="DJ71" s="252"/>
      <c r="DK71" s="252"/>
      <c r="DL71" s="252"/>
      <c r="DM71" s="252"/>
      <c r="DN71" s="252"/>
      <c r="DO71" s="252"/>
      <c r="DP71" s="252"/>
      <c r="DQ71" s="252"/>
      <c r="DR71" s="252"/>
      <c r="DS71" s="252"/>
      <c r="DT71" s="252"/>
      <c r="DU71" s="252"/>
      <c r="DV71" s="252"/>
      <c r="DW71" s="252"/>
      <c r="DX71" s="252"/>
      <c r="DY71" s="252"/>
      <c r="DZ71" s="252"/>
      <c r="EA71" s="252"/>
      <c r="EB71" s="252"/>
      <c r="EC71" s="252"/>
      <c r="ED71" s="252"/>
      <c r="EE71" s="252"/>
      <c r="EF71" s="252"/>
      <c r="EG71" s="252"/>
      <c r="EH71" s="252"/>
      <c r="EI71" s="252"/>
      <c r="EJ71" s="252"/>
      <c r="EK71" s="252"/>
      <c r="EL71" s="252"/>
      <c r="EM71" s="252"/>
      <c r="EN71" s="252"/>
      <c r="EO71" s="252"/>
      <c r="EP71" s="252"/>
      <c r="EQ71" s="252"/>
      <c r="ER71" s="252"/>
      <c r="ES71" s="252"/>
      <c r="ET71" s="252"/>
      <c r="EU71" s="252"/>
      <c r="EV71" s="252"/>
      <c r="EW71" s="252"/>
      <c r="EX71" s="252"/>
      <c r="EY71" s="252"/>
      <c r="EZ71" s="252"/>
      <c r="FA71" s="252"/>
      <c r="FB71" s="252"/>
      <c r="FC71" s="252"/>
      <c r="FD71" s="252"/>
      <c r="FE71" s="252"/>
      <c r="FF71" s="252"/>
      <c r="FG71" s="252"/>
      <c r="FH71" s="252"/>
      <c r="FI71" s="252"/>
      <c r="FJ71" s="252"/>
      <c r="FK71" s="252"/>
      <c r="FL71" s="252"/>
      <c r="FM71" s="252"/>
      <c r="FN71" s="252"/>
      <c r="FO71" s="252"/>
      <c r="FP71" s="252"/>
      <c r="FQ71" s="252"/>
      <c r="FR71" s="252"/>
      <c r="FS71" s="252"/>
      <c r="FT71" s="252"/>
      <c r="FU71" s="252"/>
      <c r="FV71" s="252"/>
      <c r="FW71" s="252"/>
      <c r="FX71" s="252"/>
      <c r="FY71" s="252"/>
      <c r="FZ71" s="252"/>
      <c r="GA71" s="252"/>
      <c r="GB71" s="252"/>
      <c r="GC71" s="252"/>
      <c r="GD71" s="252"/>
      <c r="GE71" s="252"/>
      <c r="GF71" s="252"/>
      <c r="GG71" s="252"/>
      <c r="GH71" s="252"/>
      <c r="GI71" s="252"/>
      <c r="GJ71" s="252"/>
      <c r="GK71" s="252"/>
      <c r="GL71" s="252"/>
      <c r="GM71" s="252"/>
      <c r="GN71" s="252"/>
      <c r="GO71" s="252"/>
      <c r="GP71" s="252"/>
      <c r="GQ71" s="252"/>
      <c r="GR71" s="252"/>
      <c r="GS71" s="252"/>
      <c r="GT71" s="252"/>
      <c r="GU71" s="252"/>
      <c r="GV71" s="252"/>
      <c r="GW71" s="252"/>
      <c r="GX71" s="252"/>
      <c r="GY71" s="252"/>
      <c r="GZ71" s="252"/>
      <c r="HA71" s="252"/>
      <c r="HB71" s="252"/>
      <c r="HC71" s="252"/>
      <c r="HD71" s="252"/>
      <c r="HE71" s="252"/>
      <c r="HF71" s="252"/>
      <c r="HG71" s="252"/>
      <c r="HH71" s="252"/>
      <c r="HI71" s="252"/>
      <c r="HJ71" s="252"/>
      <c r="HK71" s="252"/>
      <c r="HL71" s="252"/>
      <c r="HM71" s="252"/>
      <c r="HN71" s="252"/>
      <c r="HO71" s="252"/>
      <c r="HP71" s="252"/>
      <c r="HQ71" s="252"/>
      <c r="HR71" s="252"/>
      <c r="HS71" s="252"/>
      <c r="HT71" s="252"/>
      <c r="HU71" s="252"/>
      <c r="HV71" s="252"/>
      <c r="HW71" s="252"/>
      <c r="HX71" s="252"/>
      <c r="HY71" s="252"/>
      <c r="HZ71" s="252"/>
      <c r="IA71" s="252"/>
      <c r="IB71" s="252"/>
      <c r="IC71" s="252"/>
      <c r="ID71" s="252"/>
      <c r="IE71" s="252"/>
      <c r="IF71" s="252"/>
      <c r="IG71" s="252"/>
      <c r="IH71" s="252"/>
      <c r="II71" s="252"/>
      <c r="IJ71" s="252"/>
      <c r="IK71" s="252"/>
      <c r="IL71" s="252"/>
      <c r="IM71" s="252"/>
      <c r="IN71" s="252"/>
      <c r="IO71" s="252"/>
      <c r="IP71" s="252"/>
      <c r="IQ71" s="252"/>
      <c r="IR71" s="252"/>
      <c r="IS71" s="252"/>
      <c r="IT71" s="252"/>
      <c r="IU71" s="252"/>
      <c r="IV71" s="252"/>
      <c r="IW71" s="252"/>
      <c r="IX71" s="252"/>
      <c r="IY71" s="252"/>
      <c r="IZ71" s="252"/>
      <c r="JA71" s="252"/>
      <c r="JB71" s="252"/>
      <c r="JC71" s="252"/>
      <c r="JD71" s="252"/>
      <c r="JE71" s="252"/>
      <c r="JF71" s="252"/>
      <c r="JG71" s="252"/>
      <c r="JH71" s="252"/>
      <c r="JI71" s="252"/>
      <c r="JJ71" s="252"/>
      <c r="JK71" s="252"/>
      <c r="JL71" s="252"/>
      <c r="JM71" s="252"/>
      <c r="JN71" s="252"/>
      <c r="JO71" s="252"/>
      <c r="JP71" s="252"/>
      <c r="JQ71" s="252"/>
      <c r="JR71" s="252"/>
      <c r="JS71" s="252"/>
      <c r="JT71" s="252"/>
      <c r="JU71" s="252"/>
      <c r="JV71" s="252"/>
      <c r="JW71" s="252"/>
      <c r="JX71" s="252"/>
      <c r="JY71" s="252"/>
      <c r="JZ71" s="252"/>
      <c r="KA71" s="252"/>
      <c r="KB71" s="252"/>
      <c r="KC71" s="252"/>
      <c r="KD71" s="252"/>
      <c r="KE71" s="252"/>
      <c r="KF71" s="252"/>
      <c r="KG71" s="252"/>
      <c r="KH71" s="252"/>
      <c r="KI71" s="252"/>
      <c r="KJ71" s="252"/>
      <c r="KK71" s="252"/>
      <c r="KL71" s="252"/>
      <c r="KM71" s="252"/>
      <c r="KN71" s="252"/>
      <c r="KO71" s="252"/>
      <c r="KP71" s="252"/>
      <c r="KQ71" s="252"/>
      <c r="KR71" s="252"/>
      <c r="KS71" s="252"/>
      <c r="KT71" s="252"/>
      <c r="KU71" s="252"/>
      <c r="KV71" s="252"/>
      <c r="KW71" s="252"/>
      <c r="KX71" s="252"/>
      <c r="KY71" s="252"/>
      <c r="KZ71" s="252"/>
      <c r="LA71" s="252"/>
      <c r="LB71" s="252"/>
      <c r="LC71" s="252"/>
      <c r="LD71" s="252"/>
      <c r="LE71" s="252"/>
      <c r="LF71" s="252"/>
      <c r="LG71" s="252"/>
      <c r="LH71" s="252"/>
      <c r="LI71" s="252"/>
      <c r="LJ71" s="252"/>
      <c r="LK71" s="252"/>
      <c r="LL71" s="252"/>
      <c r="LM71" s="252"/>
      <c r="LN71" s="252"/>
      <c r="LO71" s="252"/>
      <c r="LP71" s="252"/>
      <c r="LQ71" s="252"/>
      <c r="LR71" s="252"/>
      <c r="LS71" s="252"/>
      <c r="LT71" s="252"/>
      <c r="LU71" s="252"/>
      <c r="LV71" s="252"/>
      <c r="LW71" s="252"/>
      <c r="LX71" s="252"/>
      <c r="LY71" s="252"/>
      <c r="LZ71" s="252"/>
      <c r="MA71" s="252"/>
      <c r="MB71" s="252"/>
      <c r="MC71" s="252"/>
      <c r="MD71" s="252"/>
      <c r="ME71" s="252"/>
      <c r="MF71" s="252"/>
      <c r="MG71" s="252"/>
      <c r="MH71" s="252"/>
      <c r="MI71" s="252"/>
      <c r="MJ71" s="252"/>
      <c r="MK71" s="252"/>
      <c r="ML71" s="252"/>
      <c r="MM71" s="252"/>
      <c r="MN71" s="252"/>
      <c r="MO71" s="252"/>
      <c r="MP71" s="252"/>
      <c r="MQ71" s="252"/>
      <c r="MR71" s="252"/>
      <c r="MS71" s="252"/>
      <c r="MT71" s="252"/>
      <c r="MU71" s="252"/>
      <c r="MV71" s="252"/>
      <c r="MW71" s="252"/>
      <c r="MX71" s="252"/>
      <c r="MY71" s="252"/>
      <c r="MZ71" s="252"/>
      <c r="NA71" s="252"/>
      <c r="NB71" s="252"/>
      <c r="NC71" s="252"/>
      <c r="ND71" s="252"/>
      <c r="NE71" s="252"/>
      <c r="NF71" s="252"/>
      <c r="NG71" s="252"/>
      <c r="NH71" s="252"/>
      <c r="NI71" s="252"/>
      <c r="NJ71" s="252"/>
      <c r="NK71" s="252"/>
      <c r="NL71" s="252"/>
      <c r="NM71" s="252"/>
      <c r="NN71" s="252"/>
      <c r="NO71" s="252"/>
      <c r="NP71" s="252"/>
      <c r="NQ71" s="252"/>
      <c r="NR71" s="252"/>
      <c r="NS71" s="252"/>
      <c r="NT71" s="252"/>
      <c r="NU71" s="252"/>
      <c r="NV71" s="252"/>
      <c r="NW71" s="252"/>
      <c r="NX71" s="252"/>
      <c r="NY71" s="252"/>
      <c r="NZ71" s="252"/>
      <c r="OA71" s="252"/>
      <c r="OB71" s="252"/>
      <c r="OC71" s="252"/>
      <c r="OD71" s="252"/>
      <c r="OE71" s="252"/>
      <c r="OF71" s="252"/>
      <c r="OG71" s="252"/>
      <c r="OH71" s="252"/>
      <c r="OI71" s="252"/>
      <c r="OJ71" s="252"/>
      <c r="OK71" s="252"/>
      <c r="OL71" s="252"/>
      <c r="OM71" s="252"/>
      <c r="ON71" s="252"/>
      <c r="OO71" s="252"/>
      <c r="OP71" s="252"/>
      <c r="OQ71" s="252"/>
      <c r="OR71" s="252"/>
      <c r="OS71" s="252"/>
      <c r="OT71" s="252"/>
      <c r="OU71" s="252"/>
      <c r="OV71" s="252"/>
      <c r="OW71" s="252"/>
      <c r="OX71" s="252"/>
      <c r="OY71" s="252"/>
      <c r="OZ71" s="252"/>
      <c r="PA71" s="252"/>
      <c r="PB71" s="252"/>
      <c r="PC71" s="252"/>
      <c r="PD71" s="252"/>
      <c r="PE71" s="252"/>
      <c r="PF71" s="252"/>
      <c r="PG71" s="252"/>
      <c r="PH71" s="252"/>
      <c r="PI71" s="252"/>
      <c r="PJ71" s="252"/>
      <c r="PK71" s="252"/>
      <c r="PL71" s="252"/>
      <c r="PM71" s="252"/>
      <c r="PN71" s="252"/>
      <c r="PO71" s="252"/>
      <c r="PP71" s="252"/>
      <c r="PQ71" s="252"/>
      <c r="PR71" s="252"/>
      <c r="PS71" s="252"/>
      <c r="PT71" s="252"/>
      <c r="PU71" s="252"/>
      <c r="PV71" s="252"/>
      <c r="PW71" s="252"/>
      <c r="PX71" s="252"/>
      <c r="PY71" s="252"/>
      <c r="PZ71" s="252"/>
      <c r="QA71" s="252"/>
      <c r="QB71" s="252"/>
      <c r="QC71" s="252"/>
      <c r="QD71" s="252"/>
      <c r="QE71" s="252"/>
      <c r="QF71" s="252"/>
      <c r="QG71" s="252"/>
      <c r="QH71" s="252"/>
      <c r="QI71" s="252"/>
      <c r="QJ71" s="252"/>
      <c r="QK71" s="252"/>
      <c r="QL71" s="252"/>
      <c r="QM71" s="252"/>
      <c r="QN71" s="252"/>
      <c r="QO71" s="252"/>
      <c r="QP71" s="252"/>
      <c r="QQ71" s="252"/>
      <c r="QR71" s="252"/>
      <c r="QS71" s="252"/>
      <c r="QT71" s="252"/>
      <c r="QU71" s="252"/>
      <c r="QV71" s="252"/>
      <c r="QW71" s="252"/>
      <c r="QX71" s="252"/>
      <c r="QY71" s="252"/>
      <c r="QZ71" s="252"/>
      <c r="RA71" s="252"/>
      <c r="RB71" s="252"/>
      <c r="RC71" s="252"/>
      <c r="RD71" s="252"/>
      <c r="RE71" s="252"/>
      <c r="RF71" s="252"/>
      <c r="RG71" s="252"/>
      <c r="RH71" s="252"/>
      <c r="RI71" s="252"/>
      <c r="RJ71" s="252"/>
      <c r="RK71" s="252"/>
      <c r="RL71" s="252"/>
      <c r="RM71" s="252"/>
      <c r="RN71" s="252"/>
      <c r="RO71" s="252"/>
      <c r="RP71" s="252"/>
      <c r="RQ71" s="252"/>
      <c r="RR71" s="252"/>
      <c r="RS71" s="252"/>
      <c r="RT71" s="252"/>
      <c r="RU71" s="252"/>
      <c r="RV71" s="252"/>
      <c r="RW71" s="252"/>
      <c r="RX71" s="252"/>
      <c r="RY71" s="252"/>
      <c r="RZ71" s="252"/>
      <c r="SA71" s="252"/>
      <c r="SB71" s="252"/>
      <c r="SC71" s="252"/>
      <c r="SD71" s="252"/>
      <c r="SE71" s="252"/>
      <c r="SF71" s="252"/>
      <c r="SG71" s="252"/>
      <c r="SH71" s="252"/>
      <c r="SI71" s="252"/>
      <c r="SJ71" s="252"/>
      <c r="SK71" s="252"/>
      <c r="SL71" s="252"/>
      <c r="SM71" s="252"/>
      <c r="SN71" s="252"/>
      <c r="SO71" s="252"/>
      <c r="SP71" s="252"/>
      <c r="SQ71" s="252"/>
      <c r="SR71" s="252"/>
      <c r="SS71" s="252"/>
      <c r="ST71" s="252"/>
      <c r="SU71" s="252"/>
      <c r="SV71" s="252"/>
      <c r="SW71" s="252"/>
      <c r="SX71" s="252"/>
      <c r="SY71" s="252"/>
      <c r="SZ71" s="252"/>
      <c r="TA71" s="252"/>
      <c r="TB71" s="252"/>
      <c r="TC71" s="252"/>
      <c r="TD71" s="252"/>
      <c r="TE71" s="252"/>
      <c r="TF71" s="252"/>
      <c r="TG71" s="252"/>
      <c r="TH71" s="252"/>
      <c r="TI71" s="252"/>
      <c r="TJ71" s="252"/>
      <c r="TK71" s="252"/>
      <c r="TL71" s="252"/>
      <c r="TM71" s="252"/>
      <c r="TN71" s="252"/>
      <c r="TO71" s="252"/>
      <c r="TP71" s="252"/>
      <c r="TQ71" s="252"/>
      <c r="TR71" s="252"/>
      <c r="TS71" s="252"/>
      <c r="TT71" s="252"/>
      <c r="TU71" s="252"/>
      <c r="TV71" s="252"/>
      <c r="TW71" s="252"/>
      <c r="TX71" s="252"/>
      <c r="TY71" s="252"/>
      <c r="TZ71" s="252"/>
      <c r="UA71" s="252"/>
      <c r="UB71" s="252"/>
      <c r="UC71" s="252"/>
      <c r="UD71" s="252"/>
      <c r="UE71" s="252"/>
      <c r="UF71" s="252"/>
      <c r="UG71" s="252"/>
      <c r="UH71" s="252"/>
      <c r="UI71" s="252"/>
      <c r="UJ71" s="252"/>
      <c r="UK71" s="252"/>
      <c r="UL71" s="252"/>
      <c r="UM71" s="252"/>
      <c r="UN71" s="252"/>
      <c r="UO71" s="252"/>
      <c r="UP71" s="252"/>
      <c r="UQ71" s="252"/>
      <c r="UR71" s="252"/>
      <c r="US71" s="252"/>
      <c r="UT71" s="252"/>
      <c r="UU71" s="252"/>
      <c r="UV71" s="252"/>
      <c r="UW71" s="252"/>
      <c r="UX71" s="252"/>
      <c r="UY71" s="252"/>
      <c r="UZ71" s="252"/>
      <c r="VA71" s="252"/>
      <c r="VB71" s="252"/>
      <c r="VC71" s="252"/>
      <c r="VD71" s="252"/>
      <c r="VE71" s="252"/>
      <c r="VF71" s="252"/>
      <c r="VG71" s="252"/>
      <c r="VH71" s="252"/>
      <c r="VI71" s="252"/>
      <c r="VJ71" s="252"/>
      <c r="VK71" s="252"/>
      <c r="VL71" s="252"/>
      <c r="VM71" s="252"/>
      <c r="VN71" s="252"/>
      <c r="VO71" s="252"/>
      <c r="VP71" s="252"/>
      <c r="VQ71" s="252"/>
      <c r="VR71" s="252"/>
      <c r="VS71" s="252"/>
      <c r="VT71" s="252"/>
      <c r="VU71" s="252"/>
      <c r="VV71" s="252"/>
      <c r="VW71" s="252"/>
      <c r="VX71" s="252"/>
      <c r="VY71" s="252"/>
      <c r="VZ71" s="252"/>
      <c r="WA71" s="252"/>
      <c r="WB71" s="252"/>
      <c r="WC71" s="252"/>
      <c r="WD71" s="252"/>
      <c r="WE71" s="252"/>
      <c r="WF71" s="252"/>
      <c r="WG71" s="252"/>
      <c r="WH71" s="252"/>
      <c r="WI71" s="252"/>
      <c r="WJ71" s="252"/>
      <c r="WK71" s="252"/>
      <c r="WL71" s="252"/>
      <c r="WM71" s="252"/>
      <c r="WN71" s="252"/>
      <c r="WO71" s="252"/>
      <c r="WP71" s="252"/>
      <c r="WQ71" s="252"/>
      <c r="WR71" s="252"/>
      <c r="WS71" s="252"/>
      <c r="WT71" s="252"/>
      <c r="WU71" s="252"/>
      <c r="WV71" s="252"/>
      <c r="WW71" s="252"/>
      <c r="WX71" s="252"/>
      <c r="WY71" s="252"/>
      <c r="WZ71" s="252"/>
      <c r="XA71" s="252"/>
      <c r="XB71" s="252"/>
      <c r="XC71" s="252"/>
      <c r="XD71" s="252"/>
      <c r="XE71" s="252"/>
      <c r="XF71" s="252"/>
      <c r="XG71" s="252"/>
      <c r="XH71" s="252"/>
      <c r="XI71" s="252"/>
      <c r="XJ71" s="252"/>
      <c r="XK71" s="252"/>
      <c r="XL71" s="252"/>
      <c r="XM71" s="252"/>
      <c r="XN71" s="252"/>
      <c r="XO71" s="252"/>
      <c r="XP71" s="252"/>
      <c r="XQ71" s="252"/>
      <c r="XR71" s="252"/>
      <c r="XS71" s="252"/>
      <c r="XT71" s="252"/>
      <c r="XU71" s="252"/>
      <c r="XV71" s="252"/>
      <c r="XW71" s="252"/>
      <c r="XX71" s="252"/>
      <c r="XY71" s="252"/>
      <c r="XZ71" s="252"/>
      <c r="YA71" s="252"/>
      <c r="YB71" s="252"/>
      <c r="YC71" s="252"/>
      <c r="YD71" s="252"/>
      <c r="YE71" s="252"/>
      <c r="YF71" s="252"/>
      <c r="YG71" s="252"/>
      <c r="YH71" s="252"/>
      <c r="YI71" s="252"/>
      <c r="YJ71" s="252"/>
      <c r="YK71" s="252"/>
      <c r="YL71" s="252"/>
      <c r="YM71" s="252"/>
      <c r="YN71" s="252"/>
      <c r="YO71" s="252"/>
      <c r="YP71" s="252"/>
      <c r="YQ71" s="252"/>
      <c r="YR71" s="252"/>
      <c r="YS71" s="252"/>
      <c r="YT71" s="252"/>
      <c r="YU71" s="252"/>
      <c r="YV71" s="252"/>
      <c r="YW71" s="252"/>
      <c r="YX71" s="252"/>
      <c r="YY71" s="252"/>
      <c r="YZ71" s="252"/>
      <c r="ZA71" s="252"/>
      <c r="ZB71" s="252"/>
      <c r="ZC71" s="252"/>
      <c r="ZD71" s="252"/>
      <c r="ZE71" s="252"/>
      <c r="ZF71" s="252"/>
      <c r="ZG71" s="252"/>
      <c r="ZH71" s="252"/>
      <c r="ZI71" s="252"/>
      <c r="ZJ71" s="252"/>
      <c r="ZK71" s="252"/>
      <c r="ZL71" s="252"/>
      <c r="ZM71" s="252"/>
      <c r="ZN71" s="252"/>
      <c r="ZO71" s="252"/>
      <c r="ZP71" s="252"/>
      <c r="ZQ71" s="252"/>
      <c r="ZR71" s="252"/>
      <c r="ZS71" s="252"/>
      <c r="ZT71" s="252"/>
      <c r="ZU71" s="252"/>
      <c r="ZV71" s="252"/>
      <c r="ZW71" s="252"/>
      <c r="ZX71" s="252"/>
      <c r="ZY71" s="252"/>
      <c r="ZZ71" s="252"/>
      <c r="AAA71" s="252"/>
      <c r="AAB71" s="252"/>
      <c r="AAC71" s="252"/>
      <c r="AAD71" s="252"/>
      <c r="AAE71" s="252"/>
      <c r="AAF71" s="252"/>
      <c r="AAG71" s="252"/>
      <c r="AAH71" s="252"/>
      <c r="AAI71" s="252"/>
      <c r="AAJ71" s="252"/>
      <c r="AAK71" s="252"/>
      <c r="AAL71" s="252"/>
      <c r="AAM71" s="252"/>
      <c r="AAN71" s="252"/>
      <c r="AAO71" s="252"/>
      <c r="AAP71" s="252"/>
      <c r="AAQ71" s="252"/>
      <c r="AAR71" s="252"/>
      <c r="AAS71" s="252"/>
      <c r="AAT71" s="252"/>
      <c r="AAU71" s="252"/>
      <c r="AAV71" s="252"/>
      <c r="AAW71" s="252"/>
      <c r="AAX71" s="252"/>
      <c r="AAY71" s="252"/>
      <c r="AAZ71" s="252"/>
      <c r="ABA71" s="252"/>
      <c r="ABB71" s="252"/>
      <c r="ABC71" s="252"/>
      <c r="ABD71" s="252"/>
      <c r="ABE71" s="252"/>
      <c r="ABF71" s="252"/>
      <c r="ABG71" s="252"/>
      <c r="ABH71" s="252"/>
      <c r="ABI71" s="252"/>
      <c r="ABJ71" s="252"/>
      <c r="ABK71" s="252"/>
      <c r="ABL71" s="252"/>
      <c r="ABM71" s="252"/>
      <c r="ABN71" s="252"/>
      <c r="ABO71" s="252"/>
      <c r="ABP71" s="252"/>
      <c r="ABQ71" s="252"/>
      <c r="ABR71" s="252"/>
      <c r="ABS71" s="252"/>
      <c r="ABT71" s="252"/>
      <c r="ABU71" s="252"/>
      <c r="ABV71" s="252"/>
      <c r="ABW71" s="252"/>
      <c r="ABX71" s="252"/>
      <c r="ABY71" s="252"/>
      <c r="ABZ71" s="252"/>
      <c r="ACA71" s="252"/>
      <c r="ACB71" s="252"/>
      <c r="ACC71" s="252"/>
      <c r="ACD71" s="252"/>
      <c r="ACE71" s="252"/>
      <c r="ACF71" s="252"/>
      <c r="ACG71" s="252"/>
      <c r="ACH71" s="252"/>
      <c r="ACI71" s="252"/>
      <c r="ACJ71" s="252"/>
      <c r="ACK71" s="252"/>
      <c r="ACL71" s="252"/>
      <c r="ACM71" s="252"/>
      <c r="ACN71" s="252"/>
      <c r="ACO71" s="252"/>
      <c r="ACP71" s="252"/>
      <c r="ACQ71" s="252"/>
      <c r="ACR71" s="252"/>
      <c r="ACS71" s="252"/>
      <c r="ACT71" s="252"/>
      <c r="ACU71" s="252"/>
      <c r="ACV71" s="252"/>
      <c r="ACW71" s="252"/>
      <c r="ACX71" s="252"/>
      <c r="ACY71" s="252"/>
      <c r="ACZ71" s="252"/>
      <c r="ADA71" s="252"/>
      <c r="ADB71" s="252"/>
      <c r="ADC71" s="252"/>
      <c r="ADD71" s="252"/>
      <c r="ADE71" s="252"/>
      <c r="ADF71" s="252"/>
      <c r="ADG71" s="252"/>
      <c r="ADH71" s="252"/>
      <c r="ADI71" s="252"/>
      <c r="ADJ71" s="252"/>
      <c r="ADK71" s="252"/>
      <c r="ADL71" s="252"/>
      <c r="ADM71" s="252"/>
      <c r="ADN71" s="252"/>
      <c r="ADO71" s="252"/>
      <c r="ADP71" s="252"/>
      <c r="ADQ71" s="252"/>
      <c r="ADR71" s="252"/>
      <c r="ADS71" s="252"/>
      <c r="ADT71" s="252"/>
      <c r="ADU71" s="252"/>
      <c r="ADV71" s="252"/>
      <c r="ADW71" s="252"/>
      <c r="ADX71" s="252"/>
      <c r="ADY71" s="252"/>
      <c r="ADZ71" s="252"/>
      <c r="AEA71" s="252"/>
      <c r="AEB71" s="252"/>
      <c r="AEC71" s="252"/>
      <c r="AED71" s="252"/>
      <c r="AEE71" s="252"/>
      <c r="AEF71" s="252"/>
      <c r="AEG71" s="252"/>
      <c r="AEH71" s="252"/>
      <c r="AEI71" s="252"/>
      <c r="AEJ71" s="252"/>
      <c r="AEK71" s="252"/>
      <c r="AEL71" s="252"/>
      <c r="AEM71" s="252"/>
      <c r="AEN71" s="252"/>
      <c r="AEO71" s="252"/>
      <c r="AEP71" s="252"/>
      <c r="AEQ71" s="252"/>
      <c r="AER71" s="252"/>
      <c r="AES71" s="252"/>
      <c r="AET71" s="252"/>
      <c r="AEU71" s="252"/>
      <c r="AEV71" s="252"/>
      <c r="AEW71" s="252"/>
      <c r="AEX71" s="252"/>
      <c r="AEY71" s="252"/>
      <c r="AEZ71" s="252"/>
      <c r="AFA71" s="252"/>
      <c r="AFB71" s="252"/>
      <c r="AFC71" s="252"/>
      <c r="AFD71" s="252"/>
      <c r="AFE71" s="252"/>
      <c r="AFF71" s="252"/>
      <c r="AFG71" s="252"/>
      <c r="AFH71" s="252"/>
      <c r="AFI71" s="252"/>
      <c r="AFJ71" s="252"/>
      <c r="AFK71" s="252"/>
      <c r="AFL71" s="252"/>
      <c r="AFM71" s="252"/>
      <c r="AFN71" s="252"/>
      <c r="AFO71" s="252"/>
      <c r="AFP71" s="252"/>
      <c r="AFQ71" s="252"/>
      <c r="AFR71" s="252"/>
      <c r="AFS71" s="252"/>
      <c r="AFT71" s="252"/>
      <c r="AFU71" s="252"/>
      <c r="AFV71" s="252"/>
      <c r="AFW71" s="252"/>
      <c r="AFX71" s="252"/>
      <c r="AFY71" s="252"/>
      <c r="AFZ71" s="252"/>
      <c r="AGA71" s="252"/>
      <c r="AGB71" s="252"/>
      <c r="AGC71" s="252"/>
      <c r="AGD71" s="252"/>
      <c r="AGE71" s="252"/>
      <c r="AGF71" s="252"/>
      <c r="AGG71" s="252"/>
      <c r="AGH71" s="252"/>
      <c r="AGI71" s="252"/>
      <c r="AGJ71" s="252"/>
      <c r="AGK71" s="252"/>
      <c r="AGL71" s="252"/>
      <c r="AGM71" s="252"/>
      <c r="AGN71" s="252"/>
      <c r="AGO71" s="252"/>
      <c r="AGP71" s="252"/>
      <c r="AGQ71" s="252"/>
      <c r="AGR71" s="252"/>
      <c r="AGS71" s="252"/>
      <c r="AGT71" s="252"/>
      <c r="AGU71" s="252"/>
      <c r="AGV71" s="252"/>
      <c r="AGW71" s="252"/>
      <c r="AGX71" s="252"/>
      <c r="AGY71" s="252"/>
      <c r="AGZ71" s="252"/>
      <c r="AHA71" s="252"/>
      <c r="AHB71" s="252"/>
      <c r="AHC71" s="252"/>
      <c r="AHD71" s="252"/>
      <c r="AHE71" s="252"/>
      <c r="AHF71" s="252"/>
      <c r="AHG71" s="252"/>
      <c r="AHH71" s="252"/>
      <c r="AHI71" s="252"/>
      <c r="AHJ71" s="252"/>
      <c r="AHK71" s="252"/>
      <c r="AHL71" s="252"/>
      <c r="AHM71" s="252"/>
      <c r="AHN71" s="252"/>
      <c r="AHO71" s="252"/>
      <c r="AHP71" s="252"/>
      <c r="AHQ71" s="252"/>
      <c r="AHR71" s="252"/>
      <c r="AHS71" s="252"/>
      <c r="AHT71" s="252"/>
      <c r="AHU71" s="252"/>
      <c r="AHV71" s="252"/>
      <c r="AHW71" s="252"/>
      <c r="AHX71" s="252"/>
      <c r="AHY71" s="252"/>
      <c r="AHZ71" s="252"/>
      <c r="AIA71" s="252"/>
      <c r="AIB71" s="252"/>
      <c r="AIC71" s="252"/>
      <c r="AID71" s="252"/>
      <c r="AIE71" s="252"/>
      <c r="AIF71" s="252"/>
      <c r="AIG71" s="252"/>
      <c r="AIH71" s="252"/>
      <c r="AII71" s="252"/>
      <c r="AIJ71" s="252"/>
      <c r="AIK71" s="252"/>
      <c r="AIL71" s="252"/>
      <c r="AIM71" s="252"/>
      <c r="AIN71" s="252"/>
      <c r="AIO71" s="252"/>
      <c r="AIP71" s="252"/>
      <c r="AIQ71" s="252"/>
      <c r="AIR71" s="252"/>
      <c r="AIS71" s="252"/>
      <c r="AIT71" s="252"/>
      <c r="AIU71" s="252"/>
      <c r="AIV71" s="252"/>
      <c r="AIW71" s="252"/>
      <c r="AIX71" s="252"/>
      <c r="AIY71" s="252"/>
      <c r="AIZ71" s="252"/>
      <c r="AJA71" s="252"/>
      <c r="AJB71" s="252"/>
      <c r="AJC71" s="252"/>
      <c r="AJD71" s="252"/>
      <c r="AJE71" s="252"/>
      <c r="AJF71" s="252"/>
      <c r="AJG71" s="252"/>
      <c r="AJH71" s="252"/>
      <c r="AJI71" s="252"/>
      <c r="AJJ71" s="252"/>
      <c r="AJK71" s="252"/>
      <c r="AJL71" s="252"/>
      <c r="AJM71" s="252"/>
      <c r="AJN71" s="252"/>
      <c r="AJO71" s="252"/>
      <c r="AJP71" s="252"/>
      <c r="AJQ71" s="252"/>
      <c r="AJR71" s="252"/>
      <c r="AJS71" s="252"/>
      <c r="AJT71" s="252"/>
      <c r="AJU71" s="252"/>
      <c r="AJV71" s="252"/>
      <c r="AJW71" s="252"/>
      <c r="AJX71" s="252"/>
      <c r="AJY71" s="252"/>
      <c r="AJZ71" s="252"/>
      <c r="AKA71" s="252"/>
      <c r="AKB71" s="252"/>
      <c r="AKC71" s="252"/>
      <c r="AKD71" s="252"/>
      <c r="AKE71" s="252"/>
      <c r="AKF71" s="252"/>
      <c r="AKG71" s="252"/>
      <c r="AKH71" s="252"/>
      <c r="AKI71" s="252"/>
      <c r="AKJ71" s="252"/>
      <c r="AKK71" s="252"/>
      <c r="AKL71" s="252"/>
      <c r="AKM71" s="252"/>
      <c r="AKN71" s="252"/>
      <c r="AKO71" s="252"/>
      <c r="AKP71" s="252"/>
      <c r="AKQ71" s="252"/>
      <c r="AKR71" s="252"/>
      <c r="AKS71" s="252"/>
      <c r="AKT71" s="252"/>
      <c r="AKU71" s="252"/>
      <c r="AKV71" s="252"/>
      <c r="AKW71" s="252"/>
      <c r="AKX71" s="252"/>
      <c r="AKY71" s="252"/>
      <c r="AKZ71" s="252"/>
      <c r="ALA71" s="252"/>
      <c r="ALB71" s="252"/>
      <c r="ALC71" s="252"/>
      <c r="ALD71" s="252"/>
      <c r="ALE71" s="252"/>
      <c r="ALF71" s="252"/>
      <c r="ALG71" s="252"/>
      <c r="ALH71" s="252"/>
      <c r="ALI71" s="252"/>
      <c r="ALJ71" s="252"/>
      <c r="ALK71" s="252"/>
      <c r="ALL71" s="252"/>
      <c r="ALM71" s="252"/>
      <c r="ALN71" s="252"/>
      <c r="ALO71" s="252"/>
      <c r="ALP71" s="252"/>
      <c r="ALQ71" s="252"/>
      <c r="ALR71" s="252"/>
      <c r="ALS71" s="252"/>
    </row>
    <row r="72" spans="1:1007" s="3" customFormat="1" x14ac:dyDescent="0.2">
      <c r="A72" s="369" t="s">
        <v>298</v>
      </c>
      <c r="B72" s="392"/>
      <c r="C72" s="392"/>
      <c r="D72" s="417">
        <v>890</v>
      </c>
      <c r="E72" s="731"/>
      <c r="F72" s="730"/>
      <c r="G72" s="730"/>
      <c r="H72" s="730"/>
      <c r="I72" s="730"/>
      <c r="J72" s="252"/>
      <c r="K72" s="252"/>
      <c r="L72" s="252"/>
      <c r="M72" s="252"/>
      <c r="N72" s="252"/>
      <c r="O72" s="252"/>
      <c r="P72" s="252"/>
      <c r="Q72" s="252"/>
      <c r="R72" s="252"/>
      <c r="S72" s="252"/>
      <c r="T72" s="252"/>
      <c r="U72" s="252"/>
      <c r="V72" s="252"/>
      <c r="W72" s="252"/>
      <c r="X72" s="252"/>
      <c r="Y72" s="252"/>
      <c r="Z72" s="252"/>
      <c r="AA72" s="252"/>
      <c r="AB72" s="252"/>
      <c r="AC72" s="252"/>
      <c r="AD72" s="252"/>
      <c r="AE72" s="252"/>
      <c r="AF72" s="252"/>
      <c r="AG72" s="252"/>
      <c r="AH72" s="252"/>
      <c r="AI72" s="252"/>
      <c r="AJ72" s="252"/>
      <c r="AK72" s="252"/>
      <c r="AL72" s="252"/>
      <c r="AM72" s="252"/>
      <c r="AN72" s="252"/>
      <c r="AO72" s="252"/>
      <c r="AP72" s="252"/>
      <c r="AQ72" s="252"/>
      <c r="AR72" s="252"/>
      <c r="AS72" s="252"/>
      <c r="AT72" s="252"/>
      <c r="AU72" s="252"/>
      <c r="AV72" s="252"/>
      <c r="AW72" s="252"/>
      <c r="AX72" s="252"/>
      <c r="AY72" s="252"/>
      <c r="AZ72" s="252"/>
      <c r="BA72" s="252"/>
      <c r="BB72" s="252"/>
      <c r="BC72" s="252"/>
      <c r="BD72" s="252"/>
      <c r="BE72" s="252"/>
      <c r="BF72" s="252"/>
      <c r="BG72" s="252"/>
      <c r="BH72" s="252"/>
      <c r="BI72" s="252"/>
      <c r="BJ72" s="252"/>
      <c r="BK72" s="252"/>
      <c r="BL72" s="252"/>
      <c r="BM72" s="252"/>
      <c r="BN72" s="252"/>
      <c r="BO72" s="252"/>
      <c r="BP72" s="252"/>
      <c r="BQ72" s="252"/>
      <c r="BR72" s="252"/>
      <c r="BS72" s="252"/>
      <c r="BT72" s="252"/>
      <c r="BU72" s="252"/>
      <c r="BV72" s="252"/>
      <c r="BW72" s="252"/>
      <c r="BX72" s="252"/>
      <c r="BY72" s="252"/>
      <c r="BZ72" s="252"/>
      <c r="CA72" s="252"/>
      <c r="CB72" s="252"/>
      <c r="CC72" s="252"/>
      <c r="CD72" s="252"/>
      <c r="CE72" s="252"/>
      <c r="CF72" s="252"/>
      <c r="CG72" s="252"/>
      <c r="CH72" s="252"/>
      <c r="CI72" s="252"/>
      <c r="CJ72" s="252"/>
      <c r="CK72" s="252"/>
      <c r="CL72" s="252"/>
      <c r="CM72" s="252"/>
      <c r="CN72" s="252"/>
      <c r="CO72" s="252"/>
      <c r="CP72" s="252"/>
      <c r="CQ72" s="252"/>
      <c r="CR72" s="252"/>
      <c r="CS72" s="252"/>
      <c r="CT72" s="252"/>
      <c r="CU72" s="252"/>
      <c r="CV72" s="252"/>
      <c r="CW72" s="252"/>
      <c r="CX72" s="252"/>
      <c r="CY72" s="252"/>
      <c r="CZ72" s="252"/>
      <c r="DA72" s="252"/>
      <c r="DB72" s="252"/>
      <c r="DC72" s="252"/>
      <c r="DD72" s="252"/>
      <c r="DE72" s="252"/>
      <c r="DF72" s="252"/>
      <c r="DG72" s="252"/>
      <c r="DH72" s="252"/>
      <c r="DI72" s="252"/>
      <c r="DJ72" s="252"/>
      <c r="DK72" s="252"/>
      <c r="DL72" s="252"/>
      <c r="DM72" s="252"/>
      <c r="DN72" s="252"/>
      <c r="DO72" s="252"/>
      <c r="DP72" s="252"/>
      <c r="DQ72" s="252"/>
      <c r="DR72" s="252"/>
      <c r="DS72" s="252"/>
      <c r="DT72" s="252"/>
      <c r="DU72" s="252"/>
      <c r="DV72" s="252"/>
      <c r="DW72" s="252"/>
      <c r="DX72" s="252"/>
      <c r="DY72" s="252"/>
      <c r="DZ72" s="252"/>
      <c r="EA72" s="252"/>
      <c r="EB72" s="252"/>
      <c r="EC72" s="252"/>
      <c r="ED72" s="252"/>
      <c r="EE72" s="252"/>
      <c r="EF72" s="252"/>
      <c r="EG72" s="252"/>
      <c r="EH72" s="252"/>
      <c r="EI72" s="252"/>
      <c r="EJ72" s="252"/>
      <c r="EK72" s="252"/>
      <c r="EL72" s="252"/>
      <c r="EM72" s="252"/>
      <c r="EN72" s="252"/>
      <c r="EO72" s="252"/>
      <c r="EP72" s="252"/>
      <c r="EQ72" s="252"/>
      <c r="ER72" s="252"/>
      <c r="ES72" s="252"/>
      <c r="ET72" s="252"/>
      <c r="EU72" s="252"/>
      <c r="EV72" s="252"/>
      <c r="EW72" s="252"/>
      <c r="EX72" s="252"/>
      <c r="EY72" s="252"/>
      <c r="EZ72" s="252"/>
      <c r="FA72" s="252"/>
      <c r="FB72" s="252"/>
      <c r="FC72" s="252"/>
      <c r="FD72" s="252"/>
      <c r="FE72" s="252"/>
      <c r="FF72" s="252"/>
      <c r="FG72" s="252"/>
      <c r="FH72" s="252"/>
      <c r="FI72" s="252"/>
      <c r="FJ72" s="252"/>
      <c r="FK72" s="252"/>
      <c r="FL72" s="252"/>
      <c r="FM72" s="252"/>
      <c r="FN72" s="252"/>
      <c r="FO72" s="252"/>
      <c r="FP72" s="252"/>
      <c r="FQ72" s="252"/>
      <c r="FR72" s="252"/>
      <c r="FS72" s="252"/>
      <c r="FT72" s="252"/>
      <c r="FU72" s="252"/>
      <c r="FV72" s="252"/>
      <c r="FW72" s="252"/>
      <c r="FX72" s="252"/>
      <c r="FY72" s="252"/>
      <c r="FZ72" s="252"/>
      <c r="GA72" s="252"/>
      <c r="GB72" s="252"/>
      <c r="GC72" s="252"/>
      <c r="GD72" s="252"/>
      <c r="GE72" s="252"/>
      <c r="GF72" s="252"/>
      <c r="GG72" s="252"/>
      <c r="GH72" s="252"/>
      <c r="GI72" s="252"/>
      <c r="GJ72" s="252"/>
      <c r="GK72" s="252"/>
      <c r="GL72" s="252"/>
      <c r="GM72" s="252"/>
      <c r="GN72" s="252"/>
      <c r="GO72" s="252"/>
      <c r="GP72" s="252"/>
      <c r="GQ72" s="252"/>
      <c r="GR72" s="252"/>
      <c r="GS72" s="252"/>
      <c r="GT72" s="252"/>
      <c r="GU72" s="252"/>
      <c r="GV72" s="252"/>
      <c r="GW72" s="252"/>
      <c r="GX72" s="252"/>
      <c r="GY72" s="252"/>
      <c r="GZ72" s="252"/>
      <c r="HA72" s="252"/>
      <c r="HB72" s="252"/>
      <c r="HC72" s="252"/>
      <c r="HD72" s="252"/>
      <c r="HE72" s="252"/>
      <c r="HF72" s="252"/>
      <c r="HG72" s="252"/>
      <c r="HH72" s="252"/>
      <c r="HI72" s="252"/>
      <c r="HJ72" s="252"/>
      <c r="HK72" s="252"/>
      <c r="HL72" s="252"/>
      <c r="HM72" s="252"/>
      <c r="HN72" s="252"/>
      <c r="HO72" s="252"/>
      <c r="HP72" s="252"/>
      <c r="HQ72" s="252"/>
      <c r="HR72" s="252"/>
      <c r="HS72" s="252"/>
      <c r="HT72" s="252"/>
      <c r="HU72" s="252"/>
      <c r="HV72" s="252"/>
      <c r="HW72" s="252"/>
      <c r="HX72" s="252"/>
      <c r="HY72" s="252"/>
      <c r="HZ72" s="252"/>
      <c r="IA72" s="252"/>
      <c r="IB72" s="252"/>
      <c r="IC72" s="252"/>
      <c r="ID72" s="252"/>
      <c r="IE72" s="252"/>
      <c r="IF72" s="252"/>
      <c r="IG72" s="252"/>
      <c r="IH72" s="252"/>
      <c r="II72" s="252"/>
      <c r="IJ72" s="252"/>
      <c r="IK72" s="252"/>
      <c r="IL72" s="252"/>
      <c r="IM72" s="252"/>
      <c r="IN72" s="252"/>
      <c r="IO72" s="252"/>
      <c r="IP72" s="252"/>
      <c r="IQ72" s="252"/>
      <c r="IR72" s="252"/>
      <c r="IS72" s="252"/>
      <c r="IT72" s="252"/>
      <c r="IU72" s="252"/>
      <c r="IV72" s="252"/>
      <c r="IW72" s="252"/>
      <c r="IX72" s="252"/>
      <c r="IY72" s="252"/>
      <c r="IZ72" s="252"/>
      <c r="JA72" s="252"/>
      <c r="JB72" s="252"/>
      <c r="JC72" s="252"/>
      <c r="JD72" s="252"/>
      <c r="JE72" s="252"/>
      <c r="JF72" s="252"/>
      <c r="JG72" s="252"/>
      <c r="JH72" s="252"/>
      <c r="JI72" s="252"/>
      <c r="JJ72" s="252"/>
      <c r="JK72" s="252"/>
      <c r="JL72" s="252"/>
      <c r="JM72" s="252"/>
      <c r="JN72" s="252"/>
      <c r="JO72" s="252"/>
      <c r="JP72" s="252"/>
      <c r="JQ72" s="252"/>
      <c r="JR72" s="252"/>
      <c r="JS72" s="252"/>
      <c r="JT72" s="252"/>
      <c r="JU72" s="252"/>
      <c r="JV72" s="252"/>
      <c r="JW72" s="252"/>
      <c r="JX72" s="252"/>
      <c r="JY72" s="252"/>
      <c r="JZ72" s="252"/>
      <c r="KA72" s="252"/>
      <c r="KB72" s="252"/>
      <c r="KC72" s="252"/>
      <c r="KD72" s="252"/>
      <c r="KE72" s="252"/>
      <c r="KF72" s="252"/>
      <c r="KG72" s="252"/>
      <c r="KH72" s="252"/>
      <c r="KI72" s="252"/>
      <c r="KJ72" s="252"/>
      <c r="KK72" s="252"/>
      <c r="KL72" s="252"/>
      <c r="KM72" s="252"/>
      <c r="KN72" s="252"/>
      <c r="KO72" s="252"/>
      <c r="KP72" s="252"/>
      <c r="KQ72" s="252"/>
      <c r="KR72" s="252"/>
      <c r="KS72" s="252"/>
      <c r="KT72" s="252"/>
      <c r="KU72" s="252"/>
      <c r="KV72" s="252"/>
      <c r="KW72" s="252"/>
      <c r="KX72" s="252"/>
      <c r="KY72" s="252"/>
      <c r="KZ72" s="252"/>
      <c r="LA72" s="252"/>
      <c r="LB72" s="252"/>
      <c r="LC72" s="252"/>
      <c r="LD72" s="252"/>
      <c r="LE72" s="252"/>
      <c r="LF72" s="252"/>
      <c r="LG72" s="252"/>
      <c r="LH72" s="252"/>
      <c r="LI72" s="252"/>
      <c r="LJ72" s="252"/>
      <c r="LK72" s="252"/>
      <c r="LL72" s="252"/>
      <c r="LM72" s="252"/>
      <c r="LN72" s="252"/>
      <c r="LO72" s="252"/>
      <c r="LP72" s="252"/>
      <c r="LQ72" s="252"/>
      <c r="LR72" s="252"/>
      <c r="LS72" s="252"/>
      <c r="LT72" s="252"/>
      <c r="LU72" s="252"/>
      <c r="LV72" s="252"/>
      <c r="LW72" s="252"/>
      <c r="LX72" s="252"/>
      <c r="LY72" s="252"/>
      <c r="LZ72" s="252"/>
      <c r="MA72" s="252"/>
      <c r="MB72" s="252"/>
      <c r="MC72" s="252"/>
      <c r="MD72" s="252"/>
      <c r="ME72" s="252"/>
      <c r="MF72" s="252"/>
      <c r="MG72" s="252"/>
      <c r="MH72" s="252"/>
      <c r="MI72" s="252"/>
      <c r="MJ72" s="252"/>
      <c r="MK72" s="252"/>
      <c r="ML72" s="252"/>
      <c r="MM72" s="252"/>
      <c r="MN72" s="252"/>
      <c r="MO72" s="252"/>
      <c r="MP72" s="252"/>
      <c r="MQ72" s="252"/>
      <c r="MR72" s="252"/>
      <c r="MS72" s="252"/>
      <c r="MT72" s="252"/>
      <c r="MU72" s="252"/>
      <c r="MV72" s="252"/>
      <c r="MW72" s="252"/>
      <c r="MX72" s="252"/>
      <c r="MY72" s="252"/>
      <c r="MZ72" s="252"/>
      <c r="NA72" s="252"/>
      <c r="NB72" s="252"/>
      <c r="NC72" s="252"/>
      <c r="ND72" s="252"/>
      <c r="NE72" s="252"/>
      <c r="NF72" s="252"/>
      <c r="NG72" s="252"/>
      <c r="NH72" s="252"/>
      <c r="NI72" s="252"/>
      <c r="NJ72" s="252"/>
      <c r="NK72" s="252"/>
      <c r="NL72" s="252"/>
      <c r="NM72" s="252"/>
      <c r="NN72" s="252"/>
      <c r="NO72" s="252"/>
      <c r="NP72" s="252"/>
      <c r="NQ72" s="252"/>
      <c r="NR72" s="252"/>
      <c r="NS72" s="252"/>
      <c r="NT72" s="252"/>
      <c r="NU72" s="252"/>
      <c r="NV72" s="252"/>
      <c r="NW72" s="252"/>
      <c r="NX72" s="252"/>
      <c r="NY72" s="252"/>
      <c r="NZ72" s="252"/>
      <c r="OA72" s="252"/>
      <c r="OB72" s="252"/>
      <c r="OC72" s="252"/>
      <c r="OD72" s="252"/>
      <c r="OE72" s="252"/>
      <c r="OF72" s="252"/>
      <c r="OG72" s="252"/>
      <c r="OH72" s="252"/>
      <c r="OI72" s="252"/>
      <c r="OJ72" s="252"/>
      <c r="OK72" s="252"/>
      <c r="OL72" s="252"/>
      <c r="OM72" s="252"/>
      <c r="ON72" s="252"/>
      <c r="OO72" s="252"/>
      <c r="OP72" s="252"/>
      <c r="OQ72" s="252"/>
      <c r="OR72" s="252"/>
      <c r="OS72" s="252"/>
      <c r="OT72" s="252"/>
      <c r="OU72" s="252"/>
      <c r="OV72" s="252"/>
      <c r="OW72" s="252"/>
      <c r="OX72" s="252"/>
      <c r="OY72" s="252"/>
      <c r="OZ72" s="252"/>
      <c r="PA72" s="252"/>
      <c r="PB72" s="252"/>
      <c r="PC72" s="252"/>
      <c r="PD72" s="252"/>
      <c r="PE72" s="252"/>
      <c r="PF72" s="252"/>
      <c r="PG72" s="252"/>
      <c r="PH72" s="252"/>
      <c r="PI72" s="252"/>
      <c r="PJ72" s="252"/>
      <c r="PK72" s="252"/>
      <c r="PL72" s="252"/>
      <c r="PM72" s="252"/>
      <c r="PN72" s="252"/>
      <c r="PO72" s="252"/>
      <c r="PP72" s="252"/>
      <c r="PQ72" s="252"/>
      <c r="PR72" s="252"/>
      <c r="PS72" s="252"/>
      <c r="PT72" s="252"/>
      <c r="PU72" s="252"/>
      <c r="PV72" s="252"/>
      <c r="PW72" s="252"/>
      <c r="PX72" s="252"/>
      <c r="PY72" s="252"/>
      <c r="PZ72" s="252"/>
      <c r="QA72" s="252"/>
      <c r="QB72" s="252"/>
      <c r="QC72" s="252"/>
      <c r="QD72" s="252"/>
      <c r="QE72" s="252"/>
      <c r="QF72" s="252"/>
      <c r="QG72" s="252"/>
      <c r="QH72" s="252"/>
      <c r="QI72" s="252"/>
      <c r="QJ72" s="252"/>
      <c r="QK72" s="252"/>
      <c r="QL72" s="252"/>
      <c r="QM72" s="252"/>
      <c r="QN72" s="252"/>
      <c r="QO72" s="252"/>
      <c r="QP72" s="252"/>
      <c r="QQ72" s="252"/>
      <c r="QR72" s="252"/>
      <c r="QS72" s="252"/>
      <c r="QT72" s="252"/>
      <c r="QU72" s="252"/>
      <c r="QV72" s="252"/>
      <c r="QW72" s="252"/>
      <c r="QX72" s="252"/>
      <c r="QY72" s="252"/>
      <c r="QZ72" s="252"/>
      <c r="RA72" s="252"/>
      <c r="RB72" s="252"/>
      <c r="RC72" s="252"/>
      <c r="RD72" s="252"/>
      <c r="RE72" s="252"/>
      <c r="RF72" s="252"/>
      <c r="RG72" s="252"/>
      <c r="RH72" s="252"/>
      <c r="RI72" s="252"/>
      <c r="RJ72" s="252"/>
      <c r="RK72" s="252"/>
      <c r="RL72" s="252"/>
      <c r="RM72" s="252"/>
      <c r="RN72" s="252"/>
      <c r="RO72" s="252"/>
      <c r="RP72" s="252"/>
      <c r="RQ72" s="252"/>
      <c r="RR72" s="252"/>
      <c r="RS72" s="252"/>
      <c r="RT72" s="252"/>
      <c r="RU72" s="252"/>
      <c r="RV72" s="252"/>
      <c r="RW72" s="252"/>
      <c r="RX72" s="252"/>
      <c r="RY72" s="252"/>
      <c r="RZ72" s="252"/>
      <c r="SA72" s="252"/>
      <c r="SB72" s="252"/>
      <c r="SC72" s="252"/>
      <c r="SD72" s="252"/>
      <c r="SE72" s="252"/>
      <c r="SF72" s="252"/>
      <c r="SG72" s="252"/>
      <c r="SH72" s="252"/>
      <c r="SI72" s="252"/>
      <c r="SJ72" s="252"/>
      <c r="SK72" s="252"/>
      <c r="SL72" s="252"/>
      <c r="SM72" s="252"/>
      <c r="SN72" s="252"/>
      <c r="SO72" s="252"/>
      <c r="SP72" s="252"/>
      <c r="SQ72" s="252"/>
      <c r="SR72" s="252"/>
      <c r="SS72" s="252"/>
      <c r="ST72" s="252"/>
      <c r="SU72" s="252"/>
      <c r="SV72" s="252"/>
      <c r="SW72" s="252"/>
      <c r="SX72" s="252"/>
      <c r="SY72" s="252"/>
      <c r="SZ72" s="252"/>
      <c r="TA72" s="252"/>
      <c r="TB72" s="252"/>
      <c r="TC72" s="252"/>
      <c r="TD72" s="252"/>
      <c r="TE72" s="252"/>
      <c r="TF72" s="252"/>
      <c r="TG72" s="252"/>
      <c r="TH72" s="252"/>
      <c r="TI72" s="252"/>
      <c r="TJ72" s="252"/>
      <c r="TK72" s="252"/>
      <c r="TL72" s="252"/>
      <c r="TM72" s="252"/>
      <c r="TN72" s="252"/>
      <c r="TO72" s="252"/>
      <c r="TP72" s="252"/>
      <c r="TQ72" s="252"/>
      <c r="TR72" s="252"/>
      <c r="TS72" s="252"/>
      <c r="TT72" s="252"/>
      <c r="TU72" s="252"/>
      <c r="TV72" s="252"/>
      <c r="TW72" s="252"/>
      <c r="TX72" s="252"/>
      <c r="TY72" s="252"/>
      <c r="TZ72" s="252"/>
      <c r="UA72" s="252"/>
      <c r="UB72" s="252"/>
      <c r="UC72" s="252"/>
      <c r="UD72" s="252"/>
      <c r="UE72" s="252"/>
      <c r="UF72" s="252"/>
      <c r="UG72" s="252"/>
      <c r="UH72" s="252"/>
      <c r="UI72" s="252"/>
      <c r="UJ72" s="252"/>
      <c r="UK72" s="252"/>
      <c r="UL72" s="252"/>
      <c r="UM72" s="252"/>
      <c r="UN72" s="252"/>
      <c r="UO72" s="252"/>
      <c r="UP72" s="252"/>
      <c r="UQ72" s="252"/>
      <c r="UR72" s="252"/>
      <c r="US72" s="252"/>
      <c r="UT72" s="252"/>
      <c r="UU72" s="252"/>
      <c r="UV72" s="252"/>
      <c r="UW72" s="252"/>
      <c r="UX72" s="252"/>
      <c r="UY72" s="252"/>
      <c r="UZ72" s="252"/>
      <c r="VA72" s="252"/>
      <c r="VB72" s="252"/>
      <c r="VC72" s="252"/>
      <c r="VD72" s="252"/>
      <c r="VE72" s="252"/>
      <c r="VF72" s="252"/>
      <c r="VG72" s="252"/>
      <c r="VH72" s="252"/>
      <c r="VI72" s="252"/>
      <c r="VJ72" s="252"/>
      <c r="VK72" s="252"/>
      <c r="VL72" s="252"/>
      <c r="VM72" s="252"/>
      <c r="VN72" s="252"/>
      <c r="VO72" s="252"/>
      <c r="VP72" s="252"/>
      <c r="VQ72" s="252"/>
      <c r="VR72" s="252"/>
      <c r="VS72" s="252"/>
      <c r="VT72" s="252"/>
      <c r="VU72" s="252"/>
      <c r="VV72" s="252"/>
      <c r="VW72" s="252"/>
      <c r="VX72" s="252"/>
      <c r="VY72" s="252"/>
      <c r="VZ72" s="252"/>
      <c r="WA72" s="252"/>
      <c r="WB72" s="252"/>
      <c r="WC72" s="252"/>
      <c r="WD72" s="252"/>
      <c r="WE72" s="252"/>
      <c r="WF72" s="252"/>
      <c r="WG72" s="252"/>
      <c r="WH72" s="252"/>
      <c r="WI72" s="252"/>
      <c r="WJ72" s="252"/>
      <c r="WK72" s="252"/>
      <c r="WL72" s="252"/>
      <c r="WM72" s="252"/>
      <c r="WN72" s="252"/>
      <c r="WO72" s="252"/>
      <c r="WP72" s="252"/>
      <c r="WQ72" s="252"/>
      <c r="WR72" s="252"/>
      <c r="WS72" s="252"/>
      <c r="WT72" s="252"/>
      <c r="WU72" s="252"/>
      <c r="WV72" s="252"/>
      <c r="WW72" s="252"/>
      <c r="WX72" s="252"/>
      <c r="WY72" s="252"/>
      <c r="WZ72" s="252"/>
      <c r="XA72" s="252"/>
      <c r="XB72" s="252"/>
      <c r="XC72" s="252"/>
      <c r="XD72" s="252"/>
      <c r="XE72" s="252"/>
      <c r="XF72" s="252"/>
      <c r="XG72" s="252"/>
      <c r="XH72" s="252"/>
      <c r="XI72" s="252"/>
      <c r="XJ72" s="252"/>
      <c r="XK72" s="252"/>
      <c r="XL72" s="252"/>
      <c r="XM72" s="252"/>
      <c r="XN72" s="252"/>
      <c r="XO72" s="252"/>
      <c r="XP72" s="252"/>
      <c r="XQ72" s="252"/>
      <c r="XR72" s="252"/>
      <c r="XS72" s="252"/>
      <c r="XT72" s="252"/>
      <c r="XU72" s="252"/>
      <c r="XV72" s="252"/>
      <c r="XW72" s="252"/>
      <c r="XX72" s="252"/>
      <c r="XY72" s="252"/>
      <c r="XZ72" s="252"/>
      <c r="YA72" s="252"/>
      <c r="YB72" s="252"/>
      <c r="YC72" s="252"/>
      <c r="YD72" s="252"/>
      <c r="YE72" s="252"/>
      <c r="YF72" s="252"/>
      <c r="YG72" s="252"/>
      <c r="YH72" s="252"/>
      <c r="YI72" s="252"/>
      <c r="YJ72" s="252"/>
      <c r="YK72" s="252"/>
      <c r="YL72" s="252"/>
      <c r="YM72" s="252"/>
      <c r="YN72" s="252"/>
      <c r="YO72" s="252"/>
      <c r="YP72" s="252"/>
      <c r="YQ72" s="252"/>
      <c r="YR72" s="252"/>
      <c r="YS72" s="252"/>
      <c r="YT72" s="252"/>
      <c r="YU72" s="252"/>
      <c r="YV72" s="252"/>
      <c r="YW72" s="252"/>
      <c r="YX72" s="252"/>
      <c r="YY72" s="252"/>
      <c r="YZ72" s="252"/>
      <c r="ZA72" s="252"/>
      <c r="ZB72" s="252"/>
      <c r="ZC72" s="252"/>
      <c r="ZD72" s="252"/>
      <c r="ZE72" s="252"/>
      <c r="ZF72" s="252"/>
      <c r="ZG72" s="252"/>
      <c r="ZH72" s="252"/>
      <c r="ZI72" s="252"/>
      <c r="ZJ72" s="252"/>
      <c r="ZK72" s="252"/>
      <c r="ZL72" s="252"/>
      <c r="ZM72" s="252"/>
      <c r="ZN72" s="252"/>
      <c r="ZO72" s="252"/>
      <c r="ZP72" s="252"/>
      <c r="ZQ72" s="252"/>
      <c r="ZR72" s="252"/>
      <c r="ZS72" s="252"/>
      <c r="ZT72" s="252"/>
      <c r="ZU72" s="252"/>
      <c r="ZV72" s="252"/>
      <c r="ZW72" s="252"/>
      <c r="ZX72" s="252"/>
      <c r="ZY72" s="252"/>
      <c r="ZZ72" s="252"/>
      <c r="AAA72" s="252"/>
      <c r="AAB72" s="252"/>
      <c r="AAC72" s="252"/>
      <c r="AAD72" s="252"/>
      <c r="AAE72" s="252"/>
      <c r="AAF72" s="252"/>
      <c r="AAG72" s="252"/>
      <c r="AAH72" s="252"/>
      <c r="AAI72" s="252"/>
      <c r="AAJ72" s="252"/>
      <c r="AAK72" s="252"/>
      <c r="AAL72" s="252"/>
      <c r="AAM72" s="252"/>
      <c r="AAN72" s="252"/>
      <c r="AAO72" s="252"/>
      <c r="AAP72" s="252"/>
      <c r="AAQ72" s="252"/>
      <c r="AAR72" s="252"/>
      <c r="AAS72" s="252"/>
      <c r="AAT72" s="252"/>
      <c r="AAU72" s="252"/>
      <c r="AAV72" s="252"/>
      <c r="AAW72" s="252"/>
      <c r="AAX72" s="252"/>
      <c r="AAY72" s="252"/>
      <c r="AAZ72" s="252"/>
      <c r="ABA72" s="252"/>
      <c r="ABB72" s="252"/>
      <c r="ABC72" s="252"/>
      <c r="ABD72" s="252"/>
      <c r="ABE72" s="252"/>
      <c r="ABF72" s="252"/>
      <c r="ABG72" s="252"/>
      <c r="ABH72" s="252"/>
      <c r="ABI72" s="252"/>
      <c r="ABJ72" s="252"/>
      <c r="ABK72" s="252"/>
      <c r="ABL72" s="252"/>
      <c r="ABM72" s="252"/>
      <c r="ABN72" s="252"/>
      <c r="ABO72" s="252"/>
      <c r="ABP72" s="252"/>
      <c r="ABQ72" s="252"/>
      <c r="ABR72" s="252"/>
      <c r="ABS72" s="252"/>
      <c r="ABT72" s="252"/>
      <c r="ABU72" s="252"/>
      <c r="ABV72" s="252"/>
      <c r="ABW72" s="252"/>
      <c r="ABX72" s="252"/>
      <c r="ABY72" s="252"/>
      <c r="ABZ72" s="252"/>
      <c r="ACA72" s="252"/>
      <c r="ACB72" s="252"/>
      <c r="ACC72" s="252"/>
      <c r="ACD72" s="252"/>
      <c r="ACE72" s="252"/>
      <c r="ACF72" s="252"/>
      <c r="ACG72" s="252"/>
      <c r="ACH72" s="252"/>
      <c r="ACI72" s="252"/>
      <c r="ACJ72" s="252"/>
      <c r="ACK72" s="252"/>
      <c r="ACL72" s="252"/>
      <c r="ACM72" s="252"/>
      <c r="ACN72" s="252"/>
      <c r="ACO72" s="252"/>
      <c r="ACP72" s="252"/>
      <c r="ACQ72" s="252"/>
      <c r="ACR72" s="252"/>
      <c r="ACS72" s="252"/>
      <c r="ACT72" s="252"/>
      <c r="ACU72" s="252"/>
      <c r="ACV72" s="252"/>
      <c r="ACW72" s="252"/>
      <c r="ACX72" s="252"/>
      <c r="ACY72" s="252"/>
      <c r="ACZ72" s="252"/>
      <c r="ADA72" s="252"/>
      <c r="ADB72" s="252"/>
      <c r="ADC72" s="252"/>
      <c r="ADD72" s="252"/>
      <c r="ADE72" s="252"/>
      <c r="ADF72" s="252"/>
      <c r="ADG72" s="252"/>
      <c r="ADH72" s="252"/>
      <c r="ADI72" s="252"/>
      <c r="ADJ72" s="252"/>
      <c r="ADK72" s="252"/>
      <c r="ADL72" s="252"/>
      <c r="ADM72" s="252"/>
      <c r="ADN72" s="252"/>
      <c r="ADO72" s="252"/>
      <c r="ADP72" s="252"/>
      <c r="ADQ72" s="252"/>
      <c r="ADR72" s="252"/>
      <c r="ADS72" s="252"/>
      <c r="ADT72" s="252"/>
      <c r="ADU72" s="252"/>
      <c r="ADV72" s="252"/>
      <c r="ADW72" s="252"/>
      <c r="ADX72" s="252"/>
      <c r="ADY72" s="252"/>
      <c r="ADZ72" s="252"/>
      <c r="AEA72" s="252"/>
      <c r="AEB72" s="252"/>
      <c r="AEC72" s="252"/>
      <c r="AED72" s="252"/>
      <c r="AEE72" s="252"/>
      <c r="AEF72" s="252"/>
      <c r="AEG72" s="252"/>
      <c r="AEH72" s="252"/>
      <c r="AEI72" s="252"/>
      <c r="AEJ72" s="252"/>
      <c r="AEK72" s="252"/>
      <c r="AEL72" s="252"/>
      <c r="AEM72" s="252"/>
      <c r="AEN72" s="252"/>
      <c r="AEO72" s="252"/>
      <c r="AEP72" s="252"/>
      <c r="AEQ72" s="252"/>
      <c r="AER72" s="252"/>
      <c r="AES72" s="252"/>
      <c r="AET72" s="252"/>
      <c r="AEU72" s="252"/>
      <c r="AEV72" s="252"/>
      <c r="AEW72" s="252"/>
      <c r="AEX72" s="252"/>
      <c r="AEY72" s="252"/>
      <c r="AEZ72" s="252"/>
      <c r="AFA72" s="252"/>
      <c r="AFB72" s="252"/>
      <c r="AFC72" s="252"/>
      <c r="AFD72" s="252"/>
      <c r="AFE72" s="252"/>
      <c r="AFF72" s="252"/>
      <c r="AFG72" s="252"/>
      <c r="AFH72" s="252"/>
      <c r="AFI72" s="252"/>
      <c r="AFJ72" s="252"/>
      <c r="AFK72" s="252"/>
      <c r="AFL72" s="252"/>
      <c r="AFM72" s="252"/>
      <c r="AFN72" s="252"/>
      <c r="AFO72" s="252"/>
      <c r="AFP72" s="252"/>
      <c r="AFQ72" s="252"/>
      <c r="AFR72" s="252"/>
      <c r="AFS72" s="252"/>
      <c r="AFT72" s="252"/>
      <c r="AFU72" s="252"/>
      <c r="AFV72" s="252"/>
      <c r="AFW72" s="252"/>
      <c r="AFX72" s="252"/>
      <c r="AFY72" s="252"/>
      <c r="AFZ72" s="252"/>
      <c r="AGA72" s="252"/>
      <c r="AGB72" s="252"/>
      <c r="AGC72" s="252"/>
      <c r="AGD72" s="252"/>
      <c r="AGE72" s="252"/>
      <c r="AGF72" s="252"/>
      <c r="AGG72" s="252"/>
      <c r="AGH72" s="252"/>
      <c r="AGI72" s="252"/>
      <c r="AGJ72" s="252"/>
      <c r="AGK72" s="252"/>
      <c r="AGL72" s="252"/>
      <c r="AGM72" s="252"/>
      <c r="AGN72" s="252"/>
      <c r="AGO72" s="252"/>
      <c r="AGP72" s="252"/>
      <c r="AGQ72" s="252"/>
      <c r="AGR72" s="252"/>
      <c r="AGS72" s="252"/>
      <c r="AGT72" s="252"/>
      <c r="AGU72" s="252"/>
      <c r="AGV72" s="252"/>
      <c r="AGW72" s="252"/>
      <c r="AGX72" s="252"/>
      <c r="AGY72" s="252"/>
      <c r="AGZ72" s="252"/>
      <c r="AHA72" s="252"/>
      <c r="AHB72" s="252"/>
      <c r="AHC72" s="252"/>
      <c r="AHD72" s="252"/>
      <c r="AHE72" s="252"/>
      <c r="AHF72" s="252"/>
      <c r="AHG72" s="252"/>
      <c r="AHH72" s="252"/>
      <c r="AHI72" s="252"/>
      <c r="AHJ72" s="252"/>
      <c r="AHK72" s="252"/>
      <c r="AHL72" s="252"/>
      <c r="AHM72" s="252"/>
      <c r="AHN72" s="252"/>
      <c r="AHO72" s="252"/>
      <c r="AHP72" s="252"/>
      <c r="AHQ72" s="252"/>
      <c r="AHR72" s="252"/>
      <c r="AHS72" s="252"/>
      <c r="AHT72" s="252"/>
      <c r="AHU72" s="252"/>
      <c r="AHV72" s="252"/>
      <c r="AHW72" s="252"/>
      <c r="AHX72" s="252"/>
      <c r="AHY72" s="252"/>
      <c r="AHZ72" s="252"/>
      <c r="AIA72" s="252"/>
      <c r="AIB72" s="252"/>
      <c r="AIC72" s="252"/>
      <c r="AID72" s="252"/>
      <c r="AIE72" s="252"/>
      <c r="AIF72" s="252"/>
      <c r="AIG72" s="252"/>
      <c r="AIH72" s="252"/>
      <c r="AII72" s="252"/>
      <c r="AIJ72" s="252"/>
      <c r="AIK72" s="252"/>
      <c r="AIL72" s="252"/>
      <c r="AIM72" s="252"/>
      <c r="AIN72" s="252"/>
      <c r="AIO72" s="252"/>
      <c r="AIP72" s="252"/>
      <c r="AIQ72" s="252"/>
      <c r="AIR72" s="252"/>
      <c r="AIS72" s="252"/>
      <c r="AIT72" s="252"/>
      <c r="AIU72" s="252"/>
      <c r="AIV72" s="252"/>
      <c r="AIW72" s="252"/>
      <c r="AIX72" s="252"/>
      <c r="AIY72" s="252"/>
      <c r="AIZ72" s="252"/>
      <c r="AJA72" s="252"/>
      <c r="AJB72" s="252"/>
      <c r="AJC72" s="252"/>
      <c r="AJD72" s="252"/>
      <c r="AJE72" s="252"/>
      <c r="AJF72" s="252"/>
      <c r="AJG72" s="252"/>
      <c r="AJH72" s="252"/>
      <c r="AJI72" s="252"/>
      <c r="AJJ72" s="252"/>
      <c r="AJK72" s="252"/>
      <c r="AJL72" s="252"/>
      <c r="AJM72" s="252"/>
      <c r="AJN72" s="252"/>
      <c r="AJO72" s="252"/>
      <c r="AJP72" s="252"/>
      <c r="AJQ72" s="252"/>
      <c r="AJR72" s="252"/>
      <c r="AJS72" s="252"/>
      <c r="AJT72" s="252"/>
      <c r="AJU72" s="252"/>
      <c r="AJV72" s="252"/>
      <c r="AJW72" s="252"/>
      <c r="AJX72" s="252"/>
      <c r="AJY72" s="252"/>
      <c r="AJZ72" s="252"/>
      <c r="AKA72" s="252"/>
      <c r="AKB72" s="252"/>
      <c r="AKC72" s="252"/>
      <c r="AKD72" s="252"/>
      <c r="AKE72" s="252"/>
      <c r="AKF72" s="252"/>
      <c r="AKG72" s="252"/>
      <c r="AKH72" s="252"/>
      <c r="AKI72" s="252"/>
      <c r="AKJ72" s="252"/>
      <c r="AKK72" s="252"/>
      <c r="AKL72" s="252"/>
      <c r="AKM72" s="252"/>
      <c r="AKN72" s="252"/>
      <c r="AKO72" s="252"/>
      <c r="AKP72" s="252"/>
      <c r="AKQ72" s="252"/>
      <c r="AKR72" s="252"/>
      <c r="AKS72" s="252"/>
      <c r="AKT72" s="252"/>
      <c r="AKU72" s="252"/>
      <c r="AKV72" s="252"/>
      <c r="AKW72" s="252"/>
      <c r="AKX72" s="252"/>
      <c r="AKY72" s="252"/>
      <c r="AKZ72" s="252"/>
      <c r="ALA72" s="252"/>
      <c r="ALB72" s="252"/>
      <c r="ALC72" s="252"/>
      <c r="ALD72" s="252"/>
      <c r="ALE72" s="252"/>
      <c r="ALF72" s="252"/>
      <c r="ALG72" s="252"/>
      <c r="ALH72" s="252"/>
      <c r="ALI72" s="252"/>
      <c r="ALJ72" s="252"/>
      <c r="ALK72" s="252"/>
      <c r="ALL72" s="252"/>
      <c r="ALM72" s="252"/>
      <c r="ALN72" s="252"/>
      <c r="ALO72" s="252"/>
      <c r="ALP72" s="252"/>
      <c r="ALQ72" s="252"/>
      <c r="ALR72" s="252"/>
      <c r="ALS72" s="252"/>
    </row>
    <row r="73" spans="1:1007" s="3" customFormat="1" x14ac:dyDescent="0.2">
      <c r="A73" s="749" t="s">
        <v>528</v>
      </c>
      <c r="B73" s="392"/>
      <c r="C73" s="392"/>
      <c r="D73" s="392"/>
      <c r="E73" s="744">
        <v>840</v>
      </c>
      <c r="F73" s="730"/>
      <c r="G73" s="730"/>
      <c r="H73" s="730"/>
      <c r="I73" s="730"/>
      <c r="J73" s="252"/>
      <c r="K73" s="252"/>
      <c r="L73" s="252"/>
      <c r="M73" s="252"/>
      <c r="N73" s="252"/>
      <c r="O73" s="252"/>
      <c r="P73" s="252"/>
      <c r="Q73" s="252"/>
      <c r="R73" s="252"/>
      <c r="S73" s="252"/>
      <c r="T73" s="252"/>
      <c r="U73" s="252"/>
      <c r="V73" s="252"/>
      <c r="W73" s="252"/>
      <c r="X73" s="252"/>
      <c r="Y73" s="252"/>
      <c r="Z73" s="252"/>
      <c r="AA73" s="252"/>
      <c r="AB73" s="252"/>
      <c r="AC73" s="252"/>
      <c r="AD73" s="252"/>
      <c r="AE73" s="252"/>
      <c r="AF73" s="252"/>
      <c r="AG73" s="252"/>
      <c r="AH73" s="252"/>
      <c r="AI73" s="252"/>
      <c r="AJ73" s="252"/>
      <c r="AK73" s="252"/>
      <c r="AL73" s="252"/>
      <c r="AM73" s="252"/>
      <c r="AN73" s="252"/>
      <c r="AO73" s="252"/>
      <c r="AP73" s="252"/>
      <c r="AQ73" s="252"/>
      <c r="AR73" s="252"/>
      <c r="AS73" s="252"/>
      <c r="AT73" s="252"/>
      <c r="AU73" s="252"/>
      <c r="AV73" s="252"/>
      <c r="AW73" s="252"/>
      <c r="AX73" s="252"/>
      <c r="AY73" s="252"/>
      <c r="AZ73" s="252"/>
      <c r="BA73" s="252"/>
      <c r="BB73" s="252"/>
      <c r="BC73" s="252"/>
      <c r="BD73" s="252"/>
      <c r="BE73" s="252"/>
      <c r="BF73" s="252"/>
      <c r="BG73" s="252"/>
      <c r="BH73" s="252"/>
      <c r="BI73" s="252"/>
      <c r="BJ73" s="252"/>
      <c r="BK73" s="252"/>
      <c r="BL73" s="252"/>
      <c r="BM73" s="252"/>
      <c r="BN73" s="252"/>
      <c r="BO73" s="252"/>
      <c r="BP73" s="252"/>
      <c r="BQ73" s="252"/>
      <c r="BR73" s="252"/>
      <c r="BS73" s="252"/>
      <c r="BT73" s="252"/>
      <c r="BU73" s="252"/>
      <c r="BV73" s="252"/>
      <c r="BW73" s="252"/>
      <c r="BX73" s="252"/>
      <c r="BY73" s="252"/>
      <c r="BZ73" s="252"/>
      <c r="CA73" s="252"/>
      <c r="CB73" s="252"/>
      <c r="CC73" s="252"/>
      <c r="CD73" s="252"/>
      <c r="CE73" s="252"/>
      <c r="CF73" s="252"/>
      <c r="CG73" s="252"/>
      <c r="CH73" s="252"/>
      <c r="CI73" s="252"/>
      <c r="CJ73" s="252"/>
      <c r="CK73" s="252"/>
      <c r="CL73" s="252"/>
      <c r="CM73" s="252"/>
      <c r="CN73" s="252"/>
      <c r="CO73" s="252"/>
      <c r="CP73" s="252"/>
      <c r="CQ73" s="252"/>
      <c r="CR73" s="252"/>
      <c r="CS73" s="252"/>
      <c r="CT73" s="252"/>
      <c r="CU73" s="252"/>
      <c r="CV73" s="252"/>
      <c r="CW73" s="252"/>
      <c r="CX73" s="252"/>
      <c r="CY73" s="252"/>
      <c r="CZ73" s="252"/>
      <c r="DA73" s="252"/>
      <c r="DB73" s="252"/>
      <c r="DC73" s="252"/>
      <c r="DD73" s="252"/>
      <c r="DE73" s="252"/>
      <c r="DF73" s="252"/>
      <c r="DG73" s="252"/>
      <c r="DH73" s="252"/>
      <c r="DI73" s="252"/>
      <c r="DJ73" s="252"/>
      <c r="DK73" s="252"/>
      <c r="DL73" s="252"/>
      <c r="DM73" s="252"/>
      <c r="DN73" s="252"/>
      <c r="DO73" s="252"/>
      <c r="DP73" s="252"/>
      <c r="DQ73" s="252"/>
      <c r="DR73" s="252"/>
      <c r="DS73" s="252"/>
      <c r="DT73" s="252"/>
      <c r="DU73" s="252"/>
      <c r="DV73" s="252"/>
      <c r="DW73" s="252"/>
      <c r="DX73" s="252"/>
      <c r="DY73" s="252"/>
      <c r="DZ73" s="252"/>
      <c r="EA73" s="252"/>
      <c r="EB73" s="252"/>
      <c r="EC73" s="252"/>
      <c r="ED73" s="252"/>
      <c r="EE73" s="252"/>
      <c r="EF73" s="252"/>
      <c r="EG73" s="252"/>
      <c r="EH73" s="252"/>
      <c r="EI73" s="252"/>
      <c r="EJ73" s="252"/>
      <c r="EK73" s="252"/>
      <c r="EL73" s="252"/>
      <c r="EM73" s="252"/>
      <c r="EN73" s="252"/>
      <c r="EO73" s="252"/>
      <c r="EP73" s="252"/>
      <c r="EQ73" s="252"/>
      <c r="ER73" s="252"/>
      <c r="ES73" s="252"/>
      <c r="ET73" s="252"/>
      <c r="EU73" s="252"/>
      <c r="EV73" s="252"/>
      <c r="EW73" s="252"/>
      <c r="EX73" s="252"/>
      <c r="EY73" s="252"/>
      <c r="EZ73" s="252"/>
      <c r="FA73" s="252"/>
      <c r="FB73" s="252"/>
      <c r="FC73" s="252"/>
      <c r="FD73" s="252"/>
      <c r="FE73" s="252"/>
      <c r="FF73" s="252"/>
      <c r="FG73" s="252"/>
      <c r="FH73" s="252"/>
      <c r="FI73" s="252"/>
      <c r="FJ73" s="252"/>
      <c r="FK73" s="252"/>
      <c r="FL73" s="252"/>
      <c r="FM73" s="252"/>
      <c r="FN73" s="252"/>
      <c r="FO73" s="252"/>
      <c r="FP73" s="252"/>
      <c r="FQ73" s="252"/>
      <c r="FR73" s="252"/>
      <c r="FS73" s="252"/>
      <c r="FT73" s="252"/>
      <c r="FU73" s="252"/>
      <c r="FV73" s="252"/>
      <c r="FW73" s="252"/>
      <c r="FX73" s="252"/>
      <c r="FY73" s="252"/>
      <c r="FZ73" s="252"/>
      <c r="GA73" s="252"/>
      <c r="GB73" s="252"/>
      <c r="GC73" s="252"/>
      <c r="GD73" s="252"/>
      <c r="GE73" s="252"/>
      <c r="GF73" s="252"/>
      <c r="GG73" s="252"/>
      <c r="GH73" s="252"/>
      <c r="GI73" s="252"/>
      <c r="GJ73" s="252"/>
      <c r="GK73" s="252"/>
      <c r="GL73" s="252"/>
      <c r="GM73" s="252"/>
      <c r="GN73" s="252"/>
      <c r="GO73" s="252"/>
      <c r="GP73" s="252"/>
      <c r="GQ73" s="252"/>
      <c r="GR73" s="252"/>
      <c r="GS73" s="252"/>
      <c r="GT73" s="252"/>
      <c r="GU73" s="252"/>
      <c r="GV73" s="252"/>
      <c r="GW73" s="252"/>
      <c r="GX73" s="252"/>
      <c r="GY73" s="252"/>
      <c r="GZ73" s="252"/>
      <c r="HA73" s="252"/>
      <c r="HB73" s="252"/>
      <c r="HC73" s="252"/>
      <c r="HD73" s="252"/>
      <c r="HE73" s="252"/>
      <c r="HF73" s="252"/>
      <c r="HG73" s="252"/>
      <c r="HH73" s="252"/>
      <c r="HI73" s="252"/>
      <c r="HJ73" s="252"/>
      <c r="HK73" s="252"/>
      <c r="HL73" s="252"/>
      <c r="HM73" s="252"/>
      <c r="HN73" s="252"/>
      <c r="HO73" s="252"/>
      <c r="HP73" s="252"/>
      <c r="HQ73" s="252"/>
      <c r="HR73" s="252"/>
      <c r="HS73" s="252"/>
      <c r="HT73" s="252"/>
      <c r="HU73" s="252"/>
      <c r="HV73" s="252"/>
      <c r="HW73" s="252"/>
      <c r="HX73" s="252"/>
      <c r="HY73" s="252"/>
      <c r="HZ73" s="252"/>
      <c r="IA73" s="252"/>
      <c r="IB73" s="252"/>
      <c r="IC73" s="252"/>
      <c r="ID73" s="252"/>
      <c r="IE73" s="252"/>
      <c r="IF73" s="252"/>
      <c r="IG73" s="252"/>
      <c r="IH73" s="252"/>
      <c r="II73" s="252"/>
      <c r="IJ73" s="252"/>
      <c r="IK73" s="252"/>
      <c r="IL73" s="252"/>
      <c r="IM73" s="252"/>
      <c r="IN73" s="252"/>
      <c r="IO73" s="252"/>
      <c r="IP73" s="252"/>
      <c r="IQ73" s="252"/>
      <c r="IR73" s="252"/>
      <c r="IS73" s="252"/>
      <c r="IT73" s="252"/>
      <c r="IU73" s="252"/>
      <c r="IV73" s="252"/>
      <c r="IW73" s="252"/>
      <c r="IX73" s="252"/>
      <c r="IY73" s="252"/>
      <c r="IZ73" s="252"/>
      <c r="JA73" s="252"/>
      <c r="JB73" s="252"/>
      <c r="JC73" s="252"/>
      <c r="JD73" s="252"/>
      <c r="JE73" s="252"/>
      <c r="JF73" s="252"/>
      <c r="JG73" s="252"/>
      <c r="JH73" s="252"/>
      <c r="JI73" s="252"/>
      <c r="JJ73" s="252"/>
      <c r="JK73" s="252"/>
      <c r="JL73" s="252"/>
      <c r="JM73" s="252"/>
      <c r="JN73" s="252"/>
      <c r="JO73" s="252"/>
      <c r="JP73" s="252"/>
      <c r="JQ73" s="252"/>
      <c r="JR73" s="252"/>
      <c r="JS73" s="252"/>
      <c r="JT73" s="252"/>
      <c r="JU73" s="252"/>
      <c r="JV73" s="252"/>
      <c r="JW73" s="252"/>
      <c r="JX73" s="252"/>
      <c r="JY73" s="252"/>
      <c r="JZ73" s="252"/>
      <c r="KA73" s="252"/>
      <c r="KB73" s="252"/>
      <c r="KC73" s="252"/>
      <c r="KD73" s="252"/>
      <c r="KE73" s="252"/>
      <c r="KF73" s="252"/>
      <c r="KG73" s="252"/>
      <c r="KH73" s="252"/>
      <c r="KI73" s="252"/>
      <c r="KJ73" s="252"/>
      <c r="KK73" s="252"/>
      <c r="KL73" s="252"/>
      <c r="KM73" s="252"/>
      <c r="KN73" s="252"/>
      <c r="KO73" s="252"/>
      <c r="KP73" s="252"/>
      <c r="KQ73" s="252"/>
      <c r="KR73" s="252"/>
      <c r="KS73" s="252"/>
      <c r="KT73" s="252"/>
      <c r="KU73" s="252"/>
      <c r="KV73" s="252"/>
      <c r="KW73" s="252"/>
      <c r="KX73" s="252"/>
      <c r="KY73" s="252"/>
      <c r="KZ73" s="252"/>
      <c r="LA73" s="252"/>
      <c r="LB73" s="252"/>
      <c r="LC73" s="252"/>
      <c r="LD73" s="252"/>
      <c r="LE73" s="252"/>
      <c r="LF73" s="252"/>
      <c r="LG73" s="252"/>
      <c r="LH73" s="252"/>
      <c r="LI73" s="252"/>
      <c r="LJ73" s="252"/>
      <c r="LK73" s="252"/>
      <c r="LL73" s="252"/>
      <c r="LM73" s="252"/>
      <c r="LN73" s="252"/>
      <c r="LO73" s="252"/>
      <c r="LP73" s="252"/>
      <c r="LQ73" s="252"/>
      <c r="LR73" s="252"/>
      <c r="LS73" s="252"/>
      <c r="LT73" s="252"/>
      <c r="LU73" s="252"/>
      <c r="LV73" s="252"/>
      <c r="LW73" s="252"/>
      <c r="LX73" s="252"/>
      <c r="LY73" s="252"/>
      <c r="LZ73" s="252"/>
      <c r="MA73" s="252"/>
      <c r="MB73" s="252"/>
      <c r="MC73" s="252"/>
      <c r="MD73" s="252"/>
      <c r="ME73" s="252"/>
      <c r="MF73" s="252"/>
      <c r="MG73" s="252"/>
      <c r="MH73" s="252"/>
      <c r="MI73" s="252"/>
      <c r="MJ73" s="252"/>
      <c r="MK73" s="252"/>
      <c r="ML73" s="252"/>
      <c r="MM73" s="252"/>
      <c r="MN73" s="252"/>
      <c r="MO73" s="252"/>
      <c r="MP73" s="252"/>
      <c r="MQ73" s="252"/>
      <c r="MR73" s="252"/>
      <c r="MS73" s="252"/>
      <c r="MT73" s="252"/>
      <c r="MU73" s="252"/>
      <c r="MV73" s="252"/>
      <c r="MW73" s="252"/>
      <c r="MX73" s="252"/>
      <c r="MY73" s="252"/>
      <c r="MZ73" s="252"/>
      <c r="NA73" s="252"/>
      <c r="NB73" s="252"/>
      <c r="NC73" s="252"/>
      <c r="ND73" s="252"/>
      <c r="NE73" s="252"/>
      <c r="NF73" s="252"/>
      <c r="NG73" s="252"/>
      <c r="NH73" s="252"/>
      <c r="NI73" s="252"/>
      <c r="NJ73" s="252"/>
      <c r="NK73" s="252"/>
      <c r="NL73" s="252"/>
      <c r="NM73" s="252"/>
      <c r="NN73" s="252"/>
      <c r="NO73" s="252"/>
      <c r="NP73" s="252"/>
      <c r="NQ73" s="252"/>
      <c r="NR73" s="252"/>
      <c r="NS73" s="252"/>
      <c r="NT73" s="252"/>
      <c r="NU73" s="252"/>
      <c r="NV73" s="252"/>
      <c r="NW73" s="252"/>
      <c r="NX73" s="252"/>
      <c r="NY73" s="252"/>
      <c r="NZ73" s="252"/>
      <c r="OA73" s="252"/>
      <c r="OB73" s="252"/>
      <c r="OC73" s="252"/>
      <c r="OD73" s="252"/>
      <c r="OE73" s="252"/>
      <c r="OF73" s="252"/>
      <c r="OG73" s="252"/>
      <c r="OH73" s="252"/>
      <c r="OI73" s="252"/>
      <c r="OJ73" s="252"/>
      <c r="OK73" s="252"/>
      <c r="OL73" s="252"/>
      <c r="OM73" s="252"/>
      <c r="ON73" s="252"/>
      <c r="OO73" s="252"/>
      <c r="OP73" s="252"/>
      <c r="OQ73" s="252"/>
      <c r="OR73" s="252"/>
      <c r="OS73" s="252"/>
      <c r="OT73" s="252"/>
      <c r="OU73" s="252"/>
      <c r="OV73" s="252"/>
      <c r="OW73" s="252"/>
      <c r="OX73" s="252"/>
      <c r="OY73" s="252"/>
      <c r="OZ73" s="252"/>
      <c r="PA73" s="252"/>
      <c r="PB73" s="252"/>
      <c r="PC73" s="252"/>
      <c r="PD73" s="252"/>
      <c r="PE73" s="252"/>
      <c r="PF73" s="252"/>
      <c r="PG73" s="252"/>
      <c r="PH73" s="252"/>
      <c r="PI73" s="252"/>
      <c r="PJ73" s="252"/>
      <c r="PK73" s="252"/>
      <c r="PL73" s="252"/>
      <c r="PM73" s="252"/>
      <c r="PN73" s="252"/>
      <c r="PO73" s="252"/>
      <c r="PP73" s="252"/>
      <c r="PQ73" s="252"/>
      <c r="PR73" s="252"/>
      <c r="PS73" s="252"/>
      <c r="PT73" s="252"/>
      <c r="PU73" s="252"/>
      <c r="PV73" s="252"/>
      <c r="PW73" s="252"/>
      <c r="PX73" s="252"/>
      <c r="PY73" s="252"/>
      <c r="PZ73" s="252"/>
      <c r="QA73" s="252"/>
      <c r="QB73" s="252"/>
      <c r="QC73" s="252"/>
      <c r="QD73" s="252"/>
      <c r="QE73" s="252"/>
      <c r="QF73" s="252"/>
      <c r="QG73" s="252"/>
      <c r="QH73" s="252"/>
      <c r="QI73" s="252"/>
      <c r="QJ73" s="252"/>
      <c r="QK73" s="252"/>
      <c r="QL73" s="252"/>
      <c r="QM73" s="252"/>
      <c r="QN73" s="252"/>
      <c r="QO73" s="252"/>
      <c r="QP73" s="252"/>
      <c r="QQ73" s="252"/>
      <c r="QR73" s="252"/>
      <c r="QS73" s="252"/>
      <c r="QT73" s="252"/>
      <c r="QU73" s="252"/>
      <c r="QV73" s="252"/>
      <c r="QW73" s="252"/>
      <c r="QX73" s="252"/>
      <c r="QY73" s="252"/>
      <c r="QZ73" s="252"/>
      <c r="RA73" s="252"/>
      <c r="RB73" s="252"/>
      <c r="RC73" s="252"/>
      <c r="RD73" s="252"/>
      <c r="RE73" s="252"/>
      <c r="RF73" s="252"/>
      <c r="RG73" s="252"/>
      <c r="RH73" s="252"/>
      <c r="RI73" s="252"/>
      <c r="RJ73" s="252"/>
      <c r="RK73" s="252"/>
      <c r="RL73" s="252"/>
      <c r="RM73" s="252"/>
      <c r="RN73" s="252"/>
      <c r="RO73" s="252"/>
      <c r="RP73" s="252"/>
      <c r="RQ73" s="252"/>
      <c r="RR73" s="252"/>
      <c r="RS73" s="252"/>
      <c r="RT73" s="252"/>
      <c r="RU73" s="252"/>
      <c r="RV73" s="252"/>
      <c r="RW73" s="252"/>
      <c r="RX73" s="252"/>
      <c r="RY73" s="252"/>
      <c r="RZ73" s="252"/>
      <c r="SA73" s="252"/>
      <c r="SB73" s="252"/>
      <c r="SC73" s="252"/>
      <c r="SD73" s="252"/>
      <c r="SE73" s="252"/>
      <c r="SF73" s="252"/>
      <c r="SG73" s="252"/>
      <c r="SH73" s="252"/>
      <c r="SI73" s="252"/>
      <c r="SJ73" s="252"/>
      <c r="SK73" s="252"/>
      <c r="SL73" s="252"/>
      <c r="SM73" s="252"/>
      <c r="SN73" s="252"/>
      <c r="SO73" s="252"/>
      <c r="SP73" s="252"/>
      <c r="SQ73" s="252"/>
      <c r="SR73" s="252"/>
      <c r="SS73" s="252"/>
      <c r="ST73" s="252"/>
      <c r="SU73" s="252"/>
      <c r="SV73" s="252"/>
      <c r="SW73" s="252"/>
      <c r="SX73" s="252"/>
      <c r="SY73" s="252"/>
      <c r="SZ73" s="252"/>
      <c r="TA73" s="252"/>
      <c r="TB73" s="252"/>
      <c r="TC73" s="252"/>
      <c r="TD73" s="252"/>
      <c r="TE73" s="252"/>
      <c r="TF73" s="252"/>
      <c r="TG73" s="252"/>
      <c r="TH73" s="252"/>
      <c r="TI73" s="252"/>
      <c r="TJ73" s="252"/>
      <c r="TK73" s="252"/>
      <c r="TL73" s="252"/>
      <c r="TM73" s="252"/>
      <c r="TN73" s="252"/>
      <c r="TO73" s="252"/>
      <c r="TP73" s="252"/>
      <c r="TQ73" s="252"/>
      <c r="TR73" s="252"/>
      <c r="TS73" s="252"/>
      <c r="TT73" s="252"/>
      <c r="TU73" s="252"/>
      <c r="TV73" s="252"/>
      <c r="TW73" s="252"/>
      <c r="TX73" s="252"/>
      <c r="TY73" s="252"/>
      <c r="TZ73" s="252"/>
      <c r="UA73" s="252"/>
      <c r="UB73" s="252"/>
      <c r="UC73" s="252"/>
      <c r="UD73" s="252"/>
      <c r="UE73" s="252"/>
      <c r="UF73" s="252"/>
      <c r="UG73" s="252"/>
      <c r="UH73" s="252"/>
      <c r="UI73" s="252"/>
      <c r="UJ73" s="252"/>
      <c r="UK73" s="252"/>
      <c r="UL73" s="252"/>
      <c r="UM73" s="252"/>
      <c r="UN73" s="252"/>
      <c r="UO73" s="252"/>
      <c r="UP73" s="252"/>
      <c r="UQ73" s="252"/>
      <c r="UR73" s="252"/>
      <c r="US73" s="252"/>
      <c r="UT73" s="252"/>
      <c r="UU73" s="252"/>
      <c r="UV73" s="252"/>
      <c r="UW73" s="252"/>
      <c r="UX73" s="252"/>
      <c r="UY73" s="252"/>
      <c r="UZ73" s="252"/>
      <c r="VA73" s="252"/>
      <c r="VB73" s="252"/>
      <c r="VC73" s="252"/>
      <c r="VD73" s="252"/>
      <c r="VE73" s="252"/>
      <c r="VF73" s="252"/>
      <c r="VG73" s="252"/>
      <c r="VH73" s="252"/>
      <c r="VI73" s="252"/>
      <c r="VJ73" s="252"/>
      <c r="VK73" s="252"/>
      <c r="VL73" s="252"/>
      <c r="VM73" s="252"/>
      <c r="VN73" s="252"/>
      <c r="VO73" s="252"/>
      <c r="VP73" s="252"/>
      <c r="VQ73" s="252"/>
      <c r="VR73" s="252"/>
      <c r="VS73" s="252"/>
      <c r="VT73" s="252"/>
      <c r="VU73" s="252"/>
      <c r="VV73" s="252"/>
      <c r="VW73" s="252"/>
      <c r="VX73" s="252"/>
      <c r="VY73" s="252"/>
      <c r="VZ73" s="252"/>
      <c r="WA73" s="252"/>
      <c r="WB73" s="252"/>
      <c r="WC73" s="252"/>
      <c r="WD73" s="252"/>
      <c r="WE73" s="252"/>
      <c r="WF73" s="252"/>
      <c r="WG73" s="252"/>
      <c r="WH73" s="252"/>
      <c r="WI73" s="252"/>
      <c r="WJ73" s="252"/>
      <c r="WK73" s="252"/>
      <c r="WL73" s="252"/>
      <c r="WM73" s="252"/>
      <c r="WN73" s="252"/>
      <c r="WO73" s="252"/>
      <c r="WP73" s="252"/>
      <c r="WQ73" s="252"/>
      <c r="WR73" s="252"/>
      <c r="WS73" s="252"/>
      <c r="WT73" s="252"/>
      <c r="WU73" s="252"/>
      <c r="WV73" s="252"/>
      <c r="WW73" s="252"/>
      <c r="WX73" s="252"/>
      <c r="WY73" s="252"/>
      <c r="WZ73" s="252"/>
      <c r="XA73" s="252"/>
      <c r="XB73" s="252"/>
      <c r="XC73" s="252"/>
      <c r="XD73" s="252"/>
      <c r="XE73" s="252"/>
      <c r="XF73" s="252"/>
      <c r="XG73" s="252"/>
      <c r="XH73" s="252"/>
      <c r="XI73" s="252"/>
      <c r="XJ73" s="252"/>
      <c r="XK73" s="252"/>
      <c r="XL73" s="252"/>
      <c r="XM73" s="252"/>
      <c r="XN73" s="252"/>
      <c r="XO73" s="252"/>
      <c r="XP73" s="252"/>
      <c r="XQ73" s="252"/>
      <c r="XR73" s="252"/>
      <c r="XS73" s="252"/>
      <c r="XT73" s="252"/>
      <c r="XU73" s="252"/>
      <c r="XV73" s="252"/>
      <c r="XW73" s="252"/>
      <c r="XX73" s="252"/>
      <c r="XY73" s="252"/>
      <c r="XZ73" s="252"/>
      <c r="YA73" s="252"/>
      <c r="YB73" s="252"/>
      <c r="YC73" s="252"/>
      <c r="YD73" s="252"/>
      <c r="YE73" s="252"/>
      <c r="YF73" s="252"/>
      <c r="YG73" s="252"/>
      <c r="YH73" s="252"/>
      <c r="YI73" s="252"/>
      <c r="YJ73" s="252"/>
      <c r="YK73" s="252"/>
      <c r="YL73" s="252"/>
      <c r="YM73" s="252"/>
      <c r="YN73" s="252"/>
      <c r="YO73" s="252"/>
      <c r="YP73" s="252"/>
      <c r="YQ73" s="252"/>
      <c r="YR73" s="252"/>
      <c r="YS73" s="252"/>
      <c r="YT73" s="252"/>
      <c r="YU73" s="252"/>
      <c r="YV73" s="252"/>
      <c r="YW73" s="252"/>
      <c r="YX73" s="252"/>
      <c r="YY73" s="252"/>
      <c r="YZ73" s="252"/>
      <c r="ZA73" s="252"/>
      <c r="ZB73" s="252"/>
      <c r="ZC73" s="252"/>
      <c r="ZD73" s="252"/>
      <c r="ZE73" s="252"/>
      <c r="ZF73" s="252"/>
      <c r="ZG73" s="252"/>
      <c r="ZH73" s="252"/>
      <c r="ZI73" s="252"/>
      <c r="ZJ73" s="252"/>
      <c r="ZK73" s="252"/>
      <c r="ZL73" s="252"/>
      <c r="ZM73" s="252"/>
      <c r="ZN73" s="252"/>
      <c r="ZO73" s="252"/>
      <c r="ZP73" s="252"/>
      <c r="ZQ73" s="252"/>
      <c r="ZR73" s="252"/>
      <c r="ZS73" s="252"/>
      <c r="ZT73" s="252"/>
      <c r="ZU73" s="252"/>
      <c r="ZV73" s="252"/>
      <c r="ZW73" s="252"/>
      <c r="ZX73" s="252"/>
      <c r="ZY73" s="252"/>
      <c r="ZZ73" s="252"/>
      <c r="AAA73" s="252"/>
      <c r="AAB73" s="252"/>
      <c r="AAC73" s="252"/>
      <c r="AAD73" s="252"/>
      <c r="AAE73" s="252"/>
      <c r="AAF73" s="252"/>
      <c r="AAG73" s="252"/>
      <c r="AAH73" s="252"/>
      <c r="AAI73" s="252"/>
      <c r="AAJ73" s="252"/>
      <c r="AAK73" s="252"/>
      <c r="AAL73" s="252"/>
      <c r="AAM73" s="252"/>
      <c r="AAN73" s="252"/>
      <c r="AAO73" s="252"/>
      <c r="AAP73" s="252"/>
      <c r="AAQ73" s="252"/>
      <c r="AAR73" s="252"/>
      <c r="AAS73" s="252"/>
      <c r="AAT73" s="252"/>
      <c r="AAU73" s="252"/>
      <c r="AAV73" s="252"/>
      <c r="AAW73" s="252"/>
      <c r="AAX73" s="252"/>
      <c r="AAY73" s="252"/>
      <c r="AAZ73" s="252"/>
      <c r="ABA73" s="252"/>
      <c r="ABB73" s="252"/>
      <c r="ABC73" s="252"/>
      <c r="ABD73" s="252"/>
      <c r="ABE73" s="252"/>
      <c r="ABF73" s="252"/>
      <c r="ABG73" s="252"/>
      <c r="ABH73" s="252"/>
      <c r="ABI73" s="252"/>
      <c r="ABJ73" s="252"/>
      <c r="ABK73" s="252"/>
      <c r="ABL73" s="252"/>
      <c r="ABM73" s="252"/>
      <c r="ABN73" s="252"/>
      <c r="ABO73" s="252"/>
      <c r="ABP73" s="252"/>
      <c r="ABQ73" s="252"/>
      <c r="ABR73" s="252"/>
      <c r="ABS73" s="252"/>
      <c r="ABT73" s="252"/>
      <c r="ABU73" s="252"/>
      <c r="ABV73" s="252"/>
      <c r="ABW73" s="252"/>
      <c r="ABX73" s="252"/>
      <c r="ABY73" s="252"/>
      <c r="ABZ73" s="252"/>
      <c r="ACA73" s="252"/>
      <c r="ACB73" s="252"/>
      <c r="ACC73" s="252"/>
      <c r="ACD73" s="252"/>
      <c r="ACE73" s="252"/>
      <c r="ACF73" s="252"/>
      <c r="ACG73" s="252"/>
      <c r="ACH73" s="252"/>
      <c r="ACI73" s="252"/>
      <c r="ACJ73" s="252"/>
      <c r="ACK73" s="252"/>
      <c r="ACL73" s="252"/>
      <c r="ACM73" s="252"/>
      <c r="ACN73" s="252"/>
      <c r="ACO73" s="252"/>
      <c r="ACP73" s="252"/>
      <c r="ACQ73" s="252"/>
      <c r="ACR73" s="252"/>
      <c r="ACS73" s="252"/>
      <c r="ACT73" s="252"/>
      <c r="ACU73" s="252"/>
      <c r="ACV73" s="252"/>
      <c r="ACW73" s="252"/>
      <c r="ACX73" s="252"/>
      <c r="ACY73" s="252"/>
      <c r="ACZ73" s="252"/>
      <c r="ADA73" s="252"/>
      <c r="ADB73" s="252"/>
      <c r="ADC73" s="252"/>
      <c r="ADD73" s="252"/>
      <c r="ADE73" s="252"/>
      <c r="ADF73" s="252"/>
      <c r="ADG73" s="252"/>
      <c r="ADH73" s="252"/>
      <c r="ADI73" s="252"/>
      <c r="ADJ73" s="252"/>
      <c r="ADK73" s="252"/>
      <c r="ADL73" s="252"/>
      <c r="ADM73" s="252"/>
      <c r="ADN73" s="252"/>
      <c r="ADO73" s="252"/>
      <c r="ADP73" s="252"/>
      <c r="ADQ73" s="252"/>
      <c r="ADR73" s="252"/>
      <c r="ADS73" s="252"/>
      <c r="ADT73" s="252"/>
      <c r="ADU73" s="252"/>
      <c r="ADV73" s="252"/>
      <c r="ADW73" s="252"/>
      <c r="ADX73" s="252"/>
      <c r="ADY73" s="252"/>
      <c r="ADZ73" s="252"/>
      <c r="AEA73" s="252"/>
      <c r="AEB73" s="252"/>
      <c r="AEC73" s="252"/>
      <c r="AED73" s="252"/>
      <c r="AEE73" s="252"/>
      <c r="AEF73" s="252"/>
      <c r="AEG73" s="252"/>
      <c r="AEH73" s="252"/>
      <c r="AEI73" s="252"/>
      <c r="AEJ73" s="252"/>
      <c r="AEK73" s="252"/>
      <c r="AEL73" s="252"/>
      <c r="AEM73" s="252"/>
      <c r="AEN73" s="252"/>
      <c r="AEO73" s="252"/>
      <c r="AEP73" s="252"/>
      <c r="AEQ73" s="252"/>
      <c r="AER73" s="252"/>
      <c r="AES73" s="252"/>
      <c r="AET73" s="252"/>
      <c r="AEU73" s="252"/>
      <c r="AEV73" s="252"/>
      <c r="AEW73" s="252"/>
      <c r="AEX73" s="252"/>
      <c r="AEY73" s="252"/>
      <c r="AEZ73" s="252"/>
      <c r="AFA73" s="252"/>
      <c r="AFB73" s="252"/>
      <c r="AFC73" s="252"/>
      <c r="AFD73" s="252"/>
      <c r="AFE73" s="252"/>
      <c r="AFF73" s="252"/>
      <c r="AFG73" s="252"/>
      <c r="AFH73" s="252"/>
      <c r="AFI73" s="252"/>
      <c r="AFJ73" s="252"/>
      <c r="AFK73" s="252"/>
      <c r="AFL73" s="252"/>
      <c r="AFM73" s="252"/>
      <c r="AFN73" s="252"/>
      <c r="AFO73" s="252"/>
      <c r="AFP73" s="252"/>
      <c r="AFQ73" s="252"/>
      <c r="AFR73" s="252"/>
      <c r="AFS73" s="252"/>
      <c r="AFT73" s="252"/>
      <c r="AFU73" s="252"/>
      <c r="AFV73" s="252"/>
      <c r="AFW73" s="252"/>
      <c r="AFX73" s="252"/>
      <c r="AFY73" s="252"/>
      <c r="AFZ73" s="252"/>
      <c r="AGA73" s="252"/>
      <c r="AGB73" s="252"/>
      <c r="AGC73" s="252"/>
      <c r="AGD73" s="252"/>
      <c r="AGE73" s="252"/>
      <c r="AGF73" s="252"/>
      <c r="AGG73" s="252"/>
      <c r="AGH73" s="252"/>
      <c r="AGI73" s="252"/>
      <c r="AGJ73" s="252"/>
      <c r="AGK73" s="252"/>
      <c r="AGL73" s="252"/>
      <c r="AGM73" s="252"/>
      <c r="AGN73" s="252"/>
      <c r="AGO73" s="252"/>
      <c r="AGP73" s="252"/>
      <c r="AGQ73" s="252"/>
      <c r="AGR73" s="252"/>
      <c r="AGS73" s="252"/>
      <c r="AGT73" s="252"/>
      <c r="AGU73" s="252"/>
      <c r="AGV73" s="252"/>
      <c r="AGW73" s="252"/>
      <c r="AGX73" s="252"/>
      <c r="AGY73" s="252"/>
      <c r="AGZ73" s="252"/>
      <c r="AHA73" s="252"/>
      <c r="AHB73" s="252"/>
      <c r="AHC73" s="252"/>
      <c r="AHD73" s="252"/>
      <c r="AHE73" s="252"/>
      <c r="AHF73" s="252"/>
      <c r="AHG73" s="252"/>
      <c r="AHH73" s="252"/>
      <c r="AHI73" s="252"/>
      <c r="AHJ73" s="252"/>
      <c r="AHK73" s="252"/>
      <c r="AHL73" s="252"/>
      <c r="AHM73" s="252"/>
      <c r="AHN73" s="252"/>
      <c r="AHO73" s="252"/>
      <c r="AHP73" s="252"/>
      <c r="AHQ73" s="252"/>
      <c r="AHR73" s="252"/>
      <c r="AHS73" s="252"/>
      <c r="AHT73" s="252"/>
      <c r="AHU73" s="252"/>
      <c r="AHV73" s="252"/>
      <c r="AHW73" s="252"/>
      <c r="AHX73" s="252"/>
      <c r="AHY73" s="252"/>
      <c r="AHZ73" s="252"/>
      <c r="AIA73" s="252"/>
      <c r="AIB73" s="252"/>
      <c r="AIC73" s="252"/>
      <c r="AID73" s="252"/>
      <c r="AIE73" s="252"/>
      <c r="AIF73" s="252"/>
      <c r="AIG73" s="252"/>
      <c r="AIH73" s="252"/>
      <c r="AII73" s="252"/>
      <c r="AIJ73" s="252"/>
      <c r="AIK73" s="252"/>
      <c r="AIL73" s="252"/>
      <c r="AIM73" s="252"/>
      <c r="AIN73" s="252"/>
      <c r="AIO73" s="252"/>
      <c r="AIP73" s="252"/>
      <c r="AIQ73" s="252"/>
      <c r="AIR73" s="252"/>
      <c r="AIS73" s="252"/>
      <c r="AIT73" s="252"/>
      <c r="AIU73" s="252"/>
      <c r="AIV73" s="252"/>
      <c r="AIW73" s="252"/>
      <c r="AIX73" s="252"/>
      <c r="AIY73" s="252"/>
      <c r="AIZ73" s="252"/>
      <c r="AJA73" s="252"/>
      <c r="AJB73" s="252"/>
      <c r="AJC73" s="252"/>
      <c r="AJD73" s="252"/>
      <c r="AJE73" s="252"/>
      <c r="AJF73" s="252"/>
      <c r="AJG73" s="252"/>
      <c r="AJH73" s="252"/>
      <c r="AJI73" s="252"/>
      <c r="AJJ73" s="252"/>
      <c r="AJK73" s="252"/>
      <c r="AJL73" s="252"/>
      <c r="AJM73" s="252"/>
      <c r="AJN73" s="252"/>
      <c r="AJO73" s="252"/>
      <c r="AJP73" s="252"/>
      <c r="AJQ73" s="252"/>
      <c r="AJR73" s="252"/>
      <c r="AJS73" s="252"/>
      <c r="AJT73" s="252"/>
      <c r="AJU73" s="252"/>
      <c r="AJV73" s="252"/>
      <c r="AJW73" s="252"/>
      <c r="AJX73" s="252"/>
      <c r="AJY73" s="252"/>
      <c r="AJZ73" s="252"/>
      <c r="AKA73" s="252"/>
      <c r="AKB73" s="252"/>
      <c r="AKC73" s="252"/>
      <c r="AKD73" s="252"/>
      <c r="AKE73" s="252"/>
      <c r="AKF73" s="252"/>
      <c r="AKG73" s="252"/>
      <c r="AKH73" s="252"/>
      <c r="AKI73" s="252"/>
      <c r="AKJ73" s="252"/>
      <c r="AKK73" s="252"/>
      <c r="AKL73" s="252"/>
      <c r="AKM73" s="252"/>
      <c r="AKN73" s="252"/>
      <c r="AKO73" s="252"/>
      <c r="AKP73" s="252"/>
      <c r="AKQ73" s="252"/>
      <c r="AKR73" s="252"/>
      <c r="AKS73" s="252"/>
      <c r="AKT73" s="252"/>
      <c r="AKU73" s="252"/>
      <c r="AKV73" s="252"/>
      <c r="AKW73" s="252"/>
      <c r="AKX73" s="252"/>
      <c r="AKY73" s="252"/>
      <c r="AKZ73" s="252"/>
      <c r="ALA73" s="252"/>
      <c r="ALB73" s="252"/>
      <c r="ALC73" s="252"/>
      <c r="ALD73" s="252"/>
      <c r="ALE73" s="252"/>
      <c r="ALF73" s="252"/>
      <c r="ALG73" s="252"/>
      <c r="ALH73" s="252"/>
      <c r="ALI73" s="252"/>
      <c r="ALJ73" s="252"/>
      <c r="ALK73" s="252"/>
      <c r="ALL73" s="252"/>
      <c r="ALM73" s="252"/>
      <c r="ALN73" s="252"/>
      <c r="ALO73" s="252"/>
      <c r="ALP73" s="252"/>
      <c r="ALQ73" s="252"/>
      <c r="ALR73" s="252"/>
      <c r="ALS73" s="252"/>
    </row>
    <row r="74" spans="1:1007" s="3" customFormat="1" x14ac:dyDescent="0.2">
      <c r="A74" s="749" t="s">
        <v>531</v>
      </c>
      <c r="B74" s="392"/>
      <c r="C74" s="392"/>
      <c r="D74" s="392"/>
      <c r="E74" s="744">
        <v>840</v>
      </c>
      <c r="F74" s="730"/>
      <c r="G74" s="730"/>
      <c r="H74" s="730"/>
      <c r="I74" s="730"/>
      <c r="J74" s="252"/>
      <c r="K74" s="252"/>
      <c r="L74" s="252"/>
      <c r="M74" s="252"/>
      <c r="N74" s="252"/>
      <c r="O74" s="252"/>
      <c r="P74" s="252"/>
      <c r="Q74" s="252"/>
      <c r="R74" s="252"/>
      <c r="S74" s="252"/>
      <c r="T74" s="252"/>
      <c r="U74" s="252"/>
      <c r="V74" s="252"/>
      <c r="W74" s="252"/>
      <c r="X74" s="252"/>
      <c r="Y74" s="252"/>
      <c r="Z74" s="252"/>
      <c r="AA74" s="252"/>
      <c r="AB74" s="252"/>
      <c r="AC74" s="252"/>
      <c r="AD74" s="252"/>
      <c r="AE74" s="252"/>
      <c r="AF74" s="252"/>
      <c r="AG74" s="252"/>
      <c r="AH74" s="252"/>
      <c r="AI74" s="252"/>
      <c r="AJ74" s="252"/>
      <c r="AK74" s="252"/>
      <c r="AL74" s="252"/>
      <c r="AM74" s="252"/>
      <c r="AN74" s="252"/>
      <c r="AO74" s="252"/>
      <c r="AP74" s="252"/>
      <c r="AQ74" s="252"/>
      <c r="AR74" s="252"/>
      <c r="AS74" s="252"/>
      <c r="AT74" s="252"/>
      <c r="AU74" s="252"/>
      <c r="AV74" s="252"/>
      <c r="AW74" s="252"/>
      <c r="AX74" s="252"/>
      <c r="AY74" s="252"/>
      <c r="AZ74" s="252"/>
      <c r="BA74" s="252"/>
      <c r="BB74" s="252"/>
      <c r="BC74" s="252"/>
      <c r="BD74" s="252"/>
      <c r="BE74" s="252"/>
      <c r="BF74" s="252"/>
      <c r="BG74" s="252"/>
      <c r="BH74" s="252"/>
      <c r="BI74" s="252"/>
      <c r="BJ74" s="252"/>
      <c r="BK74" s="252"/>
      <c r="BL74" s="252"/>
      <c r="BM74" s="252"/>
      <c r="BN74" s="252"/>
      <c r="BO74" s="252"/>
      <c r="BP74" s="252"/>
      <c r="BQ74" s="252"/>
      <c r="BR74" s="252"/>
      <c r="BS74" s="252"/>
      <c r="BT74" s="252"/>
      <c r="BU74" s="252"/>
      <c r="BV74" s="252"/>
      <c r="BW74" s="252"/>
      <c r="BX74" s="252"/>
      <c r="BY74" s="252"/>
      <c r="BZ74" s="252"/>
      <c r="CA74" s="252"/>
      <c r="CB74" s="252"/>
      <c r="CC74" s="252"/>
      <c r="CD74" s="252"/>
      <c r="CE74" s="252"/>
      <c r="CF74" s="252"/>
      <c r="CG74" s="252"/>
      <c r="CH74" s="252"/>
      <c r="CI74" s="252"/>
      <c r="CJ74" s="252"/>
      <c r="CK74" s="252"/>
      <c r="CL74" s="252"/>
      <c r="CM74" s="252"/>
      <c r="CN74" s="252"/>
      <c r="CO74" s="252"/>
      <c r="CP74" s="252"/>
      <c r="CQ74" s="252"/>
      <c r="CR74" s="252"/>
      <c r="CS74" s="252"/>
      <c r="CT74" s="252"/>
      <c r="CU74" s="252"/>
      <c r="CV74" s="252"/>
      <c r="CW74" s="252"/>
      <c r="CX74" s="252"/>
      <c r="CY74" s="252"/>
      <c r="CZ74" s="252"/>
      <c r="DA74" s="252"/>
      <c r="DB74" s="252"/>
      <c r="DC74" s="252"/>
      <c r="DD74" s="252"/>
      <c r="DE74" s="252"/>
      <c r="DF74" s="252"/>
      <c r="DG74" s="252"/>
      <c r="DH74" s="252"/>
      <c r="DI74" s="252"/>
      <c r="DJ74" s="252"/>
      <c r="DK74" s="252"/>
      <c r="DL74" s="252"/>
      <c r="DM74" s="252"/>
      <c r="DN74" s="252"/>
      <c r="DO74" s="252"/>
      <c r="DP74" s="252"/>
      <c r="DQ74" s="252"/>
      <c r="DR74" s="252"/>
      <c r="DS74" s="252"/>
      <c r="DT74" s="252"/>
      <c r="DU74" s="252"/>
      <c r="DV74" s="252"/>
      <c r="DW74" s="252"/>
      <c r="DX74" s="252"/>
      <c r="DY74" s="252"/>
      <c r="DZ74" s="252"/>
      <c r="EA74" s="252"/>
      <c r="EB74" s="252"/>
      <c r="EC74" s="252"/>
      <c r="ED74" s="252"/>
      <c r="EE74" s="252"/>
      <c r="EF74" s="252"/>
      <c r="EG74" s="252"/>
      <c r="EH74" s="252"/>
      <c r="EI74" s="252"/>
      <c r="EJ74" s="252"/>
      <c r="EK74" s="252"/>
      <c r="EL74" s="252"/>
      <c r="EM74" s="252"/>
      <c r="EN74" s="252"/>
      <c r="EO74" s="252"/>
      <c r="EP74" s="252"/>
      <c r="EQ74" s="252"/>
      <c r="ER74" s="252"/>
      <c r="ES74" s="252"/>
      <c r="ET74" s="252"/>
      <c r="EU74" s="252"/>
      <c r="EV74" s="252"/>
      <c r="EW74" s="252"/>
      <c r="EX74" s="252"/>
      <c r="EY74" s="252"/>
      <c r="EZ74" s="252"/>
      <c r="FA74" s="252"/>
      <c r="FB74" s="252"/>
      <c r="FC74" s="252"/>
      <c r="FD74" s="252"/>
      <c r="FE74" s="252"/>
      <c r="FF74" s="252"/>
      <c r="FG74" s="252"/>
      <c r="FH74" s="252"/>
      <c r="FI74" s="252"/>
      <c r="FJ74" s="252"/>
      <c r="FK74" s="252"/>
      <c r="FL74" s="252"/>
      <c r="FM74" s="252"/>
      <c r="FN74" s="252"/>
      <c r="FO74" s="252"/>
      <c r="FP74" s="252"/>
      <c r="FQ74" s="252"/>
      <c r="FR74" s="252"/>
      <c r="FS74" s="252"/>
      <c r="FT74" s="252"/>
      <c r="FU74" s="252"/>
      <c r="FV74" s="252"/>
      <c r="FW74" s="252"/>
      <c r="FX74" s="252"/>
      <c r="FY74" s="252"/>
      <c r="FZ74" s="252"/>
      <c r="GA74" s="252"/>
      <c r="GB74" s="252"/>
      <c r="GC74" s="252"/>
      <c r="GD74" s="252"/>
      <c r="GE74" s="252"/>
      <c r="GF74" s="252"/>
      <c r="GG74" s="252"/>
      <c r="GH74" s="252"/>
      <c r="GI74" s="252"/>
      <c r="GJ74" s="252"/>
      <c r="GK74" s="252"/>
      <c r="GL74" s="252"/>
      <c r="GM74" s="252"/>
      <c r="GN74" s="252"/>
      <c r="GO74" s="252"/>
      <c r="GP74" s="252"/>
      <c r="GQ74" s="252"/>
      <c r="GR74" s="252"/>
      <c r="GS74" s="252"/>
      <c r="GT74" s="252"/>
      <c r="GU74" s="252"/>
      <c r="GV74" s="252"/>
      <c r="GW74" s="252"/>
      <c r="GX74" s="252"/>
      <c r="GY74" s="252"/>
      <c r="GZ74" s="252"/>
      <c r="HA74" s="252"/>
      <c r="HB74" s="252"/>
      <c r="HC74" s="252"/>
      <c r="HD74" s="252"/>
      <c r="HE74" s="252"/>
      <c r="HF74" s="252"/>
      <c r="HG74" s="252"/>
      <c r="HH74" s="252"/>
      <c r="HI74" s="252"/>
      <c r="HJ74" s="252"/>
      <c r="HK74" s="252"/>
      <c r="HL74" s="252"/>
      <c r="HM74" s="252"/>
      <c r="HN74" s="252"/>
      <c r="HO74" s="252"/>
      <c r="HP74" s="252"/>
      <c r="HQ74" s="252"/>
      <c r="HR74" s="252"/>
      <c r="HS74" s="252"/>
      <c r="HT74" s="252"/>
      <c r="HU74" s="252"/>
      <c r="HV74" s="252"/>
      <c r="HW74" s="252"/>
      <c r="HX74" s="252"/>
      <c r="HY74" s="252"/>
      <c r="HZ74" s="252"/>
      <c r="IA74" s="252"/>
      <c r="IB74" s="252"/>
      <c r="IC74" s="252"/>
      <c r="ID74" s="252"/>
      <c r="IE74" s="252"/>
      <c r="IF74" s="252"/>
      <c r="IG74" s="252"/>
      <c r="IH74" s="252"/>
      <c r="II74" s="252"/>
      <c r="IJ74" s="252"/>
      <c r="IK74" s="252"/>
      <c r="IL74" s="252"/>
      <c r="IM74" s="252"/>
      <c r="IN74" s="252"/>
      <c r="IO74" s="252"/>
      <c r="IP74" s="252"/>
      <c r="IQ74" s="252"/>
      <c r="IR74" s="252"/>
      <c r="IS74" s="252"/>
      <c r="IT74" s="252"/>
      <c r="IU74" s="252"/>
      <c r="IV74" s="252"/>
      <c r="IW74" s="252"/>
      <c r="IX74" s="252"/>
      <c r="IY74" s="252"/>
      <c r="IZ74" s="252"/>
      <c r="JA74" s="252"/>
      <c r="JB74" s="252"/>
      <c r="JC74" s="252"/>
      <c r="JD74" s="252"/>
      <c r="JE74" s="252"/>
      <c r="JF74" s="252"/>
      <c r="JG74" s="252"/>
      <c r="JH74" s="252"/>
      <c r="JI74" s="252"/>
      <c r="JJ74" s="252"/>
      <c r="JK74" s="252"/>
      <c r="JL74" s="252"/>
      <c r="JM74" s="252"/>
      <c r="JN74" s="252"/>
      <c r="JO74" s="252"/>
      <c r="JP74" s="252"/>
      <c r="JQ74" s="252"/>
      <c r="JR74" s="252"/>
      <c r="JS74" s="252"/>
      <c r="JT74" s="252"/>
      <c r="JU74" s="252"/>
      <c r="JV74" s="252"/>
      <c r="JW74" s="252"/>
      <c r="JX74" s="252"/>
      <c r="JY74" s="252"/>
      <c r="JZ74" s="252"/>
      <c r="KA74" s="252"/>
      <c r="KB74" s="252"/>
      <c r="KC74" s="252"/>
      <c r="KD74" s="252"/>
      <c r="KE74" s="252"/>
      <c r="KF74" s="252"/>
      <c r="KG74" s="252"/>
      <c r="KH74" s="252"/>
      <c r="KI74" s="252"/>
      <c r="KJ74" s="252"/>
      <c r="KK74" s="252"/>
      <c r="KL74" s="252"/>
      <c r="KM74" s="252"/>
      <c r="KN74" s="252"/>
      <c r="KO74" s="252"/>
      <c r="KP74" s="252"/>
      <c r="KQ74" s="252"/>
      <c r="KR74" s="252"/>
      <c r="KS74" s="252"/>
      <c r="KT74" s="252"/>
      <c r="KU74" s="252"/>
      <c r="KV74" s="252"/>
      <c r="KW74" s="252"/>
      <c r="KX74" s="252"/>
      <c r="KY74" s="252"/>
      <c r="KZ74" s="252"/>
      <c r="LA74" s="252"/>
      <c r="LB74" s="252"/>
      <c r="LC74" s="252"/>
      <c r="LD74" s="252"/>
      <c r="LE74" s="252"/>
      <c r="LF74" s="252"/>
      <c r="LG74" s="252"/>
      <c r="LH74" s="252"/>
      <c r="LI74" s="252"/>
      <c r="LJ74" s="252"/>
      <c r="LK74" s="252"/>
      <c r="LL74" s="252"/>
      <c r="LM74" s="252"/>
      <c r="LN74" s="252"/>
      <c r="LO74" s="252"/>
      <c r="LP74" s="252"/>
      <c r="LQ74" s="252"/>
      <c r="LR74" s="252"/>
      <c r="LS74" s="252"/>
      <c r="LT74" s="252"/>
      <c r="LU74" s="252"/>
      <c r="LV74" s="252"/>
      <c r="LW74" s="252"/>
      <c r="LX74" s="252"/>
      <c r="LY74" s="252"/>
      <c r="LZ74" s="252"/>
      <c r="MA74" s="252"/>
      <c r="MB74" s="252"/>
      <c r="MC74" s="252"/>
      <c r="MD74" s="252"/>
      <c r="ME74" s="252"/>
      <c r="MF74" s="252"/>
      <c r="MG74" s="252"/>
      <c r="MH74" s="252"/>
      <c r="MI74" s="252"/>
      <c r="MJ74" s="252"/>
      <c r="MK74" s="252"/>
      <c r="ML74" s="252"/>
      <c r="MM74" s="252"/>
      <c r="MN74" s="252"/>
      <c r="MO74" s="252"/>
      <c r="MP74" s="252"/>
      <c r="MQ74" s="252"/>
      <c r="MR74" s="252"/>
      <c r="MS74" s="252"/>
      <c r="MT74" s="252"/>
      <c r="MU74" s="252"/>
      <c r="MV74" s="252"/>
      <c r="MW74" s="252"/>
      <c r="MX74" s="252"/>
      <c r="MY74" s="252"/>
      <c r="MZ74" s="252"/>
      <c r="NA74" s="252"/>
      <c r="NB74" s="252"/>
      <c r="NC74" s="252"/>
      <c r="ND74" s="252"/>
      <c r="NE74" s="252"/>
      <c r="NF74" s="252"/>
      <c r="NG74" s="252"/>
      <c r="NH74" s="252"/>
      <c r="NI74" s="252"/>
      <c r="NJ74" s="252"/>
      <c r="NK74" s="252"/>
      <c r="NL74" s="252"/>
      <c r="NM74" s="252"/>
      <c r="NN74" s="252"/>
      <c r="NO74" s="252"/>
      <c r="NP74" s="252"/>
      <c r="NQ74" s="252"/>
      <c r="NR74" s="252"/>
      <c r="NS74" s="252"/>
      <c r="NT74" s="252"/>
      <c r="NU74" s="252"/>
      <c r="NV74" s="252"/>
      <c r="NW74" s="252"/>
      <c r="NX74" s="252"/>
      <c r="NY74" s="252"/>
      <c r="NZ74" s="252"/>
      <c r="OA74" s="252"/>
      <c r="OB74" s="252"/>
      <c r="OC74" s="252"/>
      <c r="OD74" s="252"/>
      <c r="OE74" s="252"/>
      <c r="OF74" s="252"/>
      <c r="OG74" s="252"/>
      <c r="OH74" s="252"/>
      <c r="OI74" s="252"/>
      <c r="OJ74" s="252"/>
      <c r="OK74" s="252"/>
      <c r="OL74" s="252"/>
      <c r="OM74" s="252"/>
      <c r="ON74" s="252"/>
      <c r="OO74" s="252"/>
      <c r="OP74" s="252"/>
      <c r="OQ74" s="252"/>
      <c r="OR74" s="252"/>
      <c r="OS74" s="252"/>
      <c r="OT74" s="252"/>
      <c r="OU74" s="252"/>
      <c r="OV74" s="252"/>
      <c r="OW74" s="252"/>
      <c r="OX74" s="252"/>
      <c r="OY74" s="252"/>
      <c r="OZ74" s="252"/>
      <c r="PA74" s="252"/>
      <c r="PB74" s="252"/>
      <c r="PC74" s="252"/>
      <c r="PD74" s="252"/>
      <c r="PE74" s="252"/>
      <c r="PF74" s="252"/>
      <c r="PG74" s="252"/>
      <c r="PH74" s="252"/>
      <c r="PI74" s="252"/>
      <c r="PJ74" s="252"/>
      <c r="PK74" s="252"/>
      <c r="PL74" s="252"/>
      <c r="PM74" s="252"/>
      <c r="PN74" s="252"/>
      <c r="PO74" s="252"/>
      <c r="PP74" s="252"/>
      <c r="PQ74" s="252"/>
      <c r="PR74" s="252"/>
      <c r="PS74" s="252"/>
      <c r="PT74" s="252"/>
      <c r="PU74" s="252"/>
      <c r="PV74" s="252"/>
      <c r="PW74" s="252"/>
      <c r="PX74" s="252"/>
      <c r="PY74" s="252"/>
      <c r="PZ74" s="252"/>
      <c r="QA74" s="252"/>
      <c r="QB74" s="252"/>
      <c r="QC74" s="252"/>
      <c r="QD74" s="252"/>
      <c r="QE74" s="252"/>
      <c r="QF74" s="252"/>
      <c r="QG74" s="252"/>
      <c r="QH74" s="252"/>
      <c r="QI74" s="252"/>
      <c r="QJ74" s="252"/>
      <c r="QK74" s="252"/>
      <c r="QL74" s="252"/>
      <c r="QM74" s="252"/>
      <c r="QN74" s="252"/>
      <c r="QO74" s="252"/>
      <c r="QP74" s="252"/>
      <c r="QQ74" s="252"/>
      <c r="QR74" s="252"/>
      <c r="QS74" s="252"/>
      <c r="QT74" s="252"/>
      <c r="QU74" s="252"/>
      <c r="QV74" s="252"/>
      <c r="QW74" s="252"/>
      <c r="QX74" s="252"/>
      <c r="QY74" s="252"/>
      <c r="QZ74" s="252"/>
      <c r="RA74" s="252"/>
      <c r="RB74" s="252"/>
      <c r="RC74" s="252"/>
      <c r="RD74" s="252"/>
      <c r="RE74" s="252"/>
      <c r="RF74" s="252"/>
      <c r="RG74" s="252"/>
      <c r="RH74" s="252"/>
      <c r="RI74" s="252"/>
      <c r="RJ74" s="252"/>
      <c r="RK74" s="252"/>
      <c r="RL74" s="252"/>
      <c r="RM74" s="252"/>
      <c r="RN74" s="252"/>
      <c r="RO74" s="252"/>
      <c r="RP74" s="252"/>
      <c r="RQ74" s="252"/>
      <c r="RR74" s="252"/>
      <c r="RS74" s="252"/>
      <c r="RT74" s="252"/>
      <c r="RU74" s="252"/>
      <c r="RV74" s="252"/>
      <c r="RW74" s="252"/>
      <c r="RX74" s="252"/>
      <c r="RY74" s="252"/>
      <c r="RZ74" s="252"/>
      <c r="SA74" s="252"/>
      <c r="SB74" s="252"/>
      <c r="SC74" s="252"/>
      <c r="SD74" s="252"/>
      <c r="SE74" s="252"/>
      <c r="SF74" s="252"/>
      <c r="SG74" s="252"/>
      <c r="SH74" s="252"/>
      <c r="SI74" s="252"/>
      <c r="SJ74" s="252"/>
      <c r="SK74" s="252"/>
      <c r="SL74" s="252"/>
      <c r="SM74" s="252"/>
      <c r="SN74" s="252"/>
      <c r="SO74" s="252"/>
      <c r="SP74" s="252"/>
      <c r="SQ74" s="252"/>
      <c r="SR74" s="252"/>
      <c r="SS74" s="252"/>
      <c r="ST74" s="252"/>
      <c r="SU74" s="252"/>
      <c r="SV74" s="252"/>
      <c r="SW74" s="252"/>
      <c r="SX74" s="252"/>
      <c r="SY74" s="252"/>
      <c r="SZ74" s="252"/>
      <c r="TA74" s="252"/>
      <c r="TB74" s="252"/>
      <c r="TC74" s="252"/>
      <c r="TD74" s="252"/>
      <c r="TE74" s="252"/>
      <c r="TF74" s="252"/>
      <c r="TG74" s="252"/>
      <c r="TH74" s="252"/>
      <c r="TI74" s="252"/>
      <c r="TJ74" s="252"/>
      <c r="TK74" s="252"/>
      <c r="TL74" s="252"/>
      <c r="TM74" s="252"/>
      <c r="TN74" s="252"/>
      <c r="TO74" s="252"/>
      <c r="TP74" s="252"/>
      <c r="TQ74" s="252"/>
      <c r="TR74" s="252"/>
      <c r="TS74" s="252"/>
      <c r="TT74" s="252"/>
      <c r="TU74" s="252"/>
      <c r="TV74" s="252"/>
      <c r="TW74" s="252"/>
      <c r="TX74" s="252"/>
      <c r="TY74" s="252"/>
      <c r="TZ74" s="252"/>
      <c r="UA74" s="252"/>
      <c r="UB74" s="252"/>
      <c r="UC74" s="252"/>
      <c r="UD74" s="252"/>
      <c r="UE74" s="252"/>
      <c r="UF74" s="252"/>
      <c r="UG74" s="252"/>
      <c r="UH74" s="252"/>
      <c r="UI74" s="252"/>
      <c r="UJ74" s="252"/>
      <c r="UK74" s="252"/>
      <c r="UL74" s="252"/>
      <c r="UM74" s="252"/>
      <c r="UN74" s="252"/>
      <c r="UO74" s="252"/>
      <c r="UP74" s="252"/>
      <c r="UQ74" s="252"/>
      <c r="UR74" s="252"/>
      <c r="US74" s="252"/>
      <c r="UT74" s="252"/>
      <c r="UU74" s="252"/>
      <c r="UV74" s="252"/>
      <c r="UW74" s="252"/>
      <c r="UX74" s="252"/>
      <c r="UY74" s="252"/>
      <c r="UZ74" s="252"/>
      <c r="VA74" s="252"/>
      <c r="VB74" s="252"/>
      <c r="VC74" s="252"/>
      <c r="VD74" s="252"/>
      <c r="VE74" s="252"/>
      <c r="VF74" s="252"/>
      <c r="VG74" s="252"/>
      <c r="VH74" s="252"/>
      <c r="VI74" s="252"/>
      <c r="VJ74" s="252"/>
      <c r="VK74" s="252"/>
      <c r="VL74" s="252"/>
      <c r="VM74" s="252"/>
      <c r="VN74" s="252"/>
      <c r="VO74" s="252"/>
      <c r="VP74" s="252"/>
      <c r="VQ74" s="252"/>
      <c r="VR74" s="252"/>
      <c r="VS74" s="252"/>
      <c r="VT74" s="252"/>
      <c r="VU74" s="252"/>
      <c r="VV74" s="252"/>
      <c r="VW74" s="252"/>
      <c r="VX74" s="252"/>
      <c r="VY74" s="252"/>
      <c r="VZ74" s="252"/>
      <c r="WA74" s="252"/>
      <c r="WB74" s="252"/>
      <c r="WC74" s="252"/>
      <c r="WD74" s="252"/>
      <c r="WE74" s="252"/>
      <c r="WF74" s="252"/>
      <c r="WG74" s="252"/>
      <c r="WH74" s="252"/>
      <c r="WI74" s="252"/>
      <c r="WJ74" s="252"/>
      <c r="WK74" s="252"/>
      <c r="WL74" s="252"/>
      <c r="WM74" s="252"/>
      <c r="WN74" s="252"/>
      <c r="WO74" s="252"/>
      <c r="WP74" s="252"/>
      <c r="WQ74" s="252"/>
      <c r="WR74" s="252"/>
      <c r="WS74" s="252"/>
      <c r="WT74" s="252"/>
      <c r="WU74" s="252"/>
      <c r="WV74" s="252"/>
      <c r="WW74" s="252"/>
      <c r="WX74" s="252"/>
      <c r="WY74" s="252"/>
      <c r="WZ74" s="252"/>
      <c r="XA74" s="252"/>
      <c r="XB74" s="252"/>
      <c r="XC74" s="252"/>
      <c r="XD74" s="252"/>
      <c r="XE74" s="252"/>
      <c r="XF74" s="252"/>
      <c r="XG74" s="252"/>
      <c r="XH74" s="252"/>
      <c r="XI74" s="252"/>
      <c r="XJ74" s="252"/>
      <c r="XK74" s="252"/>
      <c r="XL74" s="252"/>
      <c r="XM74" s="252"/>
      <c r="XN74" s="252"/>
      <c r="XO74" s="252"/>
      <c r="XP74" s="252"/>
      <c r="XQ74" s="252"/>
      <c r="XR74" s="252"/>
      <c r="XS74" s="252"/>
      <c r="XT74" s="252"/>
      <c r="XU74" s="252"/>
      <c r="XV74" s="252"/>
      <c r="XW74" s="252"/>
      <c r="XX74" s="252"/>
      <c r="XY74" s="252"/>
      <c r="XZ74" s="252"/>
      <c r="YA74" s="252"/>
      <c r="YB74" s="252"/>
      <c r="YC74" s="252"/>
      <c r="YD74" s="252"/>
      <c r="YE74" s="252"/>
      <c r="YF74" s="252"/>
      <c r="YG74" s="252"/>
      <c r="YH74" s="252"/>
      <c r="YI74" s="252"/>
      <c r="YJ74" s="252"/>
      <c r="YK74" s="252"/>
      <c r="YL74" s="252"/>
      <c r="YM74" s="252"/>
      <c r="YN74" s="252"/>
      <c r="YO74" s="252"/>
      <c r="YP74" s="252"/>
      <c r="YQ74" s="252"/>
      <c r="YR74" s="252"/>
      <c r="YS74" s="252"/>
      <c r="YT74" s="252"/>
      <c r="YU74" s="252"/>
      <c r="YV74" s="252"/>
      <c r="YW74" s="252"/>
      <c r="YX74" s="252"/>
      <c r="YY74" s="252"/>
      <c r="YZ74" s="252"/>
      <c r="ZA74" s="252"/>
      <c r="ZB74" s="252"/>
      <c r="ZC74" s="252"/>
      <c r="ZD74" s="252"/>
      <c r="ZE74" s="252"/>
      <c r="ZF74" s="252"/>
      <c r="ZG74" s="252"/>
      <c r="ZH74" s="252"/>
      <c r="ZI74" s="252"/>
      <c r="ZJ74" s="252"/>
      <c r="ZK74" s="252"/>
      <c r="ZL74" s="252"/>
      <c r="ZM74" s="252"/>
      <c r="ZN74" s="252"/>
      <c r="ZO74" s="252"/>
      <c r="ZP74" s="252"/>
      <c r="ZQ74" s="252"/>
      <c r="ZR74" s="252"/>
      <c r="ZS74" s="252"/>
      <c r="ZT74" s="252"/>
      <c r="ZU74" s="252"/>
      <c r="ZV74" s="252"/>
      <c r="ZW74" s="252"/>
      <c r="ZX74" s="252"/>
      <c r="ZY74" s="252"/>
      <c r="ZZ74" s="252"/>
      <c r="AAA74" s="252"/>
      <c r="AAB74" s="252"/>
      <c r="AAC74" s="252"/>
      <c r="AAD74" s="252"/>
      <c r="AAE74" s="252"/>
      <c r="AAF74" s="252"/>
      <c r="AAG74" s="252"/>
      <c r="AAH74" s="252"/>
      <c r="AAI74" s="252"/>
      <c r="AAJ74" s="252"/>
      <c r="AAK74" s="252"/>
      <c r="AAL74" s="252"/>
      <c r="AAM74" s="252"/>
      <c r="AAN74" s="252"/>
      <c r="AAO74" s="252"/>
      <c r="AAP74" s="252"/>
      <c r="AAQ74" s="252"/>
      <c r="AAR74" s="252"/>
      <c r="AAS74" s="252"/>
      <c r="AAT74" s="252"/>
      <c r="AAU74" s="252"/>
      <c r="AAV74" s="252"/>
      <c r="AAW74" s="252"/>
      <c r="AAX74" s="252"/>
      <c r="AAY74" s="252"/>
      <c r="AAZ74" s="252"/>
      <c r="ABA74" s="252"/>
      <c r="ABB74" s="252"/>
      <c r="ABC74" s="252"/>
      <c r="ABD74" s="252"/>
      <c r="ABE74" s="252"/>
      <c r="ABF74" s="252"/>
      <c r="ABG74" s="252"/>
      <c r="ABH74" s="252"/>
      <c r="ABI74" s="252"/>
      <c r="ABJ74" s="252"/>
      <c r="ABK74" s="252"/>
      <c r="ABL74" s="252"/>
      <c r="ABM74" s="252"/>
      <c r="ABN74" s="252"/>
      <c r="ABO74" s="252"/>
      <c r="ABP74" s="252"/>
      <c r="ABQ74" s="252"/>
      <c r="ABR74" s="252"/>
      <c r="ABS74" s="252"/>
      <c r="ABT74" s="252"/>
      <c r="ABU74" s="252"/>
      <c r="ABV74" s="252"/>
      <c r="ABW74" s="252"/>
      <c r="ABX74" s="252"/>
      <c r="ABY74" s="252"/>
      <c r="ABZ74" s="252"/>
      <c r="ACA74" s="252"/>
      <c r="ACB74" s="252"/>
      <c r="ACC74" s="252"/>
      <c r="ACD74" s="252"/>
      <c r="ACE74" s="252"/>
      <c r="ACF74" s="252"/>
      <c r="ACG74" s="252"/>
      <c r="ACH74" s="252"/>
      <c r="ACI74" s="252"/>
      <c r="ACJ74" s="252"/>
      <c r="ACK74" s="252"/>
      <c r="ACL74" s="252"/>
      <c r="ACM74" s="252"/>
      <c r="ACN74" s="252"/>
      <c r="ACO74" s="252"/>
      <c r="ACP74" s="252"/>
      <c r="ACQ74" s="252"/>
      <c r="ACR74" s="252"/>
      <c r="ACS74" s="252"/>
      <c r="ACT74" s="252"/>
      <c r="ACU74" s="252"/>
      <c r="ACV74" s="252"/>
      <c r="ACW74" s="252"/>
      <c r="ACX74" s="252"/>
      <c r="ACY74" s="252"/>
      <c r="ACZ74" s="252"/>
      <c r="ADA74" s="252"/>
      <c r="ADB74" s="252"/>
      <c r="ADC74" s="252"/>
      <c r="ADD74" s="252"/>
      <c r="ADE74" s="252"/>
      <c r="ADF74" s="252"/>
      <c r="ADG74" s="252"/>
      <c r="ADH74" s="252"/>
      <c r="ADI74" s="252"/>
      <c r="ADJ74" s="252"/>
      <c r="ADK74" s="252"/>
      <c r="ADL74" s="252"/>
      <c r="ADM74" s="252"/>
      <c r="ADN74" s="252"/>
      <c r="ADO74" s="252"/>
      <c r="ADP74" s="252"/>
      <c r="ADQ74" s="252"/>
      <c r="ADR74" s="252"/>
      <c r="ADS74" s="252"/>
      <c r="ADT74" s="252"/>
      <c r="ADU74" s="252"/>
      <c r="ADV74" s="252"/>
      <c r="ADW74" s="252"/>
      <c r="ADX74" s="252"/>
      <c r="ADY74" s="252"/>
      <c r="ADZ74" s="252"/>
      <c r="AEA74" s="252"/>
      <c r="AEB74" s="252"/>
      <c r="AEC74" s="252"/>
      <c r="AED74" s="252"/>
      <c r="AEE74" s="252"/>
      <c r="AEF74" s="252"/>
      <c r="AEG74" s="252"/>
      <c r="AEH74" s="252"/>
      <c r="AEI74" s="252"/>
      <c r="AEJ74" s="252"/>
      <c r="AEK74" s="252"/>
      <c r="AEL74" s="252"/>
      <c r="AEM74" s="252"/>
      <c r="AEN74" s="252"/>
      <c r="AEO74" s="252"/>
      <c r="AEP74" s="252"/>
      <c r="AEQ74" s="252"/>
      <c r="AER74" s="252"/>
      <c r="AES74" s="252"/>
      <c r="AET74" s="252"/>
      <c r="AEU74" s="252"/>
      <c r="AEV74" s="252"/>
      <c r="AEW74" s="252"/>
      <c r="AEX74" s="252"/>
      <c r="AEY74" s="252"/>
      <c r="AEZ74" s="252"/>
      <c r="AFA74" s="252"/>
      <c r="AFB74" s="252"/>
      <c r="AFC74" s="252"/>
      <c r="AFD74" s="252"/>
      <c r="AFE74" s="252"/>
      <c r="AFF74" s="252"/>
      <c r="AFG74" s="252"/>
      <c r="AFH74" s="252"/>
      <c r="AFI74" s="252"/>
      <c r="AFJ74" s="252"/>
      <c r="AFK74" s="252"/>
      <c r="AFL74" s="252"/>
      <c r="AFM74" s="252"/>
      <c r="AFN74" s="252"/>
      <c r="AFO74" s="252"/>
      <c r="AFP74" s="252"/>
      <c r="AFQ74" s="252"/>
      <c r="AFR74" s="252"/>
      <c r="AFS74" s="252"/>
      <c r="AFT74" s="252"/>
      <c r="AFU74" s="252"/>
      <c r="AFV74" s="252"/>
      <c r="AFW74" s="252"/>
      <c r="AFX74" s="252"/>
      <c r="AFY74" s="252"/>
      <c r="AFZ74" s="252"/>
      <c r="AGA74" s="252"/>
      <c r="AGB74" s="252"/>
      <c r="AGC74" s="252"/>
      <c r="AGD74" s="252"/>
      <c r="AGE74" s="252"/>
      <c r="AGF74" s="252"/>
      <c r="AGG74" s="252"/>
      <c r="AGH74" s="252"/>
      <c r="AGI74" s="252"/>
      <c r="AGJ74" s="252"/>
      <c r="AGK74" s="252"/>
      <c r="AGL74" s="252"/>
      <c r="AGM74" s="252"/>
      <c r="AGN74" s="252"/>
      <c r="AGO74" s="252"/>
      <c r="AGP74" s="252"/>
      <c r="AGQ74" s="252"/>
      <c r="AGR74" s="252"/>
      <c r="AGS74" s="252"/>
      <c r="AGT74" s="252"/>
      <c r="AGU74" s="252"/>
      <c r="AGV74" s="252"/>
      <c r="AGW74" s="252"/>
      <c r="AGX74" s="252"/>
      <c r="AGY74" s="252"/>
      <c r="AGZ74" s="252"/>
      <c r="AHA74" s="252"/>
      <c r="AHB74" s="252"/>
      <c r="AHC74" s="252"/>
      <c r="AHD74" s="252"/>
      <c r="AHE74" s="252"/>
      <c r="AHF74" s="252"/>
      <c r="AHG74" s="252"/>
      <c r="AHH74" s="252"/>
      <c r="AHI74" s="252"/>
      <c r="AHJ74" s="252"/>
      <c r="AHK74" s="252"/>
      <c r="AHL74" s="252"/>
      <c r="AHM74" s="252"/>
      <c r="AHN74" s="252"/>
      <c r="AHO74" s="252"/>
      <c r="AHP74" s="252"/>
      <c r="AHQ74" s="252"/>
      <c r="AHR74" s="252"/>
      <c r="AHS74" s="252"/>
      <c r="AHT74" s="252"/>
      <c r="AHU74" s="252"/>
      <c r="AHV74" s="252"/>
      <c r="AHW74" s="252"/>
      <c r="AHX74" s="252"/>
      <c r="AHY74" s="252"/>
      <c r="AHZ74" s="252"/>
      <c r="AIA74" s="252"/>
      <c r="AIB74" s="252"/>
      <c r="AIC74" s="252"/>
      <c r="AID74" s="252"/>
      <c r="AIE74" s="252"/>
      <c r="AIF74" s="252"/>
      <c r="AIG74" s="252"/>
      <c r="AIH74" s="252"/>
      <c r="AII74" s="252"/>
      <c r="AIJ74" s="252"/>
      <c r="AIK74" s="252"/>
      <c r="AIL74" s="252"/>
      <c r="AIM74" s="252"/>
      <c r="AIN74" s="252"/>
      <c r="AIO74" s="252"/>
      <c r="AIP74" s="252"/>
      <c r="AIQ74" s="252"/>
      <c r="AIR74" s="252"/>
      <c r="AIS74" s="252"/>
      <c r="AIT74" s="252"/>
      <c r="AIU74" s="252"/>
      <c r="AIV74" s="252"/>
      <c r="AIW74" s="252"/>
      <c r="AIX74" s="252"/>
      <c r="AIY74" s="252"/>
      <c r="AIZ74" s="252"/>
      <c r="AJA74" s="252"/>
      <c r="AJB74" s="252"/>
      <c r="AJC74" s="252"/>
      <c r="AJD74" s="252"/>
      <c r="AJE74" s="252"/>
      <c r="AJF74" s="252"/>
      <c r="AJG74" s="252"/>
      <c r="AJH74" s="252"/>
      <c r="AJI74" s="252"/>
      <c r="AJJ74" s="252"/>
      <c r="AJK74" s="252"/>
      <c r="AJL74" s="252"/>
      <c r="AJM74" s="252"/>
      <c r="AJN74" s="252"/>
      <c r="AJO74" s="252"/>
      <c r="AJP74" s="252"/>
      <c r="AJQ74" s="252"/>
      <c r="AJR74" s="252"/>
      <c r="AJS74" s="252"/>
      <c r="AJT74" s="252"/>
      <c r="AJU74" s="252"/>
      <c r="AJV74" s="252"/>
      <c r="AJW74" s="252"/>
      <c r="AJX74" s="252"/>
      <c r="AJY74" s="252"/>
      <c r="AJZ74" s="252"/>
      <c r="AKA74" s="252"/>
      <c r="AKB74" s="252"/>
      <c r="AKC74" s="252"/>
      <c r="AKD74" s="252"/>
      <c r="AKE74" s="252"/>
      <c r="AKF74" s="252"/>
      <c r="AKG74" s="252"/>
      <c r="AKH74" s="252"/>
      <c r="AKI74" s="252"/>
      <c r="AKJ74" s="252"/>
      <c r="AKK74" s="252"/>
      <c r="AKL74" s="252"/>
      <c r="AKM74" s="252"/>
      <c r="AKN74" s="252"/>
      <c r="AKO74" s="252"/>
      <c r="AKP74" s="252"/>
      <c r="AKQ74" s="252"/>
      <c r="AKR74" s="252"/>
      <c r="AKS74" s="252"/>
      <c r="AKT74" s="252"/>
      <c r="AKU74" s="252"/>
      <c r="AKV74" s="252"/>
      <c r="AKW74" s="252"/>
      <c r="AKX74" s="252"/>
      <c r="AKY74" s="252"/>
      <c r="AKZ74" s="252"/>
      <c r="ALA74" s="252"/>
      <c r="ALB74" s="252"/>
      <c r="ALC74" s="252"/>
      <c r="ALD74" s="252"/>
      <c r="ALE74" s="252"/>
      <c r="ALF74" s="252"/>
      <c r="ALG74" s="252"/>
      <c r="ALH74" s="252"/>
      <c r="ALI74" s="252"/>
      <c r="ALJ74" s="252"/>
      <c r="ALK74" s="252"/>
      <c r="ALL74" s="252"/>
      <c r="ALM74" s="252"/>
      <c r="ALN74" s="252"/>
      <c r="ALO74" s="252"/>
      <c r="ALP74" s="252"/>
      <c r="ALQ74" s="252"/>
      <c r="ALR74" s="252"/>
      <c r="ALS74" s="252"/>
    </row>
    <row r="75" spans="1:1007" s="3" customFormat="1" x14ac:dyDescent="0.2">
      <c r="A75" s="369" t="s">
        <v>291</v>
      </c>
      <c r="B75" s="392">
        <v>1045</v>
      </c>
      <c r="C75" s="392">
        <v>1045</v>
      </c>
      <c r="D75" s="392"/>
      <c r="E75" s="731"/>
      <c r="F75" s="730"/>
      <c r="G75" s="730"/>
      <c r="H75" s="730"/>
      <c r="I75" s="730"/>
      <c r="J75" s="252"/>
      <c r="K75" s="252"/>
      <c r="L75" s="252"/>
      <c r="M75" s="252"/>
      <c r="N75" s="252"/>
      <c r="O75" s="252"/>
      <c r="P75" s="252"/>
      <c r="Q75" s="252"/>
      <c r="R75" s="252"/>
      <c r="S75" s="252"/>
      <c r="T75" s="252"/>
      <c r="U75" s="252"/>
      <c r="V75" s="252"/>
      <c r="W75" s="252"/>
      <c r="X75" s="252"/>
      <c r="Y75" s="252"/>
      <c r="Z75" s="252"/>
      <c r="AA75" s="252"/>
      <c r="AB75" s="252"/>
      <c r="AC75" s="252"/>
      <c r="AD75" s="252"/>
      <c r="AE75" s="252"/>
      <c r="AF75" s="252"/>
      <c r="AG75" s="252"/>
      <c r="AH75" s="252"/>
      <c r="AI75" s="252"/>
      <c r="AJ75" s="252"/>
      <c r="AK75" s="252"/>
      <c r="AL75" s="252"/>
      <c r="AM75" s="252"/>
      <c r="AN75" s="252"/>
      <c r="AO75" s="252"/>
      <c r="AP75" s="252"/>
      <c r="AQ75" s="252"/>
      <c r="AR75" s="252"/>
      <c r="AS75" s="252"/>
      <c r="AT75" s="252"/>
      <c r="AU75" s="252"/>
      <c r="AV75" s="252"/>
      <c r="AW75" s="252"/>
      <c r="AX75" s="252"/>
      <c r="AY75" s="252"/>
      <c r="AZ75" s="252"/>
      <c r="BA75" s="252"/>
      <c r="BB75" s="252"/>
      <c r="BC75" s="252"/>
      <c r="BD75" s="252"/>
      <c r="BE75" s="252"/>
      <c r="BF75" s="252"/>
      <c r="BG75" s="252"/>
      <c r="BH75" s="252"/>
      <c r="BI75" s="252"/>
      <c r="BJ75" s="252"/>
      <c r="BK75" s="252"/>
      <c r="BL75" s="252"/>
      <c r="BM75" s="252"/>
      <c r="BN75" s="252"/>
      <c r="BO75" s="252"/>
      <c r="BP75" s="252"/>
      <c r="BQ75" s="252"/>
      <c r="BR75" s="252"/>
      <c r="BS75" s="252"/>
      <c r="BT75" s="252"/>
      <c r="BU75" s="252"/>
      <c r="BV75" s="252"/>
      <c r="BW75" s="252"/>
      <c r="BX75" s="252"/>
      <c r="BY75" s="252"/>
      <c r="BZ75" s="252"/>
      <c r="CA75" s="252"/>
      <c r="CB75" s="252"/>
      <c r="CC75" s="252"/>
      <c r="CD75" s="252"/>
      <c r="CE75" s="252"/>
      <c r="CF75" s="252"/>
      <c r="CG75" s="252"/>
      <c r="CH75" s="252"/>
      <c r="CI75" s="252"/>
      <c r="CJ75" s="252"/>
      <c r="CK75" s="252"/>
      <c r="CL75" s="252"/>
      <c r="CM75" s="252"/>
      <c r="CN75" s="252"/>
      <c r="CO75" s="252"/>
      <c r="CP75" s="252"/>
      <c r="CQ75" s="252"/>
      <c r="CR75" s="252"/>
      <c r="CS75" s="252"/>
      <c r="CT75" s="252"/>
      <c r="CU75" s="252"/>
      <c r="CV75" s="252"/>
      <c r="CW75" s="252"/>
      <c r="CX75" s="252"/>
      <c r="CY75" s="252"/>
      <c r="CZ75" s="252"/>
      <c r="DA75" s="252"/>
      <c r="DB75" s="252"/>
      <c r="DC75" s="252"/>
      <c r="DD75" s="252"/>
      <c r="DE75" s="252"/>
      <c r="DF75" s="252"/>
      <c r="DG75" s="252"/>
      <c r="DH75" s="252"/>
      <c r="DI75" s="252"/>
      <c r="DJ75" s="252"/>
      <c r="DK75" s="252"/>
      <c r="DL75" s="252"/>
      <c r="DM75" s="252"/>
      <c r="DN75" s="252"/>
      <c r="DO75" s="252"/>
      <c r="DP75" s="252"/>
      <c r="DQ75" s="252"/>
      <c r="DR75" s="252"/>
      <c r="DS75" s="252"/>
      <c r="DT75" s="252"/>
      <c r="DU75" s="252"/>
      <c r="DV75" s="252"/>
      <c r="DW75" s="252"/>
      <c r="DX75" s="252"/>
      <c r="DY75" s="252"/>
      <c r="DZ75" s="252"/>
      <c r="EA75" s="252"/>
      <c r="EB75" s="252"/>
      <c r="EC75" s="252"/>
      <c r="ED75" s="252"/>
      <c r="EE75" s="252"/>
      <c r="EF75" s="252"/>
      <c r="EG75" s="252"/>
      <c r="EH75" s="252"/>
      <c r="EI75" s="252"/>
      <c r="EJ75" s="252"/>
      <c r="EK75" s="252"/>
      <c r="EL75" s="252"/>
      <c r="EM75" s="252"/>
      <c r="EN75" s="252"/>
      <c r="EO75" s="252"/>
      <c r="EP75" s="252"/>
      <c r="EQ75" s="252"/>
      <c r="ER75" s="252"/>
      <c r="ES75" s="252"/>
      <c r="ET75" s="252"/>
      <c r="EU75" s="252"/>
      <c r="EV75" s="252"/>
      <c r="EW75" s="252"/>
      <c r="EX75" s="252"/>
      <c r="EY75" s="252"/>
      <c r="EZ75" s="252"/>
      <c r="FA75" s="252"/>
      <c r="FB75" s="252"/>
      <c r="FC75" s="252"/>
      <c r="FD75" s="252"/>
      <c r="FE75" s="252"/>
      <c r="FF75" s="252"/>
      <c r="FG75" s="252"/>
      <c r="FH75" s="252"/>
      <c r="FI75" s="252"/>
      <c r="FJ75" s="252"/>
      <c r="FK75" s="252"/>
      <c r="FL75" s="252"/>
      <c r="FM75" s="252"/>
      <c r="FN75" s="252"/>
      <c r="FO75" s="252"/>
      <c r="FP75" s="252"/>
      <c r="FQ75" s="252"/>
      <c r="FR75" s="252"/>
      <c r="FS75" s="252"/>
      <c r="FT75" s="252"/>
      <c r="FU75" s="252"/>
      <c r="FV75" s="252"/>
      <c r="FW75" s="252"/>
      <c r="FX75" s="252"/>
      <c r="FY75" s="252"/>
      <c r="FZ75" s="252"/>
      <c r="GA75" s="252"/>
      <c r="GB75" s="252"/>
      <c r="GC75" s="252"/>
      <c r="GD75" s="252"/>
      <c r="GE75" s="252"/>
      <c r="GF75" s="252"/>
      <c r="GG75" s="252"/>
      <c r="GH75" s="252"/>
      <c r="GI75" s="252"/>
      <c r="GJ75" s="252"/>
      <c r="GK75" s="252"/>
      <c r="GL75" s="252"/>
      <c r="GM75" s="252"/>
      <c r="GN75" s="252"/>
      <c r="GO75" s="252"/>
      <c r="GP75" s="252"/>
      <c r="GQ75" s="252"/>
      <c r="GR75" s="252"/>
      <c r="GS75" s="252"/>
      <c r="GT75" s="252"/>
      <c r="GU75" s="252"/>
      <c r="GV75" s="252"/>
      <c r="GW75" s="252"/>
      <c r="GX75" s="252"/>
      <c r="GY75" s="252"/>
      <c r="GZ75" s="252"/>
      <c r="HA75" s="252"/>
      <c r="HB75" s="252"/>
      <c r="HC75" s="252"/>
      <c r="HD75" s="252"/>
      <c r="HE75" s="252"/>
      <c r="HF75" s="252"/>
      <c r="HG75" s="252"/>
      <c r="HH75" s="252"/>
      <c r="HI75" s="252"/>
      <c r="HJ75" s="252"/>
      <c r="HK75" s="252"/>
      <c r="HL75" s="252"/>
      <c r="HM75" s="252"/>
      <c r="HN75" s="252"/>
      <c r="HO75" s="252"/>
      <c r="HP75" s="252"/>
      <c r="HQ75" s="252"/>
      <c r="HR75" s="252"/>
      <c r="HS75" s="252"/>
      <c r="HT75" s="252"/>
      <c r="HU75" s="252"/>
      <c r="HV75" s="252"/>
      <c r="HW75" s="252"/>
      <c r="HX75" s="252"/>
      <c r="HY75" s="252"/>
      <c r="HZ75" s="252"/>
      <c r="IA75" s="252"/>
      <c r="IB75" s="252"/>
      <c r="IC75" s="252"/>
      <c r="ID75" s="252"/>
      <c r="IE75" s="252"/>
      <c r="IF75" s="252"/>
      <c r="IG75" s="252"/>
      <c r="IH75" s="252"/>
      <c r="II75" s="252"/>
      <c r="IJ75" s="252"/>
      <c r="IK75" s="252"/>
      <c r="IL75" s="252"/>
      <c r="IM75" s="252"/>
      <c r="IN75" s="252"/>
      <c r="IO75" s="252"/>
      <c r="IP75" s="252"/>
      <c r="IQ75" s="252"/>
      <c r="IR75" s="252"/>
      <c r="IS75" s="252"/>
      <c r="IT75" s="252"/>
      <c r="IU75" s="252"/>
      <c r="IV75" s="252"/>
      <c r="IW75" s="252"/>
      <c r="IX75" s="252"/>
      <c r="IY75" s="252"/>
      <c r="IZ75" s="252"/>
      <c r="JA75" s="252"/>
      <c r="JB75" s="252"/>
      <c r="JC75" s="252"/>
      <c r="JD75" s="252"/>
      <c r="JE75" s="252"/>
      <c r="JF75" s="252"/>
      <c r="JG75" s="252"/>
      <c r="JH75" s="252"/>
      <c r="JI75" s="252"/>
      <c r="JJ75" s="252"/>
      <c r="JK75" s="252"/>
      <c r="JL75" s="252"/>
      <c r="JM75" s="252"/>
      <c r="JN75" s="252"/>
      <c r="JO75" s="252"/>
      <c r="JP75" s="252"/>
      <c r="JQ75" s="252"/>
      <c r="JR75" s="252"/>
      <c r="JS75" s="252"/>
      <c r="JT75" s="252"/>
      <c r="JU75" s="252"/>
      <c r="JV75" s="252"/>
      <c r="JW75" s="252"/>
      <c r="JX75" s="252"/>
      <c r="JY75" s="252"/>
      <c r="JZ75" s="252"/>
      <c r="KA75" s="252"/>
      <c r="KB75" s="252"/>
      <c r="KC75" s="252"/>
      <c r="KD75" s="252"/>
      <c r="KE75" s="252"/>
      <c r="KF75" s="252"/>
      <c r="KG75" s="252"/>
      <c r="KH75" s="252"/>
      <c r="KI75" s="252"/>
      <c r="KJ75" s="252"/>
      <c r="KK75" s="252"/>
      <c r="KL75" s="252"/>
      <c r="KM75" s="252"/>
      <c r="KN75" s="252"/>
      <c r="KO75" s="252"/>
      <c r="KP75" s="252"/>
      <c r="KQ75" s="252"/>
      <c r="KR75" s="252"/>
      <c r="KS75" s="252"/>
      <c r="KT75" s="252"/>
      <c r="KU75" s="252"/>
      <c r="KV75" s="252"/>
      <c r="KW75" s="252"/>
      <c r="KX75" s="252"/>
      <c r="KY75" s="252"/>
      <c r="KZ75" s="252"/>
      <c r="LA75" s="252"/>
      <c r="LB75" s="252"/>
      <c r="LC75" s="252"/>
      <c r="LD75" s="252"/>
      <c r="LE75" s="252"/>
      <c r="LF75" s="252"/>
      <c r="LG75" s="252"/>
      <c r="LH75" s="252"/>
      <c r="LI75" s="252"/>
      <c r="LJ75" s="252"/>
      <c r="LK75" s="252"/>
      <c r="LL75" s="252"/>
      <c r="LM75" s="252"/>
      <c r="LN75" s="252"/>
      <c r="LO75" s="252"/>
      <c r="LP75" s="252"/>
      <c r="LQ75" s="252"/>
      <c r="LR75" s="252"/>
      <c r="LS75" s="252"/>
      <c r="LT75" s="252"/>
      <c r="LU75" s="252"/>
      <c r="LV75" s="252"/>
      <c r="LW75" s="252"/>
      <c r="LX75" s="252"/>
      <c r="LY75" s="252"/>
      <c r="LZ75" s="252"/>
      <c r="MA75" s="252"/>
      <c r="MB75" s="252"/>
      <c r="MC75" s="252"/>
      <c r="MD75" s="252"/>
      <c r="ME75" s="252"/>
      <c r="MF75" s="252"/>
      <c r="MG75" s="252"/>
      <c r="MH75" s="252"/>
      <c r="MI75" s="252"/>
      <c r="MJ75" s="252"/>
      <c r="MK75" s="252"/>
      <c r="ML75" s="252"/>
      <c r="MM75" s="252"/>
      <c r="MN75" s="252"/>
      <c r="MO75" s="252"/>
      <c r="MP75" s="252"/>
      <c r="MQ75" s="252"/>
      <c r="MR75" s="252"/>
      <c r="MS75" s="252"/>
      <c r="MT75" s="252"/>
      <c r="MU75" s="252"/>
      <c r="MV75" s="252"/>
      <c r="MW75" s="252"/>
      <c r="MX75" s="252"/>
      <c r="MY75" s="252"/>
      <c r="MZ75" s="252"/>
      <c r="NA75" s="252"/>
      <c r="NB75" s="252"/>
      <c r="NC75" s="252"/>
      <c r="ND75" s="252"/>
      <c r="NE75" s="252"/>
      <c r="NF75" s="252"/>
      <c r="NG75" s="252"/>
      <c r="NH75" s="252"/>
      <c r="NI75" s="252"/>
      <c r="NJ75" s="252"/>
      <c r="NK75" s="252"/>
      <c r="NL75" s="252"/>
      <c r="NM75" s="252"/>
      <c r="NN75" s="252"/>
      <c r="NO75" s="252"/>
      <c r="NP75" s="252"/>
      <c r="NQ75" s="252"/>
      <c r="NR75" s="252"/>
      <c r="NS75" s="252"/>
      <c r="NT75" s="252"/>
      <c r="NU75" s="252"/>
      <c r="NV75" s="252"/>
      <c r="NW75" s="252"/>
      <c r="NX75" s="252"/>
      <c r="NY75" s="252"/>
      <c r="NZ75" s="252"/>
      <c r="OA75" s="252"/>
      <c r="OB75" s="252"/>
      <c r="OC75" s="252"/>
      <c r="OD75" s="252"/>
      <c r="OE75" s="252"/>
      <c r="OF75" s="252"/>
      <c r="OG75" s="252"/>
      <c r="OH75" s="252"/>
      <c r="OI75" s="252"/>
      <c r="OJ75" s="252"/>
      <c r="OK75" s="252"/>
      <c r="OL75" s="252"/>
      <c r="OM75" s="252"/>
      <c r="ON75" s="252"/>
      <c r="OO75" s="252"/>
      <c r="OP75" s="252"/>
      <c r="OQ75" s="252"/>
      <c r="OR75" s="252"/>
      <c r="OS75" s="252"/>
      <c r="OT75" s="252"/>
      <c r="OU75" s="252"/>
      <c r="OV75" s="252"/>
      <c r="OW75" s="252"/>
      <c r="OX75" s="252"/>
      <c r="OY75" s="252"/>
      <c r="OZ75" s="252"/>
      <c r="PA75" s="252"/>
      <c r="PB75" s="252"/>
      <c r="PC75" s="252"/>
      <c r="PD75" s="252"/>
      <c r="PE75" s="252"/>
      <c r="PF75" s="252"/>
      <c r="PG75" s="252"/>
      <c r="PH75" s="252"/>
      <c r="PI75" s="252"/>
      <c r="PJ75" s="252"/>
      <c r="PK75" s="252"/>
      <c r="PL75" s="252"/>
      <c r="PM75" s="252"/>
      <c r="PN75" s="252"/>
      <c r="PO75" s="252"/>
      <c r="PP75" s="252"/>
      <c r="PQ75" s="252"/>
      <c r="PR75" s="252"/>
      <c r="PS75" s="252"/>
      <c r="PT75" s="252"/>
      <c r="PU75" s="252"/>
      <c r="PV75" s="252"/>
      <c r="PW75" s="252"/>
      <c r="PX75" s="252"/>
      <c r="PY75" s="252"/>
      <c r="PZ75" s="252"/>
      <c r="QA75" s="252"/>
      <c r="QB75" s="252"/>
      <c r="QC75" s="252"/>
      <c r="QD75" s="252"/>
      <c r="QE75" s="252"/>
      <c r="QF75" s="252"/>
      <c r="QG75" s="252"/>
      <c r="QH75" s="252"/>
      <c r="QI75" s="252"/>
      <c r="QJ75" s="252"/>
      <c r="QK75" s="252"/>
      <c r="QL75" s="252"/>
      <c r="QM75" s="252"/>
      <c r="QN75" s="252"/>
      <c r="QO75" s="252"/>
      <c r="QP75" s="252"/>
      <c r="QQ75" s="252"/>
      <c r="QR75" s="252"/>
      <c r="QS75" s="252"/>
      <c r="QT75" s="252"/>
      <c r="QU75" s="252"/>
      <c r="QV75" s="252"/>
      <c r="QW75" s="252"/>
      <c r="QX75" s="252"/>
      <c r="QY75" s="252"/>
      <c r="QZ75" s="252"/>
      <c r="RA75" s="252"/>
      <c r="RB75" s="252"/>
      <c r="RC75" s="252"/>
      <c r="RD75" s="252"/>
      <c r="RE75" s="252"/>
      <c r="RF75" s="252"/>
      <c r="RG75" s="252"/>
      <c r="RH75" s="252"/>
      <c r="RI75" s="252"/>
      <c r="RJ75" s="252"/>
      <c r="RK75" s="252"/>
      <c r="RL75" s="252"/>
      <c r="RM75" s="252"/>
      <c r="RN75" s="252"/>
      <c r="RO75" s="252"/>
      <c r="RP75" s="252"/>
      <c r="RQ75" s="252"/>
      <c r="RR75" s="252"/>
      <c r="RS75" s="252"/>
      <c r="RT75" s="252"/>
      <c r="RU75" s="252"/>
      <c r="RV75" s="252"/>
      <c r="RW75" s="252"/>
      <c r="RX75" s="252"/>
      <c r="RY75" s="252"/>
      <c r="RZ75" s="252"/>
      <c r="SA75" s="252"/>
      <c r="SB75" s="252"/>
      <c r="SC75" s="252"/>
      <c r="SD75" s="252"/>
      <c r="SE75" s="252"/>
      <c r="SF75" s="252"/>
      <c r="SG75" s="252"/>
      <c r="SH75" s="252"/>
      <c r="SI75" s="252"/>
      <c r="SJ75" s="252"/>
      <c r="SK75" s="252"/>
      <c r="SL75" s="252"/>
      <c r="SM75" s="252"/>
      <c r="SN75" s="252"/>
      <c r="SO75" s="252"/>
      <c r="SP75" s="252"/>
      <c r="SQ75" s="252"/>
      <c r="SR75" s="252"/>
      <c r="SS75" s="252"/>
      <c r="ST75" s="252"/>
      <c r="SU75" s="252"/>
      <c r="SV75" s="252"/>
      <c r="SW75" s="252"/>
      <c r="SX75" s="252"/>
      <c r="SY75" s="252"/>
      <c r="SZ75" s="252"/>
      <c r="TA75" s="252"/>
      <c r="TB75" s="252"/>
      <c r="TC75" s="252"/>
      <c r="TD75" s="252"/>
      <c r="TE75" s="252"/>
      <c r="TF75" s="252"/>
      <c r="TG75" s="252"/>
      <c r="TH75" s="252"/>
      <c r="TI75" s="252"/>
      <c r="TJ75" s="252"/>
      <c r="TK75" s="252"/>
      <c r="TL75" s="252"/>
      <c r="TM75" s="252"/>
      <c r="TN75" s="252"/>
      <c r="TO75" s="252"/>
      <c r="TP75" s="252"/>
      <c r="TQ75" s="252"/>
      <c r="TR75" s="252"/>
      <c r="TS75" s="252"/>
      <c r="TT75" s="252"/>
      <c r="TU75" s="252"/>
      <c r="TV75" s="252"/>
      <c r="TW75" s="252"/>
      <c r="TX75" s="252"/>
      <c r="TY75" s="252"/>
      <c r="TZ75" s="252"/>
      <c r="UA75" s="252"/>
      <c r="UB75" s="252"/>
      <c r="UC75" s="252"/>
      <c r="UD75" s="252"/>
      <c r="UE75" s="252"/>
      <c r="UF75" s="252"/>
      <c r="UG75" s="252"/>
      <c r="UH75" s="252"/>
      <c r="UI75" s="252"/>
      <c r="UJ75" s="252"/>
      <c r="UK75" s="252"/>
      <c r="UL75" s="252"/>
      <c r="UM75" s="252"/>
      <c r="UN75" s="252"/>
      <c r="UO75" s="252"/>
      <c r="UP75" s="252"/>
      <c r="UQ75" s="252"/>
      <c r="UR75" s="252"/>
      <c r="US75" s="252"/>
      <c r="UT75" s="252"/>
      <c r="UU75" s="252"/>
      <c r="UV75" s="252"/>
      <c r="UW75" s="252"/>
      <c r="UX75" s="252"/>
      <c r="UY75" s="252"/>
      <c r="UZ75" s="252"/>
      <c r="VA75" s="252"/>
      <c r="VB75" s="252"/>
      <c r="VC75" s="252"/>
      <c r="VD75" s="252"/>
      <c r="VE75" s="252"/>
      <c r="VF75" s="252"/>
      <c r="VG75" s="252"/>
      <c r="VH75" s="252"/>
      <c r="VI75" s="252"/>
      <c r="VJ75" s="252"/>
      <c r="VK75" s="252"/>
      <c r="VL75" s="252"/>
      <c r="VM75" s="252"/>
      <c r="VN75" s="252"/>
      <c r="VO75" s="252"/>
      <c r="VP75" s="252"/>
      <c r="VQ75" s="252"/>
      <c r="VR75" s="252"/>
      <c r="VS75" s="252"/>
      <c r="VT75" s="252"/>
      <c r="VU75" s="252"/>
      <c r="VV75" s="252"/>
      <c r="VW75" s="252"/>
      <c r="VX75" s="252"/>
      <c r="VY75" s="252"/>
      <c r="VZ75" s="252"/>
      <c r="WA75" s="252"/>
      <c r="WB75" s="252"/>
      <c r="WC75" s="252"/>
      <c r="WD75" s="252"/>
      <c r="WE75" s="252"/>
      <c r="WF75" s="252"/>
      <c r="WG75" s="252"/>
      <c r="WH75" s="252"/>
      <c r="WI75" s="252"/>
      <c r="WJ75" s="252"/>
      <c r="WK75" s="252"/>
      <c r="WL75" s="252"/>
      <c r="WM75" s="252"/>
      <c r="WN75" s="252"/>
      <c r="WO75" s="252"/>
      <c r="WP75" s="252"/>
      <c r="WQ75" s="252"/>
      <c r="WR75" s="252"/>
      <c r="WS75" s="252"/>
      <c r="WT75" s="252"/>
      <c r="WU75" s="252"/>
      <c r="WV75" s="252"/>
      <c r="WW75" s="252"/>
      <c r="WX75" s="252"/>
      <c r="WY75" s="252"/>
      <c r="WZ75" s="252"/>
      <c r="XA75" s="252"/>
      <c r="XB75" s="252"/>
      <c r="XC75" s="252"/>
      <c r="XD75" s="252"/>
      <c r="XE75" s="252"/>
      <c r="XF75" s="252"/>
      <c r="XG75" s="252"/>
      <c r="XH75" s="252"/>
      <c r="XI75" s="252"/>
      <c r="XJ75" s="252"/>
      <c r="XK75" s="252"/>
      <c r="XL75" s="252"/>
      <c r="XM75" s="252"/>
      <c r="XN75" s="252"/>
      <c r="XO75" s="252"/>
      <c r="XP75" s="252"/>
      <c r="XQ75" s="252"/>
      <c r="XR75" s="252"/>
      <c r="XS75" s="252"/>
      <c r="XT75" s="252"/>
      <c r="XU75" s="252"/>
      <c r="XV75" s="252"/>
      <c r="XW75" s="252"/>
      <c r="XX75" s="252"/>
      <c r="XY75" s="252"/>
      <c r="XZ75" s="252"/>
      <c r="YA75" s="252"/>
      <c r="YB75" s="252"/>
      <c r="YC75" s="252"/>
      <c r="YD75" s="252"/>
      <c r="YE75" s="252"/>
      <c r="YF75" s="252"/>
      <c r="YG75" s="252"/>
      <c r="YH75" s="252"/>
      <c r="YI75" s="252"/>
      <c r="YJ75" s="252"/>
      <c r="YK75" s="252"/>
      <c r="YL75" s="252"/>
      <c r="YM75" s="252"/>
      <c r="YN75" s="252"/>
      <c r="YO75" s="252"/>
      <c r="YP75" s="252"/>
      <c r="YQ75" s="252"/>
      <c r="YR75" s="252"/>
      <c r="YS75" s="252"/>
      <c r="YT75" s="252"/>
      <c r="YU75" s="252"/>
      <c r="YV75" s="252"/>
      <c r="YW75" s="252"/>
      <c r="YX75" s="252"/>
      <c r="YY75" s="252"/>
      <c r="YZ75" s="252"/>
      <c r="ZA75" s="252"/>
      <c r="ZB75" s="252"/>
      <c r="ZC75" s="252"/>
      <c r="ZD75" s="252"/>
      <c r="ZE75" s="252"/>
      <c r="ZF75" s="252"/>
      <c r="ZG75" s="252"/>
      <c r="ZH75" s="252"/>
      <c r="ZI75" s="252"/>
      <c r="ZJ75" s="252"/>
      <c r="ZK75" s="252"/>
      <c r="ZL75" s="252"/>
      <c r="ZM75" s="252"/>
      <c r="ZN75" s="252"/>
      <c r="ZO75" s="252"/>
      <c r="ZP75" s="252"/>
      <c r="ZQ75" s="252"/>
      <c r="ZR75" s="252"/>
      <c r="ZS75" s="252"/>
      <c r="ZT75" s="252"/>
      <c r="ZU75" s="252"/>
      <c r="ZV75" s="252"/>
      <c r="ZW75" s="252"/>
      <c r="ZX75" s="252"/>
      <c r="ZY75" s="252"/>
      <c r="ZZ75" s="252"/>
      <c r="AAA75" s="252"/>
      <c r="AAB75" s="252"/>
      <c r="AAC75" s="252"/>
      <c r="AAD75" s="252"/>
      <c r="AAE75" s="252"/>
      <c r="AAF75" s="252"/>
      <c r="AAG75" s="252"/>
      <c r="AAH75" s="252"/>
      <c r="AAI75" s="252"/>
      <c r="AAJ75" s="252"/>
      <c r="AAK75" s="252"/>
      <c r="AAL75" s="252"/>
      <c r="AAM75" s="252"/>
      <c r="AAN75" s="252"/>
      <c r="AAO75" s="252"/>
      <c r="AAP75" s="252"/>
      <c r="AAQ75" s="252"/>
      <c r="AAR75" s="252"/>
      <c r="AAS75" s="252"/>
      <c r="AAT75" s="252"/>
      <c r="AAU75" s="252"/>
      <c r="AAV75" s="252"/>
      <c r="AAW75" s="252"/>
      <c r="AAX75" s="252"/>
      <c r="AAY75" s="252"/>
      <c r="AAZ75" s="252"/>
      <c r="ABA75" s="252"/>
      <c r="ABB75" s="252"/>
      <c r="ABC75" s="252"/>
      <c r="ABD75" s="252"/>
      <c r="ABE75" s="252"/>
      <c r="ABF75" s="252"/>
      <c r="ABG75" s="252"/>
      <c r="ABH75" s="252"/>
      <c r="ABI75" s="252"/>
      <c r="ABJ75" s="252"/>
      <c r="ABK75" s="252"/>
      <c r="ABL75" s="252"/>
      <c r="ABM75" s="252"/>
      <c r="ABN75" s="252"/>
      <c r="ABO75" s="252"/>
      <c r="ABP75" s="252"/>
      <c r="ABQ75" s="252"/>
      <c r="ABR75" s="252"/>
      <c r="ABS75" s="252"/>
      <c r="ABT75" s="252"/>
      <c r="ABU75" s="252"/>
      <c r="ABV75" s="252"/>
      <c r="ABW75" s="252"/>
      <c r="ABX75" s="252"/>
      <c r="ABY75" s="252"/>
      <c r="ABZ75" s="252"/>
      <c r="ACA75" s="252"/>
      <c r="ACB75" s="252"/>
      <c r="ACC75" s="252"/>
      <c r="ACD75" s="252"/>
      <c r="ACE75" s="252"/>
      <c r="ACF75" s="252"/>
      <c r="ACG75" s="252"/>
      <c r="ACH75" s="252"/>
      <c r="ACI75" s="252"/>
      <c r="ACJ75" s="252"/>
      <c r="ACK75" s="252"/>
      <c r="ACL75" s="252"/>
      <c r="ACM75" s="252"/>
      <c r="ACN75" s="252"/>
      <c r="ACO75" s="252"/>
      <c r="ACP75" s="252"/>
      <c r="ACQ75" s="252"/>
      <c r="ACR75" s="252"/>
      <c r="ACS75" s="252"/>
      <c r="ACT75" s="252"/>
      <c r="ACU75" s="252"/>
      <c r="ACV75" s="252"/>
      <c r="ACW75" s="252"/>
      <c r="ACX75" s="252"/>
      <c r="ACY75" s="252"/>
      <c r="ACZ75" s="252"/>
      <c r="ADA75" s="252"/>
      <c r="ADB75" s="252"/>
      <c r="ADC75" s="252"/>
      <c r="ADD75" s="252"/>
      <c r="ADE75" s="252"/>
      <c r="ADF75" s="252"/>
      <c r="ADG75" s="252"/>
      <c r="ADH75" s="252"/>
      <c r="ADI75" s="252"/>
      <c r="ADJ75" s="252"/>
      <c r="ADK75" s="252"/>
      <c r="ADL75" s="252"/>
      <c r="ADM75" s="252"/>
      <c r="ADN75" s="252"/>
      <c r="ADO75" s="252"/>
      <c r="ADP75" s="252"/>
      <c r="ADQ75" s="252"/>
      <c r="ADR75" s="252"/>
      <c r="ADS75" s="252"/>
      <c r="ADT75" s="252"/>
      <c r="ADU75" s="252"/>
      <c r="ADV75" s="252"/>
      <c r="ADW75" s="252"/>
      <c r="ADX75" s="252"/>
      <c r="ADY75" s="252"/>
      <c r="ADZ75" s="252"/>
      <c r="AEA75" s="252"/>
      <c r="AEB75" s="252"/>
      <c r="AEC75" s="252"/>
      <c r="AED75" s="252"/>
      <c r="AEE75" s="252"/>
      <c r="AEF75" s="252"/>
      <c r="AEG75" s="252"/>
      <c r="AEH75" s="252"/>
      <c r="AEI75" s="252"/>
      <c r="AEJ75" s="252"/>
      <c r="AEK75" s="252"/>
      <c r="AEL75" s="252"/>
      <c r="AEM75" s="252"/>
      <c r="AEN75" s="252"/>
      <c r="AEO75" s="252"/>
      <c r="AEP75" s="252"/>
      <c r="AEQ75" s="252"/>
      <c r="AER75" s="252"/>
      <c r="AES75" s="252"/>
      <c r="AET75" s="252"/>
      <c r="AEU75" s="252"/>
      <c r="AEV75" s="252"/>
      <c r="AEW75" s="252"/>
      <c r="AEX75" s="252"/>
      <c r="AEY75" s="252"/>
      <c r="AEZ75" s="252"/>
      <c r="AFA75" s="252"/>
      <c r="AFB75" s="252"/>
      <c r="AFC75" s="252"/>
      <c r="AFD75" s="252"/>
      <c r="AFE75" s="252"/>
      <c r="AFF75" s="252"/>
      <c r="AFG75" s="252"/>
      <c r="AFH75" s="252"/>
      <c r="AFI75" s="252"/>
      <c r="AFJ75" s="252"/>
      <c r="AFK75" s="252"/>
      <c r="AFL75" s="252"/>
      <c r="AFM75" s="252"/>
      <c r="AFN75" s="252"/>
      <c r="AFO75" s="252"/>
      <c r="AFP75" s="252"/>
      <c r="AFQ75" s="252"/>
      <c r="AFR75" s="252"/>
      <c r="AFS75" s="252"/>
      <c r="AFT75" s="252"/>
      <c r="AFU75" s="252"/>
      <c r="AFV75" s="252"/>
      <c r="AFW75" s="252"/>
      <c r="AFX75" s="252"/>
      <c r="AFY75" s="252"/>
      <c r="AFZ75" s="252"/>
      <c r="AGA75" s="252"/>
      <c r="AGB75" s="252"/>
      <c r="AGC75" s="252"/>
      <c r="AGD75" s="252"/>
      <c r="AGE75" s="252"/>
      <c r="AGF75" s="252"/>
      <c r="AGG75" s="252"/>
      <c r="AGH75" s="252"/>
      <c r="AGI75" s="252"/>
      <c r="AGJ75" s="252"/>
      <c r="AGK75" s="252"/>
      <c r="AGL75" s="252"/>
      <c r="AGM75" s="252"/>
      <c r="AGN75" s="252"/>
      <c r="AGO75" s="252"/>
      <c r="AGP75" s="252"/>
      <c r="AGQ75" s="252"/>
      <c r="AGR75" s="252"/>
      <c r="AGS75" s="252"/>
      <c r="AGT75" s="252"/>
      <c r="AGU75" s="252"/>
      <c r="AGV75" s="252"/>
      <c r="AGW75" s="252"/>
      <c r="AGX75" s="252"/>
      <c r="AGY75" s="252"/>
      <c r="AGZ75" s="252"/>
      <c r="AHA75" s="252"/>
      <c r="AHB75" s="252"/>
      <c r="AHC75" s="252"/>
      <c r="AHD75" s="252"/>
      <c r="AHE75" s="252"/>
      <c r="AHF75" s="252"/>
      <c r="AHG75" s="252"/>
      <c r="AHH75" s="252"/>
      <c r="AHI75" s="252"/>
      <c r="AHJ75" s="252"/>
      <c r="AHK75" s="252"/>
      <c r="AHL75" s="252"/>
      <c r="AHM75" s="252"/>
      <c r="AHN75" s="252"/>
      <c r="AHO75" s="252"/>
      <c r="AHP75" s="252"/>
      <c r="AHQ75" s="252"/>
      <c r="AHR75" s="252"/>
      <c r="AHS75" s="252"/>
      <c r="AHT75" s="252"/>
      <c r="AHU75" s="252"/>
      <c r="AHV75" s="252"/>
      <c r="AHW75" s="252"/>
      <c r="AHX75" s="252"/>
      <c r="AHY75" s="252"/>
      <c r="AHZ75" s="252"/>
      <c r="AIA75" s="252"/>
      <c r="AIB75" s="252"/>
      <c r="AIC75" s="252"/>
      <c r="AID75" s="252"/>
      <c r="AIE75" s="252"/>
      <c r="AIF75" s="252"/>
      <c r="AIG75" s="252"/>
      <c r="AIH75" s="252"/>
      <c r="AII75" s="252"/>
      <c r="AIJ75" s="252"/>
      <c r="AIK75" s="252"/>
      <c r="AIL75" s="252"/>
      <c r="AIM75" s="252"/>
      <c r="AIN75" s="252"/>
      <c r="AIO75" s="252"/>
      <c r="AIP75" s="252"/>
      <c r="AIQ75" s="252"/>
      <c r="AIR75" s="252"/>
      <c r="AIS75" s="252"/>
      <c r="AIT75" s="252"/>
      <c r="AIU75" s="252"/>
      <c r="AIV75" s="252"/>
      <c r="AIW75" s="252"/>
      <c r="AIX75" s="252"/>
      <c r="AIY75" s="252"/>
      <c r="AIZ75" s="252"/>
      <c r="AJA75" s="252"/>
      <c r="AJB75" s="252"/>
      <c r="AJC75" s="252"/>
      <c r="AJD75" s="252"/>
      <c r="AJE75" s="252"/>
      <c r="AJF75" s="252"/>
      <c r="AJG75" s="252"/>
      <c r="AJH75" s="252"/>
      <c r="AJI75" s="252"/>
      <c r="AJJ75" s="252"/>
      <c r="AJK75" s="252"/>
      <c r="AJL75" s="252"/>
      <c r="AJM75" s="252"/>
      <c r="AJN75" s="252"/>
      <c r="AJO75" s="252"/>
      <c r="AJP75" s="252"/>
      <c r="AJQ75" s="252"/>
      <c r="AJR75" s="252"/>
      <c r="AJS75" s="252"/>
      <c r="AJT75" s="252"/>
      <c r="AJU75" s="252"/>
      <c r="AJV75" s="252"/>
      <c r="AJW75" s="252"/>
      <c r="AJX75" s="252"/>
      <c r="AJY75" s="252"/>
      <c r="AJZ75" s="252"/>
      <c r="AKA75" s="252"/>
      <c r="AKB75" s="252"/>
      <c r="AKC75" s="252"/>
      <c r="AKD75" s="252"/>
      <c r="AKE75" s="252"/>
      <c r="AKF75" s="252"/>
      <c r="AKG75" s="252"/>
      <c r="AKH75" s="252"/>
      <c r="AKI75" s="252"/>
      <c r="AKJ75" s="252"/>
      <c r="AKK75" s="252"/>
      <c r="AKL75" s="252"/>
      <c r="AKM75" s="252"/>
      <c r="AKN75" s="252"/>
      <c r="AKO75" s="252"/>
      <c r="AKP75" s="252"/>
      <c r="AKQ75" s="252"/>
      <c r="AKR75" s="252"/>
      <c r="AKS75" s="252"/>
      <c r="AKT75" s="252"/>
      <c r="AKU75" s="252"/>
      <c r="AKV75" s="252"/>
      <c r="AKW75" s="252"/>
      <c r="AKX75" s="252"/>
      <c r="AKY75" s="252"/>
      <c r="AKZ75" s="252"/>
      <c r="ALA75" s="252"/>
      <c r="ALB75" s="252"/>
      <c r="ALC75" s="252"/>
      <c r="ALD75" s="252"/>
      <c r="ALE75" s="252"/>
      <c r="ALF75" s="252"/>
      <c r="ALG75" s="252"/>
      <c r="ALH75" s="252"/>
      <c r="ALI75" s="252"/>
      <c r="ALJ75" s="252"/>
      <c r="ALK75" s="252"/>
      <c r="ALL75" s="252"/>
      <c r="ALM75" s="252"/>
      <c r="ALN75" s="252"/>
      <c r="ALO75" s="252"/>
      <c r="ALP75" s="252"/>
      <c r="ALQ75" s="252"/>
      <c r="ALR75" s="252"/>
      <c r="ALS75" s="252"/>
    </row>
    <row r="76" spans="1:1007" x14ac:dyDescent="0.2">
      <c r="A76" s="369" t="s">
        <v>299</v>
      </c>
      <c r="B76" s="357"/>
      <c r="C76" s="388"/>
      <c r="D76" s="392">
        <v>1045</v>
      </c>
      <c r="E76" s="731"/>
      <c r="F76" s="730"/>
      <c r="G76" s="730"/>
      <c r="H76" s="730"/>
      <c r="I76" s="730"/>
    </row>
    <row r="77" spans="1:1007" s="3" customFormat="1" x14ac:dyDescent="0.2">
      <c r="A77" s="369" t="s">
        <v>300</v>
      </c>
      <c r="B77" s="392"/>
      <c r="C77" s="392"/>
      <c r="D77" s="392">
        <v>1045</v>
      </c>
      <c r="E77" s="731"/>
      <c r="F77" s="730"/>
      <c r="G77" s="730"/>
      <c r="H77" s="730"/>
      <c r="I77" s="730"/>
      <c r="J77" s="252"/>
      <c r="K77" s="252"/>
      <c r="L77" s="252"/>
      <c r="M77" s="252"/>
      <c r="N77" s="252"/>
      <c r="O77" s="252"/>
      <c r="P77" s="252"/>
      <c r="Q77" s="252"/>
      <c r="R77" s="252"/>
      <c r="S77" s="252"/>
      <c r="T77" s="252"/>
      <c r="U77" s="252"/>
      <c r="V77" s="252"/>
      <c r="W77" s="252"/>
      <c r="X77" s="252"/>
      <c r="Y77" s="252"/>
      <c r="Z77" s="252"/>
      <c r="AA77" s="252"/>
      <c r="AB77" s="252"/>
      <c r="AC77" s="252"/>
      <c r="AD77" s="252"/>
      <c r="AE77" s="252"/>
      <c r="AF77" s="252"/>
      <c r="AG77" s="252"/>
      <c r="AH77" s="252"/>
      <c r="AI77" s="252"/>
      <c r="AJ77" s="252"/>
      <c r="AK77" s="252"/>
      <c r="AL77" s="252"/>
      <c r="AM77" s="252"/>
      <c r="AN77" s="252"/>
      <c r="AO77" s="252"/>
      <c r="AP77" s="252"/>
      <c r="AQ77" s="252"/>
      <c r="AR77" s="252"/>
      <c r="AS77" s="252"/>
      <c r="AT77" s="252"/>
      <c r="AU77" s="252"/>
      <c r="AV77" s="252"/>
      <c r="AW77" s="252"/>
      <c r="AX77" s="252"/>
      <c r="AY77" s="252"/>
      <c r="AZ77" s="252"/>
      <c r="BA77" s="252"/>
      <c r="BB77" s="252"/>
      <c r="BC77" s="252"/>
      <c r="BD77" s="252"/>
      <c r="BE77" s="252"/>
      <c r="BF77" s="252"/>
      <c r="BG77" s="252"/>
      <c r="BH77" s="252"/>
      <c r="BI77" s="252"/>
      <c r="BJ77" s="252"/>
      <c r="BK77" s="252"/>
      <c r="BL77" s="252"/>
      <c r="BM77" s="252"/>
      <c r="BN77" s="252"/>
      <c r="BO77" s="252"/>
      <c r="BP77" s="252"/>
      <c r="BQ77" s="252"/>
      <c r="BR77" s="252"/>
      <c r="BS77" s="252"/>
      <c r="BT77" s="252"/>
      <c r="BU77" s="252"/>
      <c r="BV77" s="252"/>
      <c r="BW77" s="252"/>
      <c r="BX77" s="252"/>
      <c r="BY77" s="252"/>
      <c r="BZ77" s="252"/>
      <c r="CA77" s="252"/>
      <c r="CB77" s="252"/>
      <c r="CC77" s="252"/>
      <c r="CD77" s="252"/>
      <c r="CE77" s="252"/>
      <c r="CF77" s="252"/>
      <c r="CG77" s="252"/>
      <c r="CH77" s="252"/>
      <c r="CI77" s="252"/>
      <c r="CJ77" s="252"/>
      <c r="CK77" s="252"/>
      <c r="CL77" s="252"/>
      <c r="CM77" s="252"/>
      <c r="CN77" s="252"/>
      <c r="CO77" s="252"/>
      <c r="CP77" s="252"/>
      <c r="CQ77" s="252"/>
      <c r="CR77" s="252"/>
      <c r="CS77" s="252"/>
      <c r="CT77" s="252"/>
      <c r="CU77" s="252"/>
      <c r="CV77" s="252"/>
      <c r="CW77" s="252"/>
      <c r="CX77" s="252"/>
      <c r="CY77" s="252"/>
      <c r="CZ77" s="252"/>
      <c r="DA77" s="252"/>
      <c r="DB77" s="252"/>
      <c r="DC77" s="252"/>
      <c r="DD77" s="252"/>
      <c r="DE77" s="252"/>
      <c r="DF77" s="252"/>
      <c r="DG77" s="252"/>
      <c r="DH77" s="252"/>
      <c r="DI77" s="252"/>
      <c r="DJ77" s="252"/>
      <c r="DK77" s="252"/>
      <c r="DL77" s="252"/>
      <c r="DM77" s="252"/>
      <c r="DN77" s="252"/>
      <c r="DO77" s="252"/>
      <c r="DP77" s="252"/>
      <c r="DQ77" s="252"/>
      <c r="DR77" s="252"/>
      <c r="DS77" s="252"/>
      <c r="DT77" s="252"/>
      <c r="DU77" s="252"/>
      <c r="DV77" s="252"/>
      <c r="DW77" s="252"/>
      <c r="DX77" s="252"/>
      <c r="DY77" s="252"/>
      <c r="DZ77" s="252"/>
      <c r="EA77" s="252"/>
      <c r="EB77" s="252"/>
      <c r="EC77" s="252"/>
      <c r="ED77" s="252"/>
      <c r="EE77" s="252"/>
      <c r="EF77" s="252"/>
      <c r="EG77" s="252"/>
      <c r="EH77" s="252"/>
      <c r="EI77" s="252"/>
      <c r="EJ77" s="252"/>
      <c r="EK77" s="252"/>
      <c r="EL77" s="252"/>
      <c r="EM77" s="252"/>
      <c r="EN77" s="252"/>
      <c r="EO77" s="252"/>
      <c r="EP77" s="252"/>
      <c r="EQ77" s="252"/>
      <c r="ER77" s="252"/>
      <c r="ES77" s="252"/>
      <c r="ET77" s="252"/>
      <c r="EU77" s="252"/>
      <c r="EV77" s="252"/>
      <c r="EW77" s="252"/>
      <c r="EX77" s="252"/>
      <c r="EY77" s="252"/>
      <c r="EZ77" s="252"/>
      <c r="FA77" s="252"/>
      <c r="FB77" s="252"/>
      <c r="FC77" s="252"/>
      <c r="FD77" s="252"/>
      <c r="FE77" s="252"/>
      <c r="FF77" s="252"/>
      <c r="FG77" s="252"/>
      <c r="FH77" s="252"/>
      <c r="FI77" s="252"/>
      <c r="FJ77" s="252"/>
      <c r="FK77" s="252"/>
      <c r="FL77" s="252"/>
      <c r="FM77" s="252"/>
      <c r="FN77" s="252"/>
      <c r="FO77" s="252"/>
      <c r="FP77" s="252"/>
      <c r="FQ77" s="252"/>
      <c r="FR77" s="252"/>
      <c r="FS77" s="252"/>
      <c r="FT77" s="252"/>
      <c r="FU77" s="252"/>
      <c r="FV77" s="252"/>
      <c r="FW77" s="252"/>
      <c r="FX77" s="252"/>
      <c r="FY77" s="252"/>
      <c r="FZ77" s="252"/>
      <c r="GA77" s="252"/>
      <c r="GB77" s="252"/>
      <c r="GC77" s="252"/>
      <c r="GD77" s="252"/>
      <c r="GE77" s="252"/>
      <c r="GF77" s="252"/>
      <c r="GG77" s="252"/>
      <c r="GH77" s="252"/>
      <c r="GI77" s="252"/>
      <c r="GJ77" s="252"/>
      <c r="GK77" s="252"/>
      <c r="GL77" s="252"/>
      <c r="GM77" s="252"/>
      <c r="GN77" s="252"/>
      <c r="GO77" s="252"/>
      <c r="GP77" s="252"/>
      <c r="GQ77" s="252"/>
      <c r="GR77" s="252"/>
      <c r="GS77" s="252"/>
      <c r="GT77" s="252"/>
      <c r="GU77" s="252"/>
      <c r="GV77" s="252"/>
      <c r="GW77" s="252"/>
      <c r="GX77" s="252"/>
      <c r="GY77" s="252"/>
      <c r="GZ77" s="252"/>
      <c r="HA77" s="252"/>
      <c r="HB77" s="252"/>
      <c r="HC77" s="252"/>
      <c r="HD77" s="252"/>
      <c r="HE77" s="252"/>
      <c r="HF77" s="252"/>
      <c r="HG77" s="252"/>
      <c r="HH77" s="252"/>
      <c r="HI77" s="252"/>
      <c r="HJ77" s="252"/>
      <c r="HK77" s="252"/>
      <c r="HL77" s="252"/>
      <c r="HM77" s="252"/>
      <c r="HN77" s="252"/>
      <c r="HO77" s="252"/>
      <c r="HP77" s="252"/>
      <c r="HQ77" s="252"/>
      <c r="HR77" s="252"/>
      <c r="HS77" s="252"/>
      <c r="HT77" s="252"/>
      <c r="HU77" s="252"/>
      <c r="HV77" s="252"/>
      <c r="HW77" s="252"/>
      <c r="HX77" s="252"/>
      <c r="HY77" s="252"/>
      <c r="HZ77" s="252"/>
      <c r="IA77" s="252"/>
      <c r="IB77" s="252"/>
      <c r="IC77" s="252"/>
      <c r="ID77" s="252"/>
      <c r="IE77" s="252"/>
      <c r="IF77" s="252"/>
      <c r="IG77" s="252"/>
      <c r="IH77" s="252"/>
      <c r="II77" s="252"/>
      <c r="IJ77" s="252"/>
      <c r="IK77" s="252"/>
      <c r="IL77" s="252"/>
      <c r="IM77" s="252"/>
      <c r="IN77" s="252"/>
      <c r="IO77" s="252"/>
      <c r="IP77" s="252"/>
      <c r="IQ77" s="252"/>
      <c r="IR77" s="252"/>
      <c r="IS77" s="252"/>
      <c r="IT77" s="252"/>
      <c r="IU77" s="252"/>
      <c r="IV77" s="252"/>
      <c r="IW77" s="252"/>
      <c r="IX77" s="252"/>
      <c r="IY77" s="252"/>
      <c r="IZ77" s="252"/>
      <c r="JA77" s="252"/>
      <c r="JB77" s="252"/>
      <c r="JC77" s="252"/>
      <c r="JD77" s="252"/>
      <c r="JE77" s="252"/>
      <c r="JF77" s="252"/>
      <c r="JG77" s="252"/>
      <c r="JH77" s="252"/>
      <c r="JI77" s="252"/>
      <c r="JJ77" s="252"/>
      <c r="JK77" s="252"/>
      <c r="JL77" s="252"/>
      <c r="JM77" s="252"/>
      <c r="JN77" s="252"/>
      <c r="JO77" s="252"/>
      <c r="JP77" s="252"/>
      <c r="JQ77" s="252"/>
      <c r="JR77" s="252"/>
      <c r="JS77" s="252"/>
      <c r="JT77" s="252"/>
      <c r="JU77" s="252"/>
      <c r="JV77" s="252"/>
      <c r="JW77" s="252"/>
      <c r="JX77" s="252"/>
      <c r="JY77" s="252"/>
      <c r="JZ77" s="252"/>
      <c r="KA77" s="252"/>
      <c r="KB77" s="252"/>
      <c r="KC77" s="252"/>
      <c r="KD77" s="252"/>
      <c r="KE77" s="252"/>
      <c r="KF77" s="252"/>
      <c r="KG77" s="252"/>
      <c r="KH77" s="252"/>
      <c r="KI77" s="252"/>
      <c r="KJ77" s="252"/>
      <c r="KK77" s="252"/>
      <c r="KL77" s="252"/>
      <c r="KM77" s="252"/>
      <c r="KN77" s="252"/>
      <c r="KO77" s="252"/>
      <c r="KP77" s="252"/>
      <c r="KQ77" s="252"/>
      <c r="KR77" s="252"/>
      <c r="KS77" s="252"/>
      <c r="KT77" s="252"/>
      <c r="KU77" s="252"/>
      <c r="KV77" s="252"/>
      <c r="KW77" s="252"/>
      <c r="KX77" s="252"/>
      <c r="KY77" s="252"/>
      <c r="KZ77" s="252"/>
      <c r="LA77" s="252"/>
      <c r="LB77" s="252"/>
      <c r="LC77" s="252"/>
      <c r="LD77" s="252"/>
      <c r="LE77" s="252"/>
      <c r="LF77" s="252"/>
      <c r="LG77" s="252"/>
      <c r="LH77" s="252"/>
      <c r="LI77" s="252"/>
      <c r="LJ77" s="252"/>
      <c r="LK77" s="252"/>
      <c r="LL77" s="252"/>
      <c r="LM77" s="252"/>
      <c r="LN77" s="252"/>
      <c r="LO77" s="252"/>
      <c r="LP77" s="252"/>
      <c r="LQ77" s="252"/>
      <c r="LR77" s="252"/>
      <c r="LS77" s="252"/>
      <c r="LT77" s="252"/>
      <c r="LU77" s="252"/>
      <c r="LV77" s="252"/>
      <c r="LW77" s="252"/>
      <c r="LX77" s="252"/>
      <c r="LY77" s="252"/>
      <c r="LZ77" s="252"/>
      <c r="MA77" s="252"/>
      <c r="MB77" s="252"/>
      <c r="MC77" s="252"/>
      <c r="MD77" s="252"/>
      <c r="ME77" s="252"/>
      <c r="MF77" s="252"/>
      <c r="MG77" s="252"/>
      <c r="MH77" s="252"/>
      <c r="MI77" s="252"/>
      <c r="MJ77" s="252"/>
      <c r="MK77" s="252"/>
      <c r="ML77" s="252"/>
      <c r="MM77" s="252"/>
      <c r="MN77" s="252"/>
      <c r="MO77" s="252"/>
      <c r="MP77" s="252"/>
      <c r="MQ77" s="252"/>
      <c r="MR77" s="252"/>
      <c r="MS77" s="252"/>
      <c r="MT77" s="252"/>
      <c r="MU77" s="252"/>
      <c r="MV77" s="252"/>
      <c r="MW77" s="252"/>
      <c r="MX77" s="252"/>
      <c r="MY77" s="252"/>
      <c r="MZ77" s="252"/>
      <c r="NA77" s="252"/>
      <c r="NB77" s="252"/>
      <c r="NC77" s="252"/>
      <c r="ND77" s="252"/>
      <c r="NE77" s="252"/>
      <c r="NF77" s="252"/>
      <c r="NG77" s="252"/>
      <c r="NH77" s="252"/>
      <c r="NI77" s="252"/>
      <c r="NJ77" s="252"/>
      <c r="NK77" s="252"/>
      <c r="NL77" s="252"/>
      <c r="NM77" s="252"/>
      <c r="NN77" s="252"/>
      <c r="NO77" s="252"/>
      <c r="NP77" s="252"/>
      <c r="NQ77" s="252"/>
      <c r="NR77" s="252"/>
      <c r="NS77" s="252"/>
      <c r="NT77" s="252"/>
      <c r="NU77" s="252"/>
      <c r="NV77" s="252"/>
      <c r="NW77" s="252"/>
      <c r="NX77" s="252"/>
      <c r="NY77" s="252"/>
      <c r="NZ77" s="252"/>
      <c r="OA77" s="252"/>
      <c r="OB77" s="252"/>
      <c r="OC77" s="252"/>
      <c r="OD77" s="252"/>
      <c r="OE77" s="252"/>
      <c r="OF77" s="252"/>
      <c r="OG77" s="252"/>
      <c r="OH77" s="252"/>
      <c r="OI77" s="252"/>
      <c r="OJ77" s="252"/>
      <c r="OK77" s="252"/>
      <c r="OL77" s="252"/>
      <c r="OM77" s="252"/>
      <c r="ON77" s="252"/>
      <c r="OO77" s="252"/>
      <c r="OP77" s="252"/>
      <c r="OQ77" s="252"/>
      <c r="OR77" s="252"/>
      <c r="OS77" s="252"/>
      <c r="OT77" s="252"/>
      <c r="OU77" s="252"/>
      <c r="OV77" s="252"/>
      <c r="OW77" s="252"/>
      <c r="OX77" s="252"/>
      <c r="OY77" s="252"/>
      <c r="OZ77" s="252"/>
      <c r="PA77" s="252"/>
      <c r="PB77" s="252"/>
      <c r="PC77" s="252"/>
      <c r="PD77" s="252"/>
      <c r="PE77" s="252"/>
      <c r="PF77" s="252"/>
      <c r="PG77" s="252"/>
      <c r="PH77" s="252"/>
      <c r="PI77" s="252"/>
      <c r="PJ77" s="252"/>
      <c r="PK77" s="252"/>
      <c r="PL77" s="252"/>
      <c r="PM77" s="252"/>
      <c r="PN77" s="252"/>
      <c r="PO77" s="252"/>
      <c r="PP77" s="252"/>
      <c r="PQ77" s="252"/>
      <c r="PR77" s="252"/>
      <c r="PS77" s="252"/>
      <c r="PT77" s="252"/>
      <c r="PU77" s="252"/>
      <c r="PV77" s="252"/>
      <c r="PW77" s="252"/>
      <c r="PX77" s="252"/>
      <c r="PY77" s="252"/>
      <c r="PZ77" s="252"/>
      <c r="QA77" s="252"/>
      <c r="QB77" s="252"/>
      <c r="QC77" s="252"/>
      <c r="QD77" s="252"/>
      <c r="QE77" s="252"/>
      <c r="QF77" s="252"/>
      <c r="QG77" s="252"/>
      <c r="QH77" s="252"/>
      <c r="QI77" s="252"/>
      <c r="QJ77" s="252"/>
      <c r="QK77" s="252"/>
      <c r="QL77" s="252"/>
      <c r="QM77" s="252"/>
      <c r="QN77" s="252"/>
      <c r="QO77" s="252"/>
      <c r="QP77" s="252"/>
      <c r="QQ77" s="252"/>
      <c r="QR77" s="252"/>
      <c r="QS77" s="252"/>
      <c r="QT77" s="252"/>
      <c r="QU77" s="252"/>
      <c r="QV77" s="252"/>
      <c r="QW77" s="252"/>
      <c r="QX77" s="252"/>
      <c r="QY77" s="252"/>
      <c r="QZ77" s="252"/>
      <c r="RA77" s="252"/>
      <c r="RB77" s="252"/>
      <c r="RC77" s="252"/>
      <c r="RD77" s="252"/>
      <c r="RE77" s="252"/>
      <c r="RF77" s="252"/>
      <c r="RG77" s="252"/>
      <c r="RH77" s="252"/>
      <c r="RI77" s="252"/>
      <c r="RJ77" s="252"/>
      <c r="RK77" s="252"/>
      <c r="RL77" s="252"/>
      <c r="RM77" s="252"/>
      <c r="RN77" s="252"/>
      <c r="RO77" s="252"/>
      <c r="RP77" s="252"/>
      <c r="RQ77" s="252"/>
      <c r="RR77" s="252"/>
      <c r="RS77" s="252"/>
      <c r="RT77" s="252"/>
      <c r="RU77" s="252"/>
      <c r="RV77" s="252"/>
      <c r="RW77" s="252"/>
      <c r="RX77" s="252"/>
      <c r="RY77" s="252"/>
      <c r="RZ77" s="252"/>
      <c r="SA77" s="252"/>
      <c r="SB77" s="252"/>
      <c r="SC77" s="252"/>
      <c r="SD77" s="252"/>
      <c r="SE77" s="252"/>
      <c r="SF77" s="252"/>
      <c r="SG77" s="252"/>
      <c r="SH77" s="252"/>
      <c r="SI77" s="252"/>
      <c r="SJ77" s="252"/>
      <c r="SK77" s="252"/>
      <c r="SL77" s="252"/>
      <c r="SM77" s="252"/>
      <c r="SN77" s="252"/>
      <c r="SO77" s="252"/>
      <c r="SP77" s="252"/>
      <c r="SQ77" s="252"/>
      <c r="SR77" s="252"/>
      <c r="SS77" s="252"/>
      <c r="ST77" s="252"/>
      <c r="SU77" s="252"/>
      <c r="SV77" s="252"/>
      <c r="SW77" s="252"/>
      <c r="SX77" s="252"/>
      <c r="SY77" s="252"/>
      <c r="SZ77" s="252"/>
      <c r="TA77" s="252"/>
      <c r="TB77" s="252"/>
      <c r="TC77" s="252"/>
      <c r="TD77" s="252"/>
      <c r="TE77" s="252"/>
      <c r="TF77" s="252"/>
      <c r="TG77" s="252"/>
      <c r="TH77" s="252"/>
      <c r="TI77" s="252"/>
      <c r="TJ77" s="252"/>
      <c r="TK77" s="252"/>
      <c r="TL77" s="252"/>
      <c r="TM77" s="252"/>
      <c r="TN77" s="252"/>
      <c r="TO77" s="252"/>
      <c r="TP77" s="252"/>
      <c r="TQ77" s="252"/>
      <c r="TR77" s="252"/>
      <c r="TS77" s="252"/>
      <c r="TT77" s="252"/>
      <c r="TU77" s="252"/>
      <c r="TV77" s="252"/>
      <c r="TW77" s="252"/>
      <c r="TX77" s="252"/>
      <c r="TY77" s="252"/>
      <c r="TZ77" s="252"/>
      <c r="UA77" s="252"/>
      <c r="UB77" s="252"/>
      <c r="UC77" s="252"/>
      <c r="UD77" s="252"/>
      <c r="UE77" s="252"/>
      <c r="UF77" s="252"/>
      <c r="UG77" s="252"/>
      <c r="UH77" s="252"/>
      <c r="UI77" s="252"/>
      <c r="UJ77" s="252"/>
      <c r="UK77" s="252"/>
      <c r="UL77" s="252"/>
      <c r="UM77" s="252"/>
      <c r="UN77" s="252"/>
      <c r="UO77" s="252"/>
      <c r="UP77" s="252"/>
      <c r="UQ77" s="252"/>
      <c r="UR77" s="252"/>
      <c r="US77" s="252"/>
      <c r="UT77" s="252"/>
      <c r="UU77" s="252"/>
      <c r="UV77" s="252"/>
      <c r="UW77" s="252"/>
      <c r="UX77" s="252"/>
      <c r="UY77" s="252"/>
      <c r="UZ77" s="252"/>
      <c r="VA77" s="252"/>
      <c r="VB77" s="252"/>
      <c r="VC77" s="252"/>
      <c r="VD77" s="252"/>
      <c r="VE77" s="252"/>
      <c r="VF77" s="252"/>
      <c r="VG77" s="252"/>
      <c r="VH77" s="252"/>
      <c r="VI77" s="252"/>
      <c r="VJ77" s="252"/>
      <c r="VK77" s="252"/>
      <c r="VL77" s="252"/>
      <c r="VM77" s="252"/>
      <c r="VN77" s="252"/>
      <c r="VO77" s="252"/>
      <c r="VP77" s="252"/>
      <c r="VQ77" s="252"/>
      <c r="VR77" s="252"/>
      <c r="VS77" s="252"/>
      <c r="VT77" s="252"/>
      <c r="VU77" s="252"/>
      <c r="VV77" s="252"/>
      <c r="VW77" s="252"/>
      <c r="VX77" s="252"/>
      <c r="VY77" s="252"/>
      <c r="VZ77" s="252"/>
      <c r="WA77" s="252"/>
      <c r="WB77" s="252"/>
      <c r="WC77" s="252"/>
      <c r="WD77" s="252"/>
      <c r="WE77" s="252"/>
      <c r="WF77" s="252"/>
      <c r="WG77" s="252"/>
      <c r="WH77" s="252"/>
      <c r="WI77" s="252"/>
      <c r="WJ77" s="252"/>
      <c r="WK77" s="252"/>
      <c r="WL77" s="252"/>
      <c r="WM77" s="252"/>
      <c r="WN77" s="252"/>
      <c r="WO77" s="252"/>
      <c r="WP77" s="252"/>
      <c r="WQ77" s="252"/>
      <c r="WR77" s="252"/>
      <c r="WS77" s="252"/>
      <c r="WT77" s="252"/>
      <c r="WU77" s="252"/>
      <c r="WV77" s="252"/>
      <c r="WW77" s="252"/>
      <c r="WX77" s="252"/>
      <c r="WY77" s="252"/>
      <c r="WZ77" s="252"/>
      <c r="XA77" s="252"/>
      <c r="XB77" s="252"/>
      <c r="XC77" s="252"/>
      <c r="XD77" s="252"/>
      <c r="XE77" s="252"/>
      <c r="XF77" s="252"/>
      <c r="XG77" s="252"/>
      <c r="XH77" s="252"/>
      <c r="XI77" s="252"/>
      <c r="XJ77" s="252"/>
      <c r="XK77" s="252"/>
      <c r="XL77" s="252"/>
      <c r="XM77" s="252"/>
      <c r="XN77" s="252"/>
      <c r="XO77" s="252"/>
      <c r="XP77" s="252"/>
      <c r="XQ77" s="252"/>
      <c r="XR77" s="252"/>
      <c r="XS77" s="252"/>
      <c r="XT77" s="252"/>
      <c r="XU77" s="252"/>
      <c r="XV77" s="252"/>
      <c r="XW77" s="252"/>
      <c r="XX77" s="252"/>
      <c r="XY77" s="252"/>
      <c r="XZ77" s="252"/>
      <c r="YA77" s="252"/>
      <c r="YB77" s="252"/>
      <c r="YC77" s="252"/>
      <c r="YD77" s="252"/>
      <c r="YE77" s="252"/>
      <c r="YF77" s="252"/>
      <c r="YG77" s="252"/>
      <c r="YH77" s="252"/>
      <c r="YI77" s="252"/>
      <c r="YJ77" s="252"/>
      <c r="YK77" s="252"/>
      <c r="YL77" s="252"/>
      <c r="YM77" s="252"/>
      <c r="YN77" s="252"/>
      <c r="YO77" s="252"/>
      <c r="YP77" s="252"/>
      <c r="YQ77" s="252"/>
      <c r="YR77" s="252"/>
      <c r="YS77" s="252"/>
      <c r="YT77" s="252"/>
      <c r="YU77" s="252"/>
      <c r="YV77" s="252"/>
      <c r="YW77" s="252"/>
      <c r="YX77" s="252"/>
      <c r="YY77" s="252"/>
      <c r="YZ77" s="252"/>
      <c r="ZA77" s="252"/>
      <c r="ZB77" s="252"/>
      <c r="ZC77" s="252"/>
      <c r="ZD77" s="252"/>
      <c r="ZE77" s="252"/>
      <c r="ZF77" s="252"/>
      <c r="ZG77" s="252"/>
      <c r="ZH77" s="252"/>
      <c r="ZI77" s="252"/>
      <c r="ZJ77" s="252"/>
      <c r="ZK77" s="252"/>
      <c r="ZL77" s="252"/>
      <c r="ZM77" s="252"/>
      <c r="ZN77" s="252"/>
      <c r="ZO77" s="252"/>
      <c r="ZP77" s="252"/>
      <c r="ZQ77" s="252"/>
      <c r="ZR77" s="252"/>
      <c r="ZS77" s="252"/>
      <c r="ZT77" s="252"/>
      <c r="ZU77" s="252"/>
      <c r="ZV77" s="252"/>
      <c r="ZW77" s="252"/>
      <c r="ZX77" s="252"/>
      <c r="ZY77" s="252"/>
      <c r="ZZ77" s="252"/>
      <c r="AAA77" s="252"/>
      <c r="AAB77" s="252"/>
      <c r="AAC77" s="252"/>
      <c r="AAD77" s="252"/>
      <c r="AAE77" s="252"/>
      <c r="AAF77" s="252"/>
      <c r="AAG77" s="252"/>
      <c r="AAH77" s="252"/>
      <c r="AAI77" s="252"/>
      <c r="AAJ77" s="252"/>
      <c r="AAK77" s="252"/>
      <c r="AAL77" s="252"/>
      <c r="AAM77" s="252"/>
      <c r="AAN77" s="252"/>
      <c r="AAO77" s="252"/>
      <c r="AAP77" s="252"/>
      <c r="AAQ77" s="252"/>
      <c r="AAR77" s="252"/>
      <c r="AAS77" s="252"/>
      <c r="AAT77" s="252"/>
      <c r="AAU77" s="252"/>
      <c r="AAV77" s="252"/>
      <c r="AAW77" s="252"/>
      <c r="AAX77" s="252"/>
      <c r="AAY77" s="252"/>
      <c r="AAZ77" s="252"/>
      <c r="ABA77" s="252"/>
      <c r="ABB77" s="252"/>
      <c r="ABC77" s="252"/>
      <c r="ABD77" s="252"/>
      <c r="ABE77" s="252"/>
      <c r="ABF77" s="252"/>
      <c r="ABG77" s="252"/>
      <c r="ABH77" s="252"/>
      <c r="ABI77" s="252"/>
      <c r="ABJ77" s="252"/>
      <c r="ABK77" s="252"/>
      <c r="ABL77" s="252"/>
      <c r="ABM77" s="252"/>
      <c r="ABN77" s="252"/>
      <c r="ABO77" s="252"/>
      <c r="ABP77" s="252"/>
      <c r="ABQ77" s="252"/>
      <c r="ABR77" s="252"/>
      <c r="ABS77" s="252"/>
      <c r="ABT77" s="252"/>
      <c r="ABU77" s="252"/>
      <c r="ABV77" s="252"/>
      <c r="ABW77" s="252"/>
      <c r="ABX77" s="252"/>
      <c r="ABY77" s="252"/>
      <c r="ABZ77" s="252"/>
      <c r="ACA77" s="252"/>
      <c r="ACB77" s="252"/>
      <c r="ACC77" s="252"/>
      <c r="ACD77" s="252"/>
      <c r="ACE77" s="252"/>
      <c r="ACF77" s="252"/>
      <c r="ACG77" s="252"/>
      <c r="ACH77" s="252"/>
      <c r="ACI77" s="252"/>
      <c r="ACJ77" s="252"/>
      <c r="ACK77" s="252"/>
      <c r="ACL77" s="252"/>
      <c r="ACM77" s="252"/>
      <c r="ACN77" s="252"/>
      <c r="ACO77" s="252"/>
      <c r="ACP77" s="252"/>
      <c r="ACQ77" s="252"/>
      <c r="ACR77" s="252"/>
      <c r="ACS77" s="252"/>
      <c r="ACT77" s="252"/>
      <c r="ACU77" s="252"/>
      <c r="ACV77" s="252"/>
      <c r="ACW77" s="252"/>
      <c r="ACX77" s="252"/>
      <c r="ACY77" s="252"/>
      <c r="ACZ77" s="252"/>
      <c r="ADA77" s="252"/>
      <c r="ADB77" s="252"/>
      <c r="ADC77" s="252"/>
      <c r="ADD77" s="252"/>
      <c r="ADE77" s="252"/>
      <c r="ADF77" s="252"/>
      <c r="ADG77" s="252"/>
      <c r="ADH77" s="252"/>
      <c r="ADI77" s="252"/>
      <c r="ADJ77" s="252"/>
      <c r="ADK77" s="252"/>
      <c r="ADL77" s="252"/>
      <c r="ADM77" s="252"/>
      <c r="ADN77" s="252"/>
      <c r="ADO77" s="252"/>
      <c r="ADP77" s="252"/>
      <c r="ADQ77" s="252"/>
      <c r="ADR77" s="252"/>
      <c r="ADS77" s="252"/>
      <c r="ADT77" s="252"/>
      <c r="ADU77" s="252"/>
      <c r="ADV77" s="252"/>
      <c r="ADW77" s="252"/>
      <c r="ADX77" s="252"/>
      <c r="ADY77" s="252"/>
      <c r="ADZ77" s="252"/>
      <c r="AEA77" s="252"/>
      <c r="AEB77" s="252"/>
      <c r="AEC77" s="252"/>
      <c r="AED77" s="252"/>
      <c r="AEE77" s="252"/>
      <c r="AEF77" s="252"/>
      <c r="AEG77" s="252"/>
      <c r="AEH77" s="252"/>
      <c r="AEI77" s="252"/>
      <c r="AEJ77" s="252"/>
      <c r="AEK77" s="252"/>
      <c r="AEL77" s="252"/>
      <c r="AEM77" s="252"/>
      <c r="AEN77" s="252"/>
      <c r="AEO77" s="252"/>
      <c r="AEP77" s="252"/>
      <c r="AEQ77" s="252"/>
      <c r="AER77" s="252"/>
      <c r="AES77" s="252"/>
      <c r="AET77" s="252"/>
      <c r="AEU77" s="252"/>
      <c r="AEV77" s="252"/>
      <c r="AEW77" s="252"/>
      <c r="AEX77" s="252"/>
      <c r="AEY77" s="252"/>
      <c r="AEZ77" s="252"/>
      <c r="AFA77" s="252"/>
      <c r="AFB77" s="252"/>
      <c r="AFC77" s="252"/>
      <c r="AFD77" s="252"/>
      <c r="AFE77" s="252"/>
      <c r="AFF77" s="252"/>
      <c r="AFG77" s="252"/>
      <c r="AFH77" s="252"/>
      <c r="AFI77" s="252"/>
      <c r="AFJ77" s="252"/>
      <c r="AFK77" s="252"/>
      <c r="AFL77" s="252"/>
      <c r="AFM77" s="252"/>
      <c r="AFN77" s="252"/>
      <c r="AFO77" s="252"/>
      <c r="AFP77" s="252"/>
      <c r="AFQ77" s="252"/>
      <c r="AFR77" s="252"/>
      <c r="AFS77" s="252"/>
      <c r="AFT77" s="252"/>
      <c r="AFU77" s="252"/>
      <c r="AFV77" s="252"/>
      <c r="AFW77" s="252"/>
      <c r="AFX77" s="252"/>
      <c r="AFY77" s="252"/>
      <c r="AFZ77" s="252"/>
      <c r="AGA77" s="252"/>
      <c r="AGB77" s="252"/>
      <c r="AGC77" s="252"/>
      <c r="AGD77" s="252"/>
      <c r="AGE77" s="252"/>
      <c r="AGF77" s="252"/>
      <c r="AGG77" s="252"/>
      <c r="AGH77" s="252"/>
      <c r="AGI77" s="252"/>
      <c r="AGJ77" s="252"/>
      <c r="AGK77" s="252"/>
      <c r="AGL77" s="252"/>
      <c r="AGM77" s="252"/>
      <c r="AGN77" s="252"/>
      <c r="AGO77" s="252"/>
      <c r="AGP77" s="252"/>
      <c r="AGQ77" s="252"/>
      <c r="AGR77" s="252"/>
      <c r="AGS77" s="252"/>
      <c r="AGT77" s="252"/>
      <c r="AGU77" s="252"/>
      <c r="AGV77" s="252"/>
      <c r="AGW77" s="252"/>
      <c r="AGX77" s="252"/>
      <c r="AGY77" s="252"/>
      <c r="AGZ77" s="252"/>
      <c r="AHA77" s="252"/>
      <c r="AHB77" s="252"/>
      <c r="AHC77" s="252"/>
      <c r="AHD77" s="252"/>
      <c r="AHE77" s="252"/>
      <c r="AHF77" s="252"/>
      <c r="AHG77" s="252"/>
      <c r="AHH77" s="252"/>
      <c r="AHI77" s="252"/>
      <c r="AHJ77" s="252"/>
      <c r="AHK77" s="252"/>
      <c r="AHL77" s="252"/>
      <c r="AHM77" s="252"/>
      <c r="AHN77" s="252"/>
      <c r="AHO77" s="252"/>
      <c r="AHP77" s="252"/>
      <c r="AHQ77" s="252"/>
      <c r="AHR77" s="252"/>
      <c r="AHS77" s="252"/>
      <c r="AHT77" s="252"/>
      <c r="AHU77" s="252"/>
      <c r="AHV77" s="252"/>
      <c r="AHW77" s="252"/>
      <c r="AHX77" s="252"/>
      <c r="AHY77" s="252"/>
      <c r="AHZ77" s="252"/>
      <c r="AIA77" s="252"/>
      <c r="AIB77" s="252"/>
      <c r="AIC77" s="252"/>
      <c r="AID77" s="252"/>
      <c r="AIE77" s="252"/>
      <c r="AIF77" s="252"/>
      <c r="AIG77" s="252"/>
      <c r="AIH77" s="252"/>
      <c r="AII77" s="252"/>
      <c r="AIJ77" s="252"/>
      <c r="AIK77" s="252"/>
      <c r="AIL77" s="252"/>
      <c r="AIM77" s="252"/>
      <c r="AIN77" s="252"/>
      <c r="AIO77" s="252"/>
      <c r="AIP77" s="252"/>
      <c r="AIQ77" s="252"/>
      <c r="AIR77" s="252"/>
      <c r="AIS77" s="252"/>
      <c r="AIT77" s="252"/>
      <c r="AIU77" s="252"/>
      <c r="AIV77" s="252"/>
      <c r="AIW77" s="252"/>
      <c r="AIX77" s="252"/>
      <c r="AIY77" s="252"/>
      <c r="AIZ77" s="252"/>
      <c r="AJA77" s="252"/>
      <c r="AJB77" s="252"/>
      <c r="AJC77" s="252"/>
      <c r="AJD77" s="252"/>
      <c r="AJE77" s="252"/>
      <c r="AJF77" s="252"/>
      <c r="AJG77" s="252"/>
      <c r="AJH77" s="252"/>
      <c r="AJI77" s="252"/>
      <c r="AJJ77" s="252"/>
      <c r="AJK77" s="252"/>
      <c r="AJL77" s="252"/>
      <c r="AJM77" s="252"/>
      <c r="AJN77" s="252"/>
      <c r="AJO77" s="252"/>
      <c r="AJP77" s="252"/>
      <c r="AJQ77" s="252"/>
      <c r="AJR77" s="252"/>
      <c r="AJS77" s="252"/>
      <c r="AJT77" s="252"/>
      <c r="AJU77" s="252"/>
      <c r="AJV77" s="252"/>
      <c r="AJW77" s="252"/>
      <c r="AJX77" s="252"/>
      <c r="AJY77" s="252"/>
      <c r="AJZ77" s="252"/>
      <c r="AKA77" s="252"/>
      <c r="AKB77" s="252"/>
      <c r="AKC77" s="252"/>
      <c r="AKD77" s="252"/>
      <c r="AKE77" s="252"/>
      <c r="AKF77" s="252"/>
      <c r="AKG77" s="252"/>
      <c r="AKH77" s="252"/>
      <c r="AKI77" s="252"/>
      <c r="AKJ77" s="252"/>
      <c r="AKK77" s="252"/>
      <c r="AKL77" s="252"/>
      <c r="AKM77" s="252"/>
      <c r="AKN77" s="252"/>
      <c r="AKO77" s="252"/>
      <c r="AKP77" s="252"/>
      <c r="AKQ77" s="252"/>
      <c r="AKR77" s="252"/>
      <c r="AKS77" s="252"/>
      <c r="AKT77" s="252"/>
      <c r="AKU77" s="252"/>
      <c r="AKV77" s="252"/>
      <c r="AKW77" s="252"/>
      <c r="AKX77" s="252"/>
      <c r="AKY77" s="252"/>
      <c r="AKZ77" s="252"/>
      <c r="ALA77" s="252"/>
      <c r="ALB77" s="252"/>
      <c r="ALC77" s="252"/>
      <c r="ALD77" s="252"/>
      <c r="ALE77" s="252"/>
      <c r="ALF77" s="252"/>
      <c r="ALG77" s="252"/>
      <c r="ALH77" s="252"/>
      <c r="ALI77" s="252"/>
      <c r="ALJ77" s="252"/>
      <c r="ALK77" s="252"/>
      <c r="ALL77" s="252"/>
      <c r="ALM77" s="252"/>
      <c r="ALN77" s="252"/>
      <c r="ALO77" s="252"/>
      <c r="ALP77" s="252"/>
      <c r="ALQ77" s="252"/>
      <c r="ALR77" s="252"/>
      <c r="ALS77" s="252"/>
    </row>
    <row r="78" spans="1:1007" s="3" customFormat="1" x14ac:dyDescent="0.2">
      <c r="A78" s="749" t="s">
        <v>529</v>
      </c>
      <c r="B78" s="392"/>
      <c r="C78" s="392"/>
      <c r="D78" s="392"/>
      <c r="E78" s="744">
        <v>1045</v>
      </c>
      <c r="F78" s="730"/>
      <c r="G78" s="730"/>
      <c r="H78" s="730"/>
      <c r="I78" s="730"/>
      <c r="J78" s="252"/>
      <c r="K78" s="252"/>
      <c r="L78" s="252"/>
      <c r="M78" s="252"/>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2"/>
      <c r="BQ78" s="252"/>
      <c r="BR78" s="252"/>
      <c r="BS78" s="252"/>
      <c r="BT78" s="252"/>
      <c r="BU78" s="252"/>
      <c r="BV78" s="252"/>
      <c r="BW78" s="252"/>
      <c r="BX78" s="252"/>
      <c r="BY78" s="252"/>
      <c r="BZ78" s="252"/>
      <c r="CA78" s="252"/>
      <c r="CB78" s="252"/>
      <c r="CC78" s="252"/>
      <c r="CD78" s="252"/>
      <c r="CE78" s="252"/>
      <c r="CF78" s="252"/>
      <c r="CG78" s="252"/>
      <c r="CH78" s="252"/>
      <c r="CI78" s="252"/>
      <c r="CJ78" s="252"/>
      <c r="CK78" s="252"/>
      <c r="CL78" s="252"/>
      <c r="CM78" s="252"/>
      <c r="CN78" s="252"/>
      <c r="CO78" s="252"/>
      <c r="CP78" s="252"/>
      <c r="CQ78" s="252"/>
      <c r="CR78" s="252"/>
      <c r="CS78" s="252"/>
      <c r="CT78" s="252"/>
      <c r="CU78" s="252"/>
      <c r="CV78" s="252"/>
      <c r="CW78" s="252"/>
      <c r="CX78" s="252"/>
      <c r="CY78" s="252"/>
      <c r="CZ78" s="252"/>
      <c r="DA78" s="252"/>
      <c r="DB78" s="252"/>
      <c r="DC78" s="252"/>
      <c r="DD78" s="252"/>
      <c r="DE78" s="252"/>
      <c r="DF78" s="252"/>
      <c r="DG78" s="252"/>
      <c r="DH78" s="252"/>
      <c r="DI78" s="252"/>
      <c r="DJ78" s="252"/>
      <c r="DK78" s="252"/>
      <c r="DL78" s="252"/>
      <c r="DM78" s="252"/>
      <c r="DN78" s="252"/>
      <c r="DO78" s="252"/>
      <c r="DP78" s="252"/>
      <c r="DQ78" s="252"/>
      <c r="DR78" s="252"/>
      <c r="DS78" s="252"/>
      <c r="DT78" s="252"/>
      <c r="DU78" s="252"/>
      <c r="DV78" s="252"/>
      <c r="DW78" s="252"/>
      <c r="DX78" s="252"/>
      <c r="DY78" s="252"/>
      <c r="DZ78" s="252"/>
      <c r="EA78" s="252"/>
      <c r="EB78" s="252"/>
      <c r="EC78" s="252"/>
      <c r="ED78" s="252"/>
      <c r="EE78" s="252"/>
      <c r="EF78" s="252"/>
      <c r="EG78" s="252"/>
      <c r="EH78" s="252"/>
      <c r="EI78" s="252"/>
      <c r="EJ78" s="252"/>
      <c r="EK78" s="252"/>
      <c r="EL78" s="252"/>
      <c r="EM78" s="252"/>
      <c r="EN78" s="252"/>
      <c r="EO78" s="252"/>
      <c r="EP78" s="252"/>
      <c r="EQ78" s="252"/>
      <c r="ER78" s="252"/>
      <c r="ES78" s="252"/>
      <c r="ET78" s="252"/>
      <c r="EU78" s="252"/>
      <c r="EV78" s="252"/>
      <c r="EW78" s="252"/>
      <c r="EX78" s="252"/>
      <c r="EY78" s="252"/>
      <c r="EZ78" s="252"/>
      <c r="FA78" s="252"/>
      <c r="FB78" s="252"/>
      <c r="FC78" s="252"/>
      <c r="FD78" s="252"/>
      <c r="FE78" s="252"/>
      <c r="FF78" s="252"/>
      <c r="FG78" s="252"/>
      <c r="FH78" s="252"/>
      <c r="FI78" s="252"/>
      <c r="FJ78" s="252"/>
      <c r="FK78" s="252"/>
      <c r="FL78" s="252"/>
      <c r="FM78" s="252"/>
      <c r="FN78" s="252"/>
      <c r="FO78" s="252"/>
      <c r="FP78" s="252"/>
      <c r="FQ78" s="252"/>
      <c r="FR78" s="252"/>
      <c r="FS78" s="252"/>
      <c r="FT78" s="252"/>
      <c r="FU78" s="252"/>
      <c r="FV78" s="252"/>
      <c r="FW78" s="252"/>
      <c r="FX78" s="252"/>
      <c r="FY78" s="252"/>
      <c r="FZ78" s="252"/>
      <c r="GA78" s="252"/>
      <c r="GB78" s="252"/>
      <c r="GC78" s="252"/>
      <c r="GD78" s="252"/>
      <c r="GE78" s="252"/>
      <c r="GF78" s="252"/>
      <c r="GG78" s="252"/>
      <c r="GH78" s="252"/>
      <c r="GI78" s="252"/>
      <c r="GJ78" s="252"/>
      <c r="GK78" s="252"/>
      <c r="GL78" s="252"/>
      <c r="GM78" s="252"/>
      <c r="GN78" s="252"/>
      <c r="GO78" s="252"/>
      <c r="GP78" s="252"/>
      <c r="GQ78" s="252"/>
      <c r="GR78" s="252"/>
      <c r="GS78" s="252"/>
      <c r="GT78" s="252"/>
      <c r="GU78" s="252"/>
      <c r="GV78" s="252"/>
      <c r="GW78" s="252"/>
      <c r="GX78" s="252"/>
      <c r="GY78" s="252"/>
      <c r="GZ78" s="252"/>
      <c r="HA78" s="252"/>
      <c r="HB78" s="252"/>
      <c r="HC78" s="252"/>
      <c r="HD78" s="252"/>
      <c r="HE78" s="252"/>
      <c r="HF78" s="252"/>
      <c r="HG78" s="252"/>
      <c r="HH78" s="252"/>
      <c r="HI78" s="252"/>
      <c r="HJ78" s="252"/>
      <c r="HK78" s="252"/>
      <c r="HL78" s="252"/>
      <c r="HM78" s="252"/>
      <c r="HN78" s="252"/>
      <c r="HO78" s="252"/>
      <c r="HP78" s="252"/>
      <c r="HQ78" s="252"/>
      <c r="HR78" s="252"/>
      <c r="HS78" s="252"/>
      <c r="HT78" s="252"/>
      <c r="HU78" s="252"/>
      <c r="HV78" s="252"/>
      <c r="HW78" s="252"/>
      <c r="HX78" s="252"/>
      <c r="HY78" s="252"/>
      <c r="HZ78" s="252"/>
      <c r="IA78" s="252"/>
      <c r="IB78" s="252"/>
      <c r="IC78" s="252"/>
      <c r="ID78" s="252"/>
      <c r="IE78" s="252"/>
      <c r="IF78" s="252"/>
      <c r="IG78" s="252"/>
      <c r="IH78" s="252"/>
      <c r="II78" s="252"/>
      <c r="IJ78" s="252"/>
      <c r="IK78" s="252"/>
      <c r="IL78" s="252"/>
      <c r="IM78" s="252"/>
      <c r="IN78" s="252"/>
      <c r="IO78" s="252"/>
      <c r="IP78" s="252"/>
      <c r="IQ78" s="252"/>
      <c r="IR78" s="252"/>
      <c r="IS78" s="252"/>
      <c r="IT78" s="252"/>
      <c r="IU78" s="252"/>
      <c r="IV78" s="252"/>
      <c r="IW78" s="252"/>
      <c r="IX78" s="252"/>
      <c r="IY78" s="252"/>
      <c r="IZ78" s="252"/>
      <c r="JA78" s="252"/>
      <c r="JB78" s="252"/>
      <c r="JC78" s="252"/>
      <c r="JD78" s="252"/>
      <c r="JE78" s="252"/>
      <c r="JF78" s="252"/>
      <c r="JG78" s="252"/>
      <c r="JH78" s="252"/>
      <c r="JI78" s="252"/>
      <c r="JJ78" s="252"/>
      <c r="JK78" s="252"/>
      <c r="JL78" s="252"/>
      <c r="JM78" s="252"/>
      <c r="JN78" s="252"/>
      <c r="JO78" s="252"/>
      <c r="JP78" s="252"/>
      <c r="JQ78" s="252"/>
      <c r="JR78" s="252"/>
      <c r="JS78" s="252"/>
      <c r="JT78" s="252"/>
      <c r="JU78" s="252"/>
      <c r="JV78" s="252"/>
      <c r="JW78" s="252"/>
      <c r="JX78" s="252"/>
      <c r="JY78" s="252"/>
      <c r="JZ78" s="252"/>
      <c r="KA78" s="252"/>
      <c r="KB78" s="252"/>
      <c r="KC78" s="252"/>
      <c r="KD78" s="252"/>
      <c r="KE78" s="252"/>
      <c r="KF78" s="252"/>
      <c r="KG78" s="252"/>
      <c r="KH78" s="252"/>
      <c r="KI78" s="252"/>
      <c r="KJ78" s="252"/>
      <c r="KK78" s="252"/>
      <c r="KL78" s="252"/>
      <c r="KM78" s="252"/>
      <c r="KN78" s="252"/>
      <c r="KO78" s="252"/>
      <c r="KP78" s="252"/>
      <c r="KQ78" s="252"/>
      <c r="KR78" s="252"/>
      <c r="KS78" s="252"/>
      <c r="KT78" s="252"/>
      <c r="KU78" s="252"/>
      <c r="KV78" s="252"/>
      <c r="KW78" s="252"/>
      <c r="KX78" s="252"/>
      <c r="KY78" s="252"/>
      <c r="KZ78" s="252"/>
      <c r="LA78" s="252"/>
      <c r="LB78" s="252"/>
      <c r="LC78" s="252"/>
      <c r="LD78" s="252"/>
      <c r="LE78" s="252"/>
      <c r="LF78" s="252"/>
      <c r="LG78" s="252"/>
      <c r="LH78" s="252"/>
      <c r="LI78" s="252"/>
      <c r="LJ78" s="252"/>
      <c r="LK78" s="252"/>
      <c r="LL78" s="252"/>
      <c r="LM78" s="252"/>
      <c r="LN78" s="252"/>
      <c r="LO78" s="252"/>
      <c r="LP78" s="252"/>
      <c r="LQ78" s="252"/>
      <c r="LR78" s="252"/>
      <c r="LS78" s="252"/>
      <c r="LT78" s="252"/>
      <c r="LU78" s="252"/>
      <c r="LV78" s="252"/>
      <c r="LW78" s="252"/>
      <c r="LX78" s="252"/>
      <c r="LY78" s="252"/>
      <c r="LZ78" s="252"/>
      <c r="MA78" s="252"/>
      <c r="MB78" s="252"/>
      <c r="MC78" s="252"/>
      <c r="MD78" s="252"/>
      <c r="ME78" s="252"/>
      <c r="MF78" s="252"/>
      <c r="MG78" s="252"/>
      <c r="MH78" s="252"/>
      <c r="MI78" s="252"/>
      <c r="MJ78" s="252"/>
      <c r="MK78" s="252"/>
      <c r="ML78" s="252"/>
      <c r="MM78" s="252"/>
      <c r="MN78" s="252"/>
      <c r="MO78" s="252"/>
      <c r="MP78" s="252"/>
      <c r="MQ78" s="252"/>
      <c r="MR78" s="252"/>
      <c r="MS78" s="252"/>
      <c r="MT78" s="252"/>
      <c r="MU78" s="252"/>
      <c r="MV78" s="252"/>
      <c r="MW78" s="252"/>
      <c r="MX78" s="252"/>
      <c r="MY78" s="252"/>
      <c r="MZ78" s="252"/>
      <c r="NA78" s="252"/>
      <c r="NB78" s="252"/>
      <c r="NC78" s="252"/>
      <c r="ND78" s="252"/>
      <c r="NE78" s="252"/>
      <c r="NF78" s="252"/>
      <c r="NG78" s="252"/>
      <c r="NH78" s="252"/>
      <c r="NI78" s="252"/>
      <c r="NJ78" s="252"/>
      <c r="NK78" s="252"/>
      <c r="NL78" s="252"/>
      <c r="NM78" s="252"/>
      <c r="NN78" s="252"/>
      <c r="NO78" s="252"/>
      <c r="NP78" s="252"/>
      <c r="NQ78" s="252"/>
      <c r="NR78" s="252"/>
      <c r="NS78" s="252"/>
      <c r="NT78" s="252"/>
      <c r="NU78" s="252"/>
      <c r="NV78" s="252"/>
      <c r="NW78" s="252"/>
      <c r="NX78" s="252"/>
      <c r="NY78" s="252"/>
      <c r="NZ78" s="252"/>
      <c r="OA78" s="252"/>
      <c r="OB78" s="252"/>
      <c r="OC78" s="252"/>
      <c r="OD78" s="252"/>
      <c r="OE78" s="252"/>
      <c r="OF78" s="252"/>
      <c r="OG78" s="252"/>
      <c r="OH78" s="252"/>
      <c r="OI78" s="252"/>
      <c r="OJ78" s="252"/>
      <c r="OK78" s="252"/>
      <c r="OL78" s="252"/>
      <c r="OM78" s="252"/>
      <c r="ON78" s="252"/>
      <c r="OO78" s="252"/>
      <c r="OP78" s="252"/>
      <c r="OQ78" s="252"/>
      <c r="OR78" s="252"/>
      <c r="OS78" s="252"/>
      <c r="OT78" s="252"/>
      <c r="OU78" s="252"/>
      <c r="OV78" s="252"/>
      <c r="OW78" s="252"/>
      <c r="OX78" s="252"/>
      <c r="OY78" s="252"/>
      <c r="OZ78" s="252"/>
      <c r="PA78" s="252"/>
      <c r="PB78" s="252"/>
      <c r="PC78" s="252"/>
      <c r="PD78" s="252"/>
      <c r="PE78" s="252"/>
      <c r="PF78" s="252"/>
      <c r="PG78" s="252"/>
      <c r="PH78" s="252"/>
      <c r="PI78" s="252"/>
      <c r="PJ78" s="252"/>
      <c r="PK78" s="252"/>
      <c r="PL78" s="252"/>
      <c r="PM78" s="252"/>
      <c r="PN78" s="252"/>
      <c r="PO78" s="252"/>
      <c r="PP78" s="252"/>
      <c r="PQ78" s="252"/>
      <c r="PR78" s="252"/>
      <c r="PS78" s="252"/>
      <c r="PT78" s="252"/>
      <c r="PU78" s="252"/>
      <c r="PV78" s="252"/>
      <c r="PW78" s="252"/>
      <c r="PX78" s="252"/>
      <c r="PY78" s="252"/>
      <c r="PZ78" s="252"/>
      <c r="QA78" s="252"/>
      <c r="QB78" s="252"/>
      <c r="QC78" s="252"/>
      <c r="QD78" s="252"/>
      <c r="QE78" s="252"/>
      <c r="QF78" s="252"/>
      <c r="QG78" s="252"/>
      <c r="QH78" s="252"/>
      <c r="QI78" s="252"/>
      <c r="QJ78" s="252"/>
      <c r="QK78" s="252"/>
      <c r="QL78" s="252"/>
      <c r="QM78" s="252"/>
      <c r="QN78" s="252"/>
      <c r="QO78" s="252"/>
      <c r="QP78" s="252"/>
      <c r="QQ78" s="252"/>
      <c r="QR78" s="252"/>
      <c r="QS78" s="252"/>
      <c r="QT78" s="252"/>
      <c r="QU78" s="252"/>
      <c r="QV78" s="252"/>
      <c r="QW78" s="252"/>
      <c r="QX78" s="252"/>
      <c r="QY78" s="252"/>
      <c r="QZ78" s="252"/>
      <c r="RA78" s="252"/>
      <c r="RB78" s="252"/>
      <c r="RC78" s="252"/>
      <c r="RD78" s="252"/>
      <c r="RE78" s="252"/>
      <c r="RF78" s="252"/>
      <c r="RG78" s="252"/>
      <c r="RH78" s="252"/>
      <c r="RI78" s="252"/>
      <c r="RJ78" s="252"/>
      <c r="RK78" s="252"/>
      <c r="RL78" s="252"/>
      <c r="RM78" s="252"/>
      <c r="RN78" s="252"/>
      <c r="RO78" s="252"/>
      <c r="RP78" s="252"/>
      <c r="RQ78" s="252"/>
      <c r="RR78" s="252"/>
      <c r="RS78" s="252"/>
      <c r="RT78" s="252"/>
      <c r="RU78" s="252"/>
      <c r="RV78" s="252"/>
      <c r="RW78" s="252"/>
      <c r="RX78" s="252"/>
      <c r="RY78" s="252"/>
      <c r="RZ78" s="252"/>
      <c r="SA78" s="252"/>
      <c r="SB78" s="252"/>
      <c r="SC78" s="252"/>
      <c r="SD78" s="252"/>
      <c r="SE78" s="252"/>
      <c r="SF78" s="252"/>
      <c r="SG78" s="252"/>
      <c r="SH78" s="252"/>
      <c r="SI78" s="252"/>
      <c r="SJ78" s="252"/>
      <c r="SK78" s="252"/>
      <c r="SL78" s="252"/>
      <c r="SM78" s="252"/>
      <c r="SN78" s="252"/>
      <c r="SO78" s="252"/>
      <c r="SP78" s="252"/>
      <c r="SQ78" s="252"/>
      <c r="SR78" s="252"/>
      <c r="SS78" s="252"/>
      <c r="ST78" s="252"/>
      <c r="SU78" s="252"/>
      <c r="SV78" s="252"/>
      <c r="SW78" s="252"/>
      <c r="SX78" s="252"/>
      <c r="SY78" s="252"/>
      <c r="SZ78" s="252"/>
      <c r="TA78" s="252"/>
      <c r="TB78" s="252"/>
      <c r="TC78" s="252"/>
      <c r="TD78" s="252"/>
      <c r="TE78" s="252"/>
      <c r="TF78" s="252"/>
      <c r="TG78" s="252"/>
      <c r="TH78" s="252"/>
      <c r="TI78" s="252"/>
      <c r="TJ78" s="252"/>
      <c r="TK78" s="252"/>
      <c r="TL78" s="252"/>
      <c r="TM78" s="252"/>
      <c r="TN78" s="252"/>
      <c r="TO78" s="252"/>
      <c r="TP78" s="252"/>
      <c r="TQ78" s="252"/>
      <c r="TR78" s="252"/>
      <c r="TS78" s="252"/>
      <c r="TT78" s="252"/>
      <c r="TU78" s="252"/>
      <c r="TV78" s="252"/>
      <c r="TW78" s="252"/>
      <c r="TX78" s="252"/>
      <c r="TY78" s="252"/>
      <c r="TZ78" s="252"/>
      <c r="UA78" s="252"/>
      <c r="UB78" s="252"/>
      <c r="UC78" s="252"/>
      <c r="UD78" s="252"/>
      <c r="UE78" s="252"/>
      <c r="UF78" s="252"/>
      <c r="UG78" s="252"/>
      <c r="UH78" s="252"/>
      <c r="UI78" s="252"/>
      <c r="UJ78" s="252"/>
      <c r="UK78" s="252"/>
      <c r="UL78" s="252"/>
      <c r="UM78" s="252"/>
      <c r="UN78" s="252"/>
      <c r="UO78" s="252"/>
      <c r="UP78" s="252"/>
      <c r="UQ78" s="252"/>
      <c r="UR78" s="252"/>
      <c r="US78" s="252"/>
      <c r="UT78" s="252"/>
      <c r="UU78" s="252"/>
      <c r="UV78" s="252"/>
      <c r="UW78" s="252"/>
      <c r="UX78" s="252"/>
      <c r="UY78" s="252"/>
      <c r="UZ78" s="252"/>
      <c r="VA78" s="252"/>
      <c r="VB78" s="252"/>
      <c r="VC78" s="252"/>
      <c r="VD78" s="252"/>
      <c r="VE78" s="252"/>
      <c r="VF78" s="252"/>
      <c r="VG78" s="252"/>
      <c r="VH78" s="252"/>
      <c r="VI78" s="252"/>
      <c r="VJ78" s="252"/>
      <c r="VK78" s="252"/>
      <c r="VL78" s="252"/>
      <c r="VM78" s="252"/>
      <c r="VN78" s="252"/>
      <c r="VO78" s="252"/>
      <c r="VP78" s="252"/>
      <c r="VQ78" s="252"/>
      <c r="VR78" s="252"/>
      <c r="VS78" s="252"/>
      <c r="VT78" s="252"/>
      <c r="VU78" s="252"/>
      <c r="VV78" s="252"/>
      <c r="VW78" s="252"/>
      <c r="VX78" s="252"/>
      <c r="VY78" s="252"/>
      <c r="VZ78" s="252"/>
      <c r="WA78" s="252"/>
      <c r="WB78" s="252"/>
      <c r="WC78" s="252"/>
      <c r="WD78" s="252"/>
      <c r="WE78" s="252"/>
      <c r="WF78" s="252"/>
      <c r="WG78" s="252"/>
      <c r="WH78" s="252"/>
      <c r="WI78" s="252"/>
      <c r="WJ78" s="252"/>
      <c r="WK78" s="252"/>
      <c r="WL78" s="252"/>
      <c r="WM78" s="252"/>
      <c r="WN78" s="252"/>
      <c r="WO78" s="252"/>
      <c r="WP78" s="252"/>
      <c r="WQ78" s="252"/>
      <c r="WR78" s="252"/>
      <c r="WS78" s="252"/>
      <c r="WT78" s="252"/>
      <c r="WU78" s="252"/>
      <c r="WV78" s="252"/>
      <c r="WW78" s="252"/>
      <c r="WX78" s="252"/>
      <c r="WY78" s="252"/>
      <c r="WZ78" s="252"/>
      <c r="XA78" s="252"/>
      <c r="XB78" s="252"/>
      <c r="XC78" s="252"/>
      <c r="XD78" s="252"/>
      <c r="XE78" s="252"/>
      <c r="XF78" s="252"/>
      <c r="XG78" s="252"/>
      <c r="XH78" s="252"/>
      <c r="XI78" s="252"/>
      <c r="XJ78" s="252"/>
      <c r="XK78" s="252"/>
      <c r="XL78" s="252"/>
      <c r="XM78" s="252"/>
      <c r="XN78" s="252"/>
      <c r="XO78" s="252"/>
      <c r="XP78" s="252"/>
      <c r="XQ78" s="252"/>
      <c r="XR78" s="252"/>
      <c r="XS78" s="252"/>
      <c r="XT78" s="252"/>
      <c r="XU78" s="252"/>
      <c r="XV78" s="252"/>
      <c r="XW78" s="252"/>
      <c r="XX78" s="252"/>
      <c r="XY78" s="252"/>
      <c r="XZ78" s="252"/>
      <c r="YA78" s="252"/>
      <c r="YB78" s="252"/>
      <c r="YC78" s="252"/>
      <c r="YD78" s="252"/>
      <c r="YE78" s="252"/>
      <c r="YF78" s="252"/>
      <c r="YG78" s="252"/>
      <c r="YH78" s="252"/>
      <c r="YI78" s="252"/>
      <c r="YJ78" s="252"/>
      <c r="YK78" s="252"/>
      <c r="YL78" s="252"/>
      <c r="YM78" s="252"/>
      <c r="YN78" s="252"/>
      <c r="YO78" s="252"/>
      <c r="YP78" s="252"/>
      <c r="YQ78" s="252"/>
      <c r="YR78" s="252"/>
      <c r="YS78" s="252"/>
      <c r="YT78" s="252"/>
      <c r="YU78" s="252"/>
      <c r="YV78" s="252"/>
      <c r="YW78" s="252"/>
      <c r="YX78" s="252"/>
      <c r="YY78" s="252"/>
      <c r="YZ78" s="252"/>
      <c r="ZA78" s="252"/>
      <c r="ZB78" s="252"/>
      <c r="ZC78" s="252"/>
      <c r="ZD78" s="252"/>
      <c r="ZE78" s="252"/>
      <c r="ZF78" s="252"/>
      <c r="ZG78" s="252"/>
      <c r="ZH78" s="252"/>
      <c r="ZI78" s="252"/>
      <c r="ZJ78" s="252"/>
      <c r="ZK78" s="252"/>
      <c r="ZL78" s="252"/>
      <c r="ZM78" s="252"/>
      <c r="ZN78" s="252"/>
      <c r="ZO78" s="252"/>
      <c r="ZP78" s="252"/>
      <c r="ZQ78" s="252"/>
      <c r="ZR78" s="252"/>
      <c r="ZS78" s="252"/>
      <c r="ZT78" s="252"/>
      <c r="ZU78" s="252"/>
      <c r="ZV78" s="252"/>
      <c r="ZW78" s="252"/>
      <c r="ZX78" s="252"/>
      <c r="ZY78" s="252"/>
      <c r="ZZ78" s="252"/>
      <c r="AAA78" s="252"/>
      <c r="AAB78" s="252"/>
      <c r="AAC78" s="252"/>
      <c r="AAD78" s="252"/>
      <c r="AAE78" s="252"/>
      <c r="AAF78" s="252"/>
      <c r="AAG78" s="252"/>
      <c r="AAH78" s="252"/>
      <c r="AAI78" s="252"/>
      <c r="AAJ78" s="252"/>
      <c r="AAK78" s="252"/>
      <c r="AAL78" s="252"/>
      <c r="AAM78" s="252"/>
      <c r="AAN78" s="252"/>
      <c r="AAO78" s="252"/>
      <c r="AAP78" s="252"/>
      <c r="AAQ78" s="252"/>
      <c r="AAR78" s="252"/>
      <c r="AAS78" s="252"/>
      <c r="AAT78" s="252"/>
      <c r="AAU78" s="252"/>
      <c r="AAV78" s="252"/>
      <c r="AAW78" s="252"/>
      <c r="AAX78" s="252"/>
      <c r="AAY78" s="252"/>
      <c r="AAZ78" s="252"/>
      <c r="ABA78" s="252"/>
      <c r="ABB78" s="252"/>
      <c r="ABC78" s="252"/>
      <c r="ABD78" s="252"/>
      <c r="ABE78" s="252"/>
      <c r="ABF78" s="252"/>
      <c r="ABG78" s="252"/>
      <c r="ABH78" s="252"/>
      <c r="ABI78" s="252"/>
      <c r="ABJ78" s="252"/>
      <c r="ABK78" s="252"/>
      <c r="ABL78" s="252"/>
      <c r="ABM78" s="252"/>
      <c r="ABN78" s="252"/>
      <c r="ABO78" s="252"/>
      <c r="ABP78" s="252"/>
      <c r="ABQ78" s="252"/>
      <c r="ABR78" s="252"/>
      <c r="ABS78" s="252"/>
      <c r="ABT78" s="252"/>
      <c r="ABU78" s="252"/>
      <c r="ABV78" s="252"/>
      <c r="ABW78" s="252"/>
      <c r="ABX78" s="252"/>
      <c r="ABY78" s="252"/>
      <c r="ABZ78" s="252"/>
      <c r="ACA78" s="252"/>
      <c r="ACB78" s="252"/>
      <c r="ACC78" s="252"/>
      <c r="ACD78" s="252"/>
      <c r="ACE78" s="252"/>
      <c r="ACF78" s="252"/>
      <c r="ACG78" s="252"/>
      <c r="ACH78" s="252"/>
      <c r="ACI78" s="252"/>
      <c r="ACJ78" s="252"/>
      <c r="ACK78" s="252"/>
      <c r="ACL78" s="252"/>
      <c r="ACM78" s="252"/>
      <c r="ACN78" s="252"/>
      <c r="ACO78" s="252"/>
      <c r="ACP78" s="252"/>
      <c r="ACQ78" s="252"/>
      <c r="ACR78" s="252"/>
      <c r="ACS78" s="252"/>
      <c r="ACT78" s="252"/>
      <c r="ACU78" s="252"/>
      <c r="ACV78" s="252"/>
      <c r="ACW78" s="252"/>
      <c r="ACX78" s="252"/>
      <c r="ACY78" s="252"/>
      <c r="ACZ78" s="252"/>
      <c r="ADA78" s="252"/>
      <c r="ADB78" s="252"/>
      <c r="ADC78" s="252"/>
      <c r="ADD78" s="252"/>
      <c r="ADE78" s="252"/>
      <c r="ADF78" s="252"/>
      <c r="ADG78" s="252"/>
      <c r="ADH78" s="252"/>
      <c r="ADI78" s="252"/>
      <c r="ADJ78" s="252"/>
      <c r="ADK78" s="252"/>
      <c r="ADL78" s="252"/>
      <c r="ADM78" s="252"/>
      <c r="ADN78" s="252"/>
      <c r="ADO78" s="252"/>
      <c r="ADP78" s="252"/>
      <c r="ADQ78" s="252"/>
      <c r="ADR78" s="252"/>
      <c r="ADS78" s="252"/>
      <c r="ADT78" s="252"/>
      <c r="ADU78" s="252"/>
      <c r="ADV78" s="252"/>
      <c r="ADW78" s="252"/>
      <c r="ADX78" s="252"/>
      <c r="ADY78" s="252"/>
      <c r="ADZ78" s="252"/>
      <c r="AEA78" s="252"/>
      <c r="AEB78" s="252"/>
      <c r="AEC78" s="252"/>
      <c r="AED78" s="252"/>
      <c r="AEE78" s="252"/>
      <c r="AEF78" s="252"/>
      <c r="AEG78" s="252"/>
      <c r="AEH78" s="252"/>
      <c r="AEI78" s="252"/>
      <c r="AEJ78" s="252"/>
      <c r="AEK78" s="252"/>
      <c r="AEL78" s="252"/>
      <c r="AEM78" s="252"/>
      <c r="AEN78" s="252"/>
      <c r="AEO78" s="252"/>
      <c r="AEP78" s="252"/>
      <c r="AEQ78" s="252"/>
      <c r="AER78" s="252"/>
      <c r="AES78" s="252"/>
      <c r="AET78" s="252"/>
      <c r="AEU78" s="252"/>
      <c r="AEV78" s="252"/>
      <c r="AEW78" s="252"/>
      <c r="AEX78" s="252"/>
      <c r="AEY78" s="252"/>
      <c r="AEZ78" s="252"/>
      <c r="AFA78" s="252"/>
      <c r="AFB78" s="252"/>
      <c r="AFC78" s="252"/>
      <c r="AFD78" s="252"/>
      <c r="AFE78" s="252"/>
      <c r="AFF78" s="252"/>
      <c r="AFG78" s="252"/>
      <c r="AFH78" s="252"/>
      <c r="AFI78" s="252"/>
      <c r="AFJ78" s="252"/>
      <c r="AFK78" s="252"/>
      <c r="AFL78" s="252"/>
      <c r="AFM78" s="252"/>
      <c r="AFN78" s="252"/>
      <c r="AFO78" s="252"/>
      <c r="AFP78" s="252"/>
      <c r="AFQ78" s="252"/>
      <c r="AFR78" s="252"/>
      <c r="AFS78" s="252"/>
      <c r="AFT78" s="252"/>
      <c r="AFU78" s="252"/>
      <c r="AFV78" s="252"/>
      <c r="AFW78" s="252"/>
      <c r="AFX78" s="252"/>
      <c r="AFY78" s="252"/>
      <c r="AFZ78" s="252"/>
      <c r="AGA78" s="252"/>
      <c r="AGB78" s="252"/>
      <c r="AGC78" s="252"/>
      <c r="AGD78" s="252"/>
      <c r="AGE78" s="252"/>
      <c r="AGF78" s="252"/>
      <c r="AGG78" s="252"/>
      <c r="AGH78" s="252"/>
      <c r="AGI78" s="252"/>
      <c r="AGJ78" s="252"/>
      <c r="AGK78" s="252"/>
      <c r="AGL78" s="252"/>
      <c r="AGM78" s="252"/>
      <c r="AGN78" s="252"/>
      <c r="AGO78" s="252"/>
      <c r="AGP78" s="252"/>
      <c r="AGQ78" s="252"/>
      <c r="AGR78" s="252"/>
      <c r="AGS78" s="252"/>
      <c r="AGT78" s="252"/>
      <c r="AGU78" s="252"/>
      <c r="AGV78" s="252"/>
      <c r="AGW78" s="252"/>
      <c r="AGX78" s="252"/>
      <c r="AGY78" s="252"/>
      <c r="AGZ78" s="252"/>
      <c r="AHA78" s="252"/>
      <c r="AHB78" s="252"/>
      <c r="AHC78" s="252"/>
      <c r="AHD78" s="252"/>
      <c r="AHE78" s="252"/>
      <c r="AHF78" s="252"/>
      <c r="AHG78" s="252"/>
      <c r="AHH78" s="252"/>
      <c r="AHI78" s="252"/>
      <c r="AHJ78" s="252"/>
      <c r="AHK78" s="252"/>
      <c r="AHL78" s="252"/>
      <c r="AHM78" s="252"/>
      <c r="AHN78" s="252"/>
      <c r="AHO78" s="252"/>
      <c r="AHP78" s="252"/>
      <c r="AHQ78" s="252"/>
      <c r="AHR78" s="252"/>
      <c r="AHS78" s="252"/>
      <c r="AHT78" s="252"/>
      <c r="AHU78" s="252"/>
      <c r="AHV78" s="252"/>
      <c r="AHW78" s="252"/>
      <c r="AHX78" s="252"/>
      <c r="AHY78" s="252"/>
      <c r="AHZ78" s="252"/>
      <c r="AIA78" s="252"/>
      <c r="AIB78" s="252"/>
      <c r="AIC78" s="252"/>
      <c r="AID78" s="252"/>
      <c r="AIE78" s="252"/>
      <c r="AIF78" s="252"/>
      <c r="AIG78" s="252"/>
      <c r="AIH78" s="252"/>
      <c r="AII78" s="252"/>
      <c r="AIJ78" s="252"/>
      <c r="AIK78" s="252"/>
      <c r="AIL78" s="252"/>
      <c r="AIM78" s="252"/>
      <c r="AIN78" s="252"/>
      <c r="AIO78" s="252"/>
      <c r="AIP78" s="252"/>
      <c r="AIQ78" s="252"/>
      <c r="AIR78" s="252"/>
      <c r="AIS78" s="252"/>
      <c r="AIT78" s="252"/>
      <c r="AIU78" s="252"/>
      <c r="AIV78" s="252"/>
      <c r="AIW78" s="252"/>
      <c r="AIX78" s="252"/>
      <c r="AIY78" s="252"/>
      <c r="AIZ78" s="252"/>
      <c r="AJA78" s="252"/>
      <c r="AJB78" s="252"/>
      <c r="AJC78" s="252"/>
      <c r="AJD78" s="252"/>
      <c r="AJE78" s="252"/>
      <c r="AJF78" s="252"/>
      <c r="AJG78" s="252"/>
      <c r="AJH78" s="252"/>
      <c r="AJI78" s="252"/>
      <c r="AJJ78" s="252"/>
      <c r="AJK78" s="252"/>
      <c r="AJL78" s="252"/>
      <c r="AJM78" s="252"/>
      <c r="AJN78" s="252"/>
      <c r="AJO78" s="252"/>
      <c r="AJP78" s="252"/>
      <c r="AJQ78" s="252"/>
      <c r="AJR78" s="252"/>
      <c r="AJS78" s="252"/>
      <c r="AJT78" s="252"/>
      <c r="AJU78" s="252"/>
      <c r="AJV78" s="252"/>
      <c r="AJW78" s="252"/>
      <c r="AJX78" s="252"/>
      <c r="AJY78" s="252"/>
      <c r="AJZ78" s="252"/>
      <c r="AKA78" s="252"/>
      <c r="AKB78" s="252"/>
      <c r="AKC78" s="252"/>
      <c r="AKD78" s="252"/>
      <c r="AKE78" s="252"/>
      <c r="AKF78" s="252"/>
      <c r="AKG78" s="252"/>
      <c r="AKH78" s="252"/>
      <c r="AKI78" s="252"/>
      <c r="AKJ78" s="252"/>
      <c r="AKK78" s="252"/>
      <c r="AKL78" s="252"/>
      <c r="AKM78" s="252"/>
      <c r="AKN78" s="252"/>
      <c r="AKO78" s="252"/>
      <c r="AKP78" s="252"/>
      <c r="AKQ78" s="252"/>
      <c r="AKR78" s="252"/>
      <c r="AKS78" s="252"/>
      <c r="AKT78" s="252"/>
      <c r="AKU78" s="252"/>
      <c r="AKV78" s="252"/>
      <c r="AKW78" s="252"/>
      <c r="AKX78" s="252"/>
      <c r="AKY78" s="252"/>
      <c r="AKZ78" s="252"/>
      <c r="ALA78" s="252"/>
      <c r="ALB78" s="252"/>
      <c r="ALC78" s="252"/>
      <c r="ALD78" s="252"/>
      <c r="ALE78" s="252"/>
      <c r="ALF78" s="252"/>
      <c r="ALG78" s="252"/>
      <c r="ALH78" s="252"/>
      <c r="ALI78" s="252"/>
      <c r="ALJ78" s="252"/>
      <c r="ALK78" s="252"/>
      <c r="ALL78" s="252"/>
      <c r="ALM78" s="252"/>
      <c r="ALN78" s="252"/>
      <c r="ALO78" s="252"/>
      <c r="ALP78" s="252"/>
      <c r="ALQ78" s="252"/>
      <c r="ALR78" s="252"/>
      <c r="ALS78" s="252"/>
    </row>
    <row r="79" spans="1:1007" s="3" customFormat="1" x14ac:dyDescent="0.2">
      <c r="A79" s="749" t="s">
        <v>530</v>
      </c>
      <c r="B79" s="392"/>
      <c r="C79" s="392"/>
      <c r="D79" s="392"/>
      <c r="E79" s="744">
        <v>1045</v>
      </c>
      <c r="F79" s="730"/>
      <c r="G79" s="730"/>
      <c r="H79" s="730"/>
      <c r="I79" s="730"/>
      <c r="J79" s="252"/>
      <c r="K79" s="252"/>
      <c r="L79" s="252"/>
      <c r="M79" s="252"/>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c r="BM79" s="252"/>
      <c r="BN79" s="252"/>
      <c r="BO79" s="252"/>
      <c r="BP79" s="252"/>
      <c r="BQ79" s="252"/>
      <c r="BR79" s="252"/>
      <c r="BS79" s="252"/>
      <c r="BT79" s="252"/>
      <c r="BU79" s="252"/>
      <c r="BV79" s="252"/>
      <c r="BW79" s="252"/>
      <c r="BX79" s="252"/>
      <c r="BY79" s="252"/>
      <c r="BZ79" s="252"/>
      <c r="CA79" s="252"/>
      <c r="CB79" s="252"/>
      <c r="CC79" s="252"/>
      <c r="CD79" s="252"/>
      <c r="CE79" s="252"/>
      <c r="CF79" s="252"/>
      <c r="CG79" s="252"/>
      <c r="CH79" s="252"/>
      <c r="CI79" s="252"/>
      <c r="CJ79" s="252"/>
      <c r="CK79" s="252"/>
      <c r="CL79" s="252"/>
      <c r="CM79" s="252"/>
      <c r="CN79" s="252"/>
      <c r="CO79" s="252"/>
      <c r="CP79" s="252"/>
      <c r="CQ79" s="252"/>
      <c r="CR79" s="252"/>
      <c r="CS79" s="252"/>
      <c r="CT79" s="252"/>
      <c r="CU79" s="252"/>
      <c r="CV79" s="252"/>
      <c r="CW79" s="252"/>
      <c r="CX79" s="252"/>
      <c r="CY79" s="252"/>
      <c r="CZ79" s="252"/>
      <c r="DA79" s="252"/>
      <c r="DB79" s="252"/>
      <c r="DC79" s="252"/>
      <c r="DD79" s="252"/>
      <c r="DE79" s="252"/>
      <c r="DF79" s="252"/>
      <c r="DG79" s="252"/>
      <c r="DH79" s="252"/>
      <c r="DI79" s="252"/>
      <c r="DJ79" s="252"/>
      <c r="DK79" s="252"/>
      <c r="DL79" s="252"/>
      <c r="DM79" s="252"/>
      <c r="DN79" s="252"/>
      <c r="DO79" s="252"/>
      <c r="DP79" s="252"/>
      <c r="DQ79" s="252"/>
      <c r="DR79" s="252"/>
      <c r="DS79" s="252"/>
      <c r="DT79" s="252"/>
      <c r="DU79" s="252"/>
      <c r="DV79" s="252"/>
      <c r="DW79" s="252"/>
      <c r="DX79" s="252"/>
      <c r="DY79" s="252"/>
      <c r="DZ79" s="252"/>
      <c r="EA79" s="252"/>
      <c r="EB79" s="252"/>
      <c r="EC79" s="252"/>
      <c r="ED79" s="252"/>
      <c r="EE79" s="252"/>
      <c r="EF79" s="252"/>
      <c r="EG79" s="252"/>
      <c r="EH79" s="252"/>
      <c r="EI79" s="252"/>
      <c r="EJ79" s="252"/>
      <c r="EK79" s="252"/>
      <c r="EL79" s="252"/>
      <c r="EM79" s="252"/>
      <c r="EN79" s="252"/>
      <c r="EO79" s="252"/>
      <c r="EP79" s="252"/>
      <c r="EQ79" s="252"/>
      <c r="ER79" s="252"/>
      <c r="ES79" s="252"/>
      <c r="ET79" s="252"/>
      <c r="EU79" s="252"/>
      <c r="EV79" s="252"/>
      <c r="EW79" s="252"/>
      <c r="EX79" s="252"/>
      <c r="EY79" s="252"/>
      <c r="EZ79" s="252"/>
      <c r="FA79" s="252"/>
      <c r="FB79" s="252"/>
      <c r="FC79" s="252"/>
      <c r="FD79" s="252"/>
      <c r="FE79" s="252"/>
      <c r="FF79" s="252"/>
      <c r="FG79" s="252"/>
      <c r="FH79" s="252"/>
      <c r="FI79" s="252"/>
      <c r="FJ79" s="252"/>
      <c r="FK79" s="252"/>
      <c r="FL79" s="252"/>
      <c r="FM79" s="252"/>
      <c r="FN79" s="252"/>
      <c r="FO79" s="252"/>
      <c r="FP79" s="252"/>
      <c r="FQ79" s="252"/>
      <c r="FR79" s="252"/>
      <c r="FS79" s="252"/>
      <c r="FT79" s="252"/>
      <c r="FU79" s="252"/>
      <c r="FV79" s="252"/>
      <c r="FW79" s="252"/>
      <c r="FX79" s="252"/>
      <c r="FY79" s="252"/>
      <c r="FZ79" s="252"/>
      <c r="GA79" s="252"/>
      <c r="GB79" s="252"/>
      <c r="GC79" s="252"/>
      <c r="GD79" s="252"/>
      <c r="GE79" s="252"/>
      <c r="GF79" s="252"/>
      <c r="GG79" s="252"/>
      <c r="GH79" s="252"/>
      <c r="GI79" s="252"/>
      <c r="GJ79" s="252"/>
      <c r="GK79" s="252"/>
      <c r="GL79" s="252"/>
      <c r="GM79" s="252"/>
      <c r="GN79" s="252"/>
      <c r="GO79" s="252"/>
      <c r="GP79" s="252"/>
      <c r="GQ79" s="252"/>
      <c r="GR79" s="252"/>
      <c r="GS79" s="252"/>
      <c r="GT79" s="252"/>
      <c r="GU79" s="252"/>
      <c r="GV79" s="252"/>
      <c r="GW79" s="252"/>
      <c r="GX79" s="252"/>
      <c r="GY79" s="252"/>
      <c r="GZ79" s="252"/>
      <c r="HA79" s="252"/>
      <c r="HB79" s="252"/>
      <c r="HC79" s="252"/>
      <c r="HD79" s="252"/>
      <c r="HE79" s="252"/>
      <c r="HF79" s="252"/>
      <c r="HG79" s="252"/>
      <c r="HH79" s="252"/>
      <c r="HI79" s="252"/>
      <c r="HJ79" s="252"/>
      <c r="HK79" s="252"/>
      <c r="HL79" s="252"/>
      <c r="HM79" s="252"/>
      <c r="HN79" s="252"/>
      <c r="HO79" s="252"/>
      <c r="HP79" s="252"/>
      <c r="HQ79" s="252"/>
      <c r="HR79" s="252"/>
      <c r="HS79" s="252"/>
      <c r="HT79" s="252"/>
      <c r="HU79" s="252"/>
      <c r="HV79" s="252"/>
      <c r="HW79" s="252"/>
      <c r="HX79" s="252"/>
      <c r="HY79" s="252"/>
      <c r="HZ79" s="252"/>
      <c r="IA79" s="252"/>
      <c r="IB79" s="252"/>
      <c r="IC79" s="252"/>
      <c r="ID79" s="252"/>
      <c r="IE79" s="252"/>
      <c r="IF79" s="252"/>
      <c r="IG79" s="252"/>
      <c r="IH79" s="252"/>
      <c r="II79" s="252"/>
      <c r="IJ79" s="252"/>
      <c r="IK79" s="252"/>
      <c r="IL79" s="252"/>
      <c r="IM79" s="252"/>
      <c r="IN79" s="252"/>
      <c r="IO79" s="252"/>
      <c r="IP79" s="252"/>
      <c r="IQ79" s="252"/>
      <c r="IR79" s="252"/>
      <c r="IS79" s="252"/>
      <c r="IT79" s="252"/>
      <c r="IU79" s="252"/>
      <c r="IV79" s="252"/>
      <c r="IW79" s="252"/>
      <c r="IX79" s="252"/>
      <c r="IY79" s="252"/>
      <c r="IZ79" s="252"/>
      <c r="JA79" s="252"/>
      <c r="JB79" s="252"/>
      <c r="JC79" s="252"/>
      <c r="JD79" s="252"/>
      <c r="JE79" s="252"/>
      <c r="JF79" s="252"/>
      <c r="JG79" s="252"/>
      <c r="JH79" s="252"/>
      <c r="JI79" s="252"/>
      <c r="JJ79" s="252"/>
      <c r="JK79" s="252"/>
      <c r="JL79" s="252"/>
      <c r="JM79" s="252"/>
      <c r="JN79" s="252"/>
      <c r="JO79" s="252"/>
      <c r="JP79" s="252"/>
      <c r="JQ79" s="252"/>
      <c r="JR79" s="252"/>
      <c r="JS79" s="252"/>
      <c r="JT79" s="252"/>
      <c r="JU79" s="252"/>
      <c r="JV79" s="252"/>
      <c r="JW79" s="252"/>
      <c r="JX79" s="252"/>
      <c r="JY79" s="252"/>
      <c r="JZ79" s="252"/>
      <c r="KA79" s="252"/>
      <c r="KB79" s="252"/>
      <c r="KC79" s="252"/>
      <c r="KD79" s="252"/>
      <c r="KE79" s="252"/>
      <c r="KF79" s="252"/>
      <c r="KG79" s="252"/>
      <c r="KH79" s="252"/>
      <c r="KI79" s="252"/>
      <c r="KJ79" s="252"/>
      <c r="KK79" s="252"/>
      <c r="KL79" s="252"/>
      <c r="KM79" s="252"/>
      <c r="KN79" s="252"/>
      <c r="KO79" s="252"/>
      <c r="KP79" s="252"/>
      <c r="KQ79" s="252"/>
      <c r="KR79" s="252"/>
      <c r="KS79" s="252"/>
      <c r="KT79" s="252"/>
      <c r="KU79" s="252"/>
      <c r="KV79" s="252"/>
      <c r="KW79" s="252"/>
      <c r="KX79" s="252"/>
      <c r="KY79" s="252"/>
      <c r="KZ79" s="252"/>
      <c r="LA79" s="252"/>
      <c r="LB79" s="252"/>
      <c r="LC79" s="252"/>
      <c r="LD79" s="252"/>
      <c r="LE79" s="252"/>
      <c r="LF79" s="252"/>
      <c r="LG79" s="252"/>
      <c r="LH79" s="252"/>
      <c r="LI79" s="252"/>
      <c r="LJ79" s="252"/>
      <c r="LK79" s="252"/>
      <c r="LL79" s="252"/>
      <c r="LM79" s="252"/>
      <c r="LN79" s="252"/>
      <c r="LO79" s="252"/>
      <c r="LP79" s="252"/>
      <c r="LQ79" s="252"/>
      <c r="LR79" s="252"/>
      <c r="LS79" s="252"/>
      <c r="LT79" s="252"/>
      <c r="LU79" s="252"/>
      <c r="LV79" s="252"/>
      <c r="LW79" s="252"/>
      <c r="LX79" s="252"/>
      <c r="LY79" s="252"/>
      <c r="LZ79" s="252"/>
      <c r="MA79" s="252"/>
      <c r="MB79" s="252"/>
      <c r="MC79" s="252"/>
      <c r="MD79" s="252"/>
      <c r="ME79" s="252"/>
      <c r="MF79" s="252"/>
      <c r="MG79" s="252"/>
      <c r="MH79" s="252"/>
      <c r="MI79" s="252"/>
      <c r="MJ79" s="252"/>
      <c r="MK79" s="252"/>
      <c r="ML79" s="252"/>
      <c r="MM79" s="252"/>
      <c r="MN79" s="252"/>
      <c r="MO79" s="252"/>
      <c r="MP79" s="252"/>
      <c r="MQ79" s="252"/>
      <c r="MR79" s="252"/>
      <c r="MS79" s="252"/>
      <c r="MT79" s="252"/>
      <c r="MU79" s="252"/>
      <c r="MV79" s="252"/>
      <c r="MW79" s="252"/>
      <c r="MX79" s="252"/>
      <c r="MY79" s="252"/>
      <c r="MZ79" s="252"/>
      <c r="NA79" s="252"/>
      <c r="NB79" s="252"/>
      <c r="NC79" s="252"/>
      <c r="ND79" s="252"/>
      <c r="NE79" s="252"/>
      <c r="NF79" s="252"/>
      <c r="NG79" s="252"/>
      <c r="NH79" s="252"/>
      <c r="NI79" s="252"/>
      <c r="NJ79" s="252"/>
      <c r="NK79" s="252"/>
      <c r="NL79" s="252"/>
      <c r="NM79" s="252"/>
      <c r="NN79" s="252"/>
      <c r="NO79" s="252"/>
      <c r="NP79" s="252"/>
      <c r="NQ79" s="252"/>
      <c r="NR79" s="252"/>
      <c r="NS79" s="252"/>
      <c r="NT79" s="252"/>
      <c r="NU79" s="252"/>
      <c r="NV79" s="252"/>
      <c r="NW79" s="252"/>
      <c r="NX79" s="252"/>
      <c r="NY79" s="252"/>
      <c r="NZ79" s="252"/>
      <c r="OA79" s="252"/>
      <c r="OB79" s="252"/>
      <c r="OC79" s="252"/>
      <c r="OD79" s="252"/>
      <c r="OE79" s="252"/>
      <c r="OF79" s="252"/>
      <c r="OG79" s="252"/>
      <c r="OH79" s="252"/>
      <c r="OI79" s="252"/>
      <c r="OJ79" s="252"/>
      <c r="OK79" s="252"/>
      <c r="OL79" s="252"/>
      <c r="OM79" s="252"/>
      <c r="ON79" s="252"/>
      <c r="OO79" s="252"/>
      <c r="OP79" s="252"/>
      <c r="OQ79" s="252"/>
      <c r="OR79" s="252"/>
      <c r="OS79" s="252"/>
      <c r="OT79" s="252"/>
      <c r="OU79" s="252"/>
      <c r="OV79" s="252"/>
      <c r="OW79" s="252"/>
      <c r="OX79" s="252"/>
      <c r="OY79" s="252"/>
      <c r="OZ79" s="252"/>
      <c r="PA79" s="252"/>
      <c r="PB79" s="252"/>
      <c r="PC79" s="252"/>
      <c r="PD79" s="252"/>
      <c r="PE79" s="252"/>
      <c r="PF79" s="252"/>
      <c r="PG79" s="252"/>
      <c r="PH79" s="252"/>
      <c r="PI79" s="252"/>
      <c r="PJ79" s="252"/>
      <c r="PK79" s="252"/>
      <c r="PL79" s="252"/>
      <c r="PM79" s="252"/>
      <c r="PN79" s="252"/>
      <c r="PO79" s="252"/>
      <c r="PP79" s="252"/>
      <c r="PQ79" s="252"/>
      <c r="PR79" s="252"/>
      <c r="PS79" s="252"/>
      <c r="PT79" s="252"/>
      <c r="PU79" s="252"/>
      <c r="PV79" s="252"/>
      <c r="PW79" s="252"/>
      <c r="PX79" s="252"/>
      <c r="PY79" s="252"/>
      <c r="PZ79" s="252"/>
      <c r="QA79" s="252"/>
      <c r="QB79" s="252"/>
      <c r="QC79" s="252"/>
      <c r="QD79" s="252"/>
      <c r="QE79" s="252"/>
      <c r="QF79" s="252"/>
      <c r="QG79" s="252"/>
      <c r="QH79" s="252"/>
      <c r="QI79" s="252"/>
      <c r="QJ79" s="252"/>
      <c r="QK79" s="252"/>
      <c r="QL79" s="252"/>
      <c r="QM79" s="252"/>
      <c r="QN79" s="252"/>
      <c r="QO79" s="252"/>
      <c r="QP79" s="252"/>
      <c r="QQ79" s="252"/>
      <c r="QR79" s="252"/>
      <c r="QS79" s="252"/>
      <c r="QT79" s="252"/>
      <c r="QU79" s="252"/>
      <c r="QV79" s="252"/>
      <c r="QW79" s="252"/>
      <c r="QX79" s="252"/>
      <c r="QY79" s="252"/>
      <c r="QZ79" s="252"/>
      <c r="RA79" s="252"/>
      <c r="RB79" s="252"/>
      <c r="RC79" s="252"/>
      <c r="RD79" s="252"/>
      <c r="RE79" s="252"/>
      <c r="RF79" s="252"/>
      <c r="RG79" s="252"/>
      <c r="RH79" s="252"/>
      <c r="RI79" s="252"/>
      <c r="RJ79" s="252"/>
      <c r="RK79" s="252"/>
      <c r="RL79" s="252"/>
      <c r="RM79" s="252"/>
      <c r="RN79" s="252"/>
      <c r="RO79" s="252"/>
      <c r="RP79" s="252"/>
      <c r="RQ79" s="252"/>
      <c r="RR79" s="252"/>
      <c r="RS79" s="252"/>
      <c r="RT79" s="252"/>
      <c r="RU79" s="252"/>
      <c r="RV79" s="252"/>
      <c r="RW79" s="252"/>
      <c r="RX79" s="252"/>
      <c r="RY79" s="252"/>
      <c r="RZ79" s="252"/>
      <c r="SA79" s="252"/>
      <c r="SB79" s="252"/>
      <c r="SC79" s="252"/>
      <c r="SD79" s="252"/>
      <c r="SE79" s="252"/>
      <c r="SF79" s="252"/>
      <c r="SG79" s="252"/>
      <c r="SH79" s="252"/>
      <c r="SI79" s="252"/>
      <c r="SJ79" s="252"/>
      <c r="SK79" s="252"/>
      <c r="SL79" s="252"/>
      <c r="SM79" s="252"/>
      <c r="SN79" s="252"/>
      <c r="SO79" s="252"/>
      <c r="SP79" s="252"/>
      <c r="SQ79" s="252"/>
      <c r="SR79" s="252"/>
      <c r="SS79" s="252"/>
      <c r="ST79" s="252"/>
      <c r="SU79" s="252"/>
      <c r="SV79" s="252"/>
      <c r="SW79" s="252"/>
      <c r="SX79" s="252"/>
      <c r="SY79" s="252"/>
      <c r="SZ79" s="252"/>
      <c r="TA79" s="252"/>
      <c r="TB79" s="252"/>
      <c r="TC79" s="252"/>
      <c r="TD79" s="252"/>
      <c r="TE79" s="252"/>
      <c r="TF79" s="252"/>
      <c r="TG79" s="252"/>
      <c r="TH79" s="252"/>
      <c r="TI79" s="252"/>
      <c r="TJ79" s="252"/>
      <c r="TK79" s="252"/>
      <c r="TL79" s="252"/>
      <c r="TM79" s="252"/>
      <c r="TN79" s="252"/>
      <c r="TO79" s="252"/>
      <c r="TP79" s="252"/>
      <c r="TQ79" s="252"/>
      <c r="TR79" s="252"/>
      <c r="TS79" s="252"/>
      <c r="TT79" s="252"/>
      <c r="TU79" s="252"/>
      <c r="TV79" s="252"/>
      <c r="TW79" s="252"/>
      <c r="TX79" s="252"/>
      <c r="TY79" s="252"/>
      <c r="TZ79" s="252"/>
      <c r="UA79" s="252"/>
      <c r="UB79" s="252"/>
      <c r="UC79" s="252"/>
      <c r="UD79" s="252"/>
      <c r="UE79" s="252"/>
      <c r="UF79" s="252"/>
      <c r="UG79" s="252"/>
      <c r="UH79" s="252"/>
      <c r="UI79" s="252"/>
      <c r="UJ79" s="252"/>
      <c r="UK79" s="252"/>
      <c r="UL79" s="252"/>
      <c r="UM79" s="252"/>
      <c r="UN79" s="252"/>
      <c r="UO79" s="252"/>
      <c r="UP79" s="252"/>
      <c r="UQ79" s="252"/>
      <c r="UR79" s="252"/>
      <c r="US79" s="252"/>
      <c r="UT79" s="252"/>
      <c r="UU79" s="252"/>
      <c r="UV79" s="252"/>
      <c r="UW79" s="252"/>
      <c r="UX79" s="252"/>
      <c r="UY79" s="252"/>
      <c r="UZ79" s="252"/>
      <c r="VA79" s="252"/>
      <c r="VB79" s="252"/>
      <c r="VC79" s="252"/>
      <c r="VD79" s="252"/>
      <c r="VE79" s="252"/>
      <c r="VF79" s="252"/>
      <c r="VG79" s="252"/>
      <c r="VH79" s="252"/>
      <c r="VI79" s="252"/>
      <c r="VJ79" s="252"/>
      <c r="VK79" s="252"/>
      <c r="VL79" s="252"/>
      <c r="VM79" s="252"/>
      <c r="VN79" s="252"/>
      <c r="VO79" s="252"/>
      <c r="VP79" s="252"/>
      <c r="VQ79" s="252"/>
      <c r="VR79" s="252"/>
      <c r="VS79" s="252"/>
      <c r="VT79" s="252"/>
      <c r="VU79" s="252"/>
      <c r="VV79" s="252"/>
      <c r="VW79" s="252"/>
      <c r="VX79" s="252"/>
      <c r="VY79" s="252"/>
      <c r="VZ79" s="252"/>
      <c r="WA79" s="252"/>
      <c r="WB79" s="252"/>
      <c r="WC79" s="252"/>
      <c r="WD79" s="252"/>
      <c r="WE79" s="252"/>
      <c r="WF79" s="252"/>
      <c r="WG79" s="252"/>
      <c r="WH79" s="252"/>
      <c r="WI79" s="252"/>
      <c r="WJ79" s="252"/>
      <c r="WK79" s="252"/>
      <c r="WL79" s="252"/>
      <c r="WM79" s="252"/>
      <c r="WN79" s="252"/>
      <c r="WO79" s="252"/>
      <c r="WP79" s="252"/>
      <c r="WQ79" s="252"/>
      <c r="WR79" s="252"/>
      <c r="WS79" s="252"/>
      <c r="WT79" s="252"/>
      <c r="WU79" s="252"/>
      <c r="WV79" s="252"/>
      <c r="WW79" s="252"/>
      <c r="WX79" s="252"/>
      <c r="WY79" s="252"/>
      <c r="WZ79" s="252"/>
      <c r="XA79" s="252"/>
      <c r="XB79" s="252"/>
      <c r="XC79" s="252"/>
      <c r="XD79" s="252"/>
      <c r="XE79" s="252"/>
      <c r="XF79" s="252"/>
      <c r="XG79" s="252"/>
      <c r="XH79" s="252"/>
      <c r="XI79" s="252"/>
      <c r="XJ79" s="252"/>
      <c r="XK79" s="252"/>
      <c r="XL79" s="252"/>
      <c r="XM79" s="252"/>
      <c r="XN79" s="252"/>
      <c r="XO79" s="252"/>
      <c r="XP79" s="252"/>
      <c r="XQ79" s="252"/>
      <c r="XR79" s="252"/>
      <c r="XS79" s="252"/>
      <c r="XT79" s="252"/>
      <c r="XU79" s="252"/>
      <c r="XV79" s="252"/>
      <c r="XW79" s="252"/>
      <c r="XX79" s="252"/>
      <c r="XY79" s="252"/>
      <c r="XZ79" s="252"/>
      <c r="YA79" s="252"/>
      <c r="YB79" s="252"/>
      <c r="YC79" s="252"/>
      <c r="YD79" s="252"/>
      <c r="YE79" s="252"/>
      <c r="YF79" s="252"/>
      <c r="YG79" s="252"/>
      <c r="YH79" s="252"/>
      <c r="YI79" s="252"/>
      <c r="YJ79" s="252"/>
      <c r="YK79" s="252"/>
      <c r="YL79" s="252"/>
      <c r="YM79" s="252"/>
      <c r="YN79" s="252"/>
      <c r="YO79" s="252"/>
      <c r="YP79" s="252"/>
      <c r="YQ79" s="252"/>
      <c r="YR79" s="252"/>
      <c r="YS79" s="252"/>
      <c r="YT79" s="252"/>
      <c r="YU79" s="252"/>
      <c r="YV79" s="252"/>
      <c r="YW79" s="252"/>
      <c r="YX79" s="252"/>
      <c r="YY79" s="252"/>
      <c r="YZ79" s="252"/>
      <c r="ZA79" s="252"/>
      <c r="ZB79" s="252"/>
      <c r="ZC79" s="252"/>
      <c r="ZD79" s="252"/>
      <c r="ZE79" s="252"/>
      <c r="ZF79" s="252"/>
      <c r="ZG79" s="252"/>
      <c r="ZH79" s="252"/>
      <c r="ZI79" s="252"/>
      <c r="ZJ79" s="252"/>
      <c r="ZK79" s="252"/>
      <c r="ZL79" s="252"/>
      <c r="ZM79" s="252"/>
      <c r="ZN79" s="252"/>
      <c r="ZO79" s="252"/>
      <c r="ZP79" s="252"/>
      <c r="ZQ79" s="252"/>
      <c r="ZR79" s="252"/>
      <c r="ZS79" s="252"/>
      <c r="ZT79" s="252"/>
      <c r="ZU79" s="252"/>
      <c r="ZV79" s="252"/>
      <c r="ZW79" s="252"/>
      <c r="ZX79" s="252"/>
      <c r="ZY79" s="252"/>
      <c r="ZZ79" s="252"/>
      <c r="AAA79" s="252"/>
      <c r="AAB79" s="252"/>
      <c r="AAC79" s="252"/>
      <c r="AAD79" s="252"/>
      <c r="AAE79" s="252"/>
      <c r="AAF79" s="252"/>
      <c r="AAG79" s="252"/>
      <c r="AAH79" s="252"/>
      <c r="AAI79" s="252"/>
      <c r="AAJ79" s="252"/>
      <c r="AAK79" s="252"/>
      <c r="AAL79" s="252"/>
      <c r="AAM79" s="252"/>
      <c r="AAN79" s="252"/>
      <c r="AAO79" s="252"/>
      <c r="AAP79" s="252"/>
      <c r="AAQ79" s="252"/>
      <c r="AAR79" s="252"/>
      <c r="AAS79" s="252"/>
      <c r="AAT79" s="252"/>
      <c r="AAU79" s="252"/>
      <c r="AAV79" s="252"/>
      <c r="AAW79" s="252"/>
      <c r="AAX79" s="252"/>
      <c r="AAY79" s="252"/>
      <c r="AAZ79" s="252"/>
      <c r="ABA79" s="252"/>
      <c r="ABB79" s="252"/>
      <c r="ABC79" s="252"/>
      <c r="ABD79" s="252"/>
      <c r="ABE79" s="252"/>
      <c r="ABF79" s="252"/>
      <c r="ABG79" s="252"/>
      <c r="ABH79" s="252"/>
      <c r="ABI79" s="252"/>
      <c r="ABJ79" s="252"/>
      <c r="ABK79" s="252"/>
      <c r="ABL79" s="252"/>
      <c r="ABM79" s="252"/>
      <c r="ABN79" s="252"/>
      <c r="ABO79" s="252"/>
      <c r="ABP79" s="252"/>
      <c r="ABQ79" s="252"/>
      <c r="ABR79" s="252"/>
      <c r="ABS79" s="252"/>
      <c r="ABT79" s="252"/>
      <c r="ABU79" s="252"/>
      <c r="ABV79" s="252"/>
      <c r="ABW79" s="252"/>
      <c r="ABX79" s="252"/>
      <c r="ABY79" s="252"/>
      <c r="ABZ79" s="252"/>
      <c r="ACA79" s="252"/>
      <c r="ACB79" s="252"/>
      <c r="ACC79" s="252"/>
      <c r="ACD79" s="252"/>
      <c r="ACE79" s="252"/>
      <c r="ACF79" s="252"/>
      <c r="ACG79" s="252"/>
      <c r="ACH79" s="252"/>
      <c r="ACI79" s="252"/>
      <c r="ACJ79" s="252"/>
      <c r="ACK79" s="252"/>
      <c r="ACL79" s="252"/>
      <c r="ACM79" s="252"/>
      <c r="ACN79" s="252"/>
      <c r="ACO79" s="252"/>
      <c r="ACP79" s="252"/>
      <c r="ACQ79" s="252"/>
      <c r="ACR79" s="252"/>
      <c r="ACS79" s="252"/>
      <c r="ACT79" s="252"/>
      <c r="ACU79" s="252"/>
      <c r="ACV79" s="252"/>
      <c r="ACW79" s="252"/>
      <c r="ACX79" s="252"/>
      <c r="ACY79" s="252"/>
      <c r="ACZ79" s="252"/>
      <c r="ADA79" s="252"/>
      <c r="ADB79" s="252"/>
      <c r="ADC79" s="252"/>
      <c r="ADD79" s="252"/>
      <c r="ADE79" s="252"/>
      <c r="ADF79" s="252"/>
      <c r="ADG79" s="252"/>
      <c r="ADH79" s="252"/>
      <c r="ADI79" s="252"/>
      <c r="ADJ79" s="252"/>
      <c r="ADK79" s="252"/>
      <c r="ADL79" s="252"/>
      <c r="ADM79" s="252"/>
      <c r="ADN79" s="252"/>
      <c r="ADO79" s="252"/>
      <c r="ADP79" s="252"/>
      <c r="ADQ79" s="252"/>
      <c r="ADR79" s="252"/>
      <c r="ADS79" s="252"/>
      <c r="ADT79" s="252"/>
      <c r="ADU79" s="252"/>
      <c r="ADV79" s="252"/>
      <c r="ADW79" s="252"/>
      <c r="ADX79" s="252"/>
      <c r="ADY79" s="252"/>
      <c r="ADZ79" s="252"/>
      <c r="AEA79" s="252"/>
      <c r="AEB79" s="252"/>
      <c r="AEC79" s="252"/>
      <c r="AED79" s="252"/>
      <c r="AEE79" s="252"/>
      <c r="AEF79" s="252"/>
      <c r="AEG79" s="252"/>
      <c r="AEH79" s="252"/>
      <c r="AEI79" s="252"/>
      <c r="AEJ79" s="252"/>
      <c r="AEK79" s="252"/>
      <c r="AEL79" s="252"/>
      <c r="AEM79" s="252"/>
      <c r="AEN79" s="252"/>
      <c r="AEO79" s="252"/>
      <c r="AEP79" s="252"/>
      <c r="AEQ79" s="252"/>
      <c r="AER79" s="252"/>
      <c r="AES79" s="252"/>
      <c r="AET79" s="252"/>
      <c r="AEU79" s="252"/>
      <c r="AEV79" s="252"/>
      <c r="AEW79" s="252"/>
      <c r="AEX79" s="252"/>
      <c r="AEY79" s="252"/>
      <c r="AEZ79" s="252"/>
      <c r="AFA79" s="252"/>
      <c r="AFB79" s="252"/>
      <c r="AFC79" s="252"/>
      <c r="AFD79" s="252"/>
      <c r="AFE79" s="252"/>
      <c r="AFF79" s="252"/>
      <c r="AFG79" s="252"/>
      <c r="AFH79" s="252"/>
      <c r="AFI79" s="252"/>
      <c r="AFJ79" s="252"/>
      <c r="AFK79" s="252"/>
      <c r="AFL79" s="252"/>
      <c r="AFM79" s="252"/>
      <c r="AFN79" s="252"/>
      <c r="AFO79" s="252"/>
      <c r="AFP79" s="252"/>
      <c r="AFQ79" s="252"/>
      <c r="AFR79" s="252"/>
      <c r="AFS79" s="252"/>
      <c r="AFT79" s="252"/>
      <c r="AFU79" s="252"/>
      <c r="AFV79" s="252"/>
      <c r="AFW79" s="252"/>
      <c r="AFX79" s="252"/>
      <c r="AFY79" s="252"/>
      <c r="AFZ79" s="252"/>
      <c r="AGA79" s="252"/>
      <c r="AGB79" s="252"/>
      <c r="AGC79" s="252"/>
      <c r="AGD79" s="252"/>
      <c r="AGE79" s="252"/>
      <c r="AGF79" s="252"/>
      <c r="AGG79" s="252"/>
      <c r="AGH79" s="252"/>
      <c r="AGI79" s="252"/>
      <c r="AGJ79" s="252"/>
      <c r="AGK79" s="252"/>
      <c r="AGL79" s="252"/>
      <c r="AGM79" s="252"/>
      <c r="AGN79" s="252"/>
      <c r="AGO79" s="252"/>
      <c r="AGP79" s="252"/>
      <c r="AGQ79" s="252"/>
      <c r="AGR79" s="252"/>
      <c r="AGS79" s="252"/>
      <c r="AGT79" s="252"/>
      <c r="AGU79" s="252"/>
      <c r="AGV79" s="252"/>
      <c r="AGW79" s="252"/>
      <c r="AGX79" s="252"/>
      <c r="AGY79" s="252"/>
      <c r="AGZ79" s="252"/>
      <c r="AHA79" s="252"/>
      <c r="AHB79" s="252"/>
      <c r="AHC79" s="252"/>
      <c r="AHD79" s="252"/>
      <c r="AHE79" s="252"/>
      <c r="AHF79" s="252"/>
      <c r="AHG79" s="252"/>
      <c r="AHH79" s="252"/>
      <c r="AHI79" s="252"/>
      <c r="AHJ79" s="252"/>
      <c r="AHK79" s="252"/>
      <c r="AHL79" s="252"/>
      <c r="AHM79" s="252"/>
      <c r="AHN79" s="252"/>
      <c r="AHO79" s="252"/>
      <c r="AHP79" s="252"/>
      <c r="AHQ79" s="252"/>
      <c r="AHR79" s="252"/>
      <c r="AHS79" s="252"/>
      <c r="AHT79" s="252"/>
      <c r="AHU79" s="252"/>
      <c r="AHV79" s="252"/>
      <c r="AHW79" s="252"/>
      <c r="AHX79" s="252"/>
      <c r="AHY79" s="252"/>
      <c r="AHZ79" s="252"/>
      <c r="AIA79" s="252"/>
      <c r="AIB79" s="252"/>
      <c r="AIC79" s="252"/>
      <c r="AID79" s="252"/>
      <c r="AIE79" s="252"/>
      <c r="AIF79" s="252"/>
      <c r="AIG79" s="252"/>
      <c r="AIH79" s="252"/>
      <c r="AII79" s="252"/>
      <c r="AIJ79" s="252"/>
      <c r="AIK79" s="252"/>
      <c r="AIL79" s="252"/>
      <c r="AIM79" s="252"/>
      <c r="AIN79" s="252"/>
      <c r="AIO79" s="252"/>
      <c r="AIP79" s="252"/>
      <c r="AIQ79" s="252"/>
      <c r="AIR79" s="252"/>
      <c r="AIS79" s="252"/>
      <c r="AIT79" s="252"/>
      <c r="AIU79" s="252"/>
      <c r="AIV79" s="252"/>
      <c r="AIW79" s="252"/>
      <c r="AIX79" s="252"/>
      <c r="AIY79" s="252"/>
      <c r="AIZ79" s="252"/>
      <c r="AJA79" s="252"/>
      <c r="AJB79" s="252"/>
      <c r="AJC79" s="252"/>
      <c r="AJD79" s="252"/>
      <c r="AJE79" s="252"/>
      <c r="AJF79" s="252"/>
      <c r="AJG79" s="252"/>
      <c r="AJH79" s="252"/>
      <c r="AJI79" s="252"/>
      <c r="AJJ79" s="252"/>
      <c r="AJK79" s="252"/>
      <c r="AJL79" s="252"/>
      <c r="AJM79" s="252"/>
      <c r="AJN79" s="252"/>
      <c r="AJO79" s="252"/>
      <c r="AJP79" s="252"/>
      <c r="AJQ79" s="252"/>
      <c r="AJR79" s="252"/>
      <c r="AJS79" s="252"/>
      <c r="AJT79" s="252"/>
      <c r="AJU79" s="252"/>
      <c r="AJV79" s="252"/>
      <c r="AJW79" s="252"/>
      <c r="AJX79" s="252"/>
      <c r="AJY79" s="252"/>
      <c r="AJZ79" s="252"/>
      <c r="AKA79" s="252"/>
      <c r="AKB79" s="252"/>
      <c r="AKC79" s="252"/>
      <c r="AKD79" s="252"/>
      <c r="AKE79" s="252"/>
      <c r="AKF79" s="252"/>
      <c r="AKG79" s="252"/>
      <c r="AKH79" s="252"/>
      <c r="AKI79" s="252"/>
      <c r="AKJ79" s="252"/>
      <c r="AKK79" s="252"/>
      <c r="AKL79" s="252"/>
      <c r="AKM79" s="252"/>
      <c r="AKN79" s="252"/>
      <c r="AKO79" s="252"/>
      <c r="AKP79" s="252"/>
      <c r="AKQ79" s="252"/>
      <c r="AKR79" s="252"/>
      <c r="AKS79" s="252"/>
      <c r="AKT79" s="252"/>
      <c r="AKU79" s="252"/>
      <c r="AKV79" s="252"/>
      <c r="AKW79" s="252"/>
      <c r="AKX79" s="252"/>
      <c r="AKY79" s="252"/>
      <c r="AKZ79" s="252"/>
      <c r="ALA79" s="252"/>
      <c r="ALB79" s="252"/>
      <c r="ALC79" s="252"/>
      <c r="ALD79" s="252"/>
      <c r="ALE79" s="252"/>
      <c r="ALF79" s="252"/>
      <c r="ALG79" s="252"/>
      <c r="ALH79" s="252"/>
      <c r="ALI79" s="252"/>
      <c r="ALJ79" s="252"/>
      <c r="ALK79" s="252"/>
      <c r="ALL79" s="252"/>
      <c r="ALM79" s="252"/>
      <c r="ALN79" s="252"/>
      <c r="ALO79" s="252"/>
      <c r="ALP79" s="252"/>
      <c r="ALQ79" s="252"/>
      <c r="ALR79" s="252"/>
      <c r="ALS79" s="252"/>
    </row>
    <row r="80" spans="1:1007" s="3" customFormat="1" x14ac:dyDescent="0.2">
      <c r="A80" s="749" t="s">
        <v>292</v>
      </c>
      <c r="B80" s="392">
        <v>1190</v>
      </c>
      <c r="C80" s="392">
        <v>1190</v>
      </c>
      <c r="D80" s="392">
        <v>1190</v>
      </c>
      <c r="E80" s="744">
        <v>1190</v>
      </c>
      <c r="F80" s="730"/>
      <c r="G80" s="730"/>
      <c r="H80" s="730"/>
      <c r="I80" s="730"/>
      <c r="J80" s="252"/>
      <c r="K80" s="252"/>
      <c r="L80" s="252"/>
      <c r="M80" s="252"/>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2"/>
      <c r="BD80" s="252"/>
      <c r="BE80" s="252"/>
      <c r="BF80" s="252"/>
      <c r="BG80" s="252"/>
      <c r="BH80" s="252"/>
      <c r="BI80" s="252"/>
      <c r="BJ80" s="252"/>
      <c r="BK80" s="252"/>
      <c r="BL80" s="252"/>
      <c r="BM80" s="252"/>
      <c r="BN80" s="252"/>
      <c r="BO80" s="252"/>
      <c r="BP80" s="252"/>
      <c r="BQ80" s="252"/>
      <c r="BR80" s="252"/>
      <c r="BS80" s="252"/>
      <c r="BT80" s="252"/>
      <c r="BU80" s="252"/>
      <c r="BV80" s="252"/>
      <c r="BW80" s="252"/>
      <c r="BX80" s="252"/>
      <c r="BY80" s="252"/>
      <c r="BZ80" s="252"/>
      <c r="CA80" s="252"/>
      <c r="CB80" s="252"/>
      <c r="CC80" s="252"/>
      <c r="CD80" s="252"/>
      <c r="CE80" s="252"/>
      <c r="CF80" s="252"/>
      <c r="CG80" s="252"/>
      <c r="CH80" s="252"/>
      <c r="CI80" s="252"/>
      <c r="CJ80" s="252"/>
      <c r="CK80" s="252"/>
      <c r="CL80" s="252"/>
      <c r="CM80" s="252"/>
      <c r="CN80" s="252"/>
      <c r="CO80" s="252"/>
      <c r="CP80" s="252"/>
      <c r="CQ80" s="252"/>
      <c r="CR80" s="252"/>
      <c r="CS80" s="252"/>
      <c r="CT80" s="252"/>
      <c r="CU80" s="252"/>
      <c r="CV80" s="252"/>
      <c r="CW80" s="252"/>
      <c r="CX80" s="252"/>
      <c r="CY80" s="252"/>
      <c r="CZ80" s="252"/>
      <c r="DA80" s="252"/>
      <c r="DB80" s="252"/>
      <c r="DC80" s="252"/>
      <c r="DD80" s="252"/>
      <c r="DE80" s="252"/>
      <c r="DF80" s="252"/>
      <c r="DG80" s="252"/>
      <c r="DH80" s="252"/>
      <c r="DI80" s="252"/>
      <c r="DJ80" s="252"/>
      <c r="DK80" s="252"/>
      <c r="DL80" s="252"/>
      <c r="DM80" s="252"/>
      <c r="DN80" s="252"/>
      <c r="DO80" s="252"/>
      <c r="DP80" s="252"/>
      <c r="DQ80" s="252"/>
      <c r="DR80" s="252"/>
      <c r="DS80" s="252"/>
      <c r="DT80" s="252"/>
      <c r="DU80" s="252"/>
      <c r="DV80" s="252"/>
      <c r="DW80" s="252"/>
      <c r="DX80" s="252"/>
      <c r="DY80" s="252"/>
      <c r="DZ80" s="252"/>
      <c r="EA80" s="252"/>
      <c r="EB80" s="252"/>
      <c r="EC80" s="252"/>
      <c r="ED80" s="252"/>
      <c r="EE80" s="252"/>
      <c r="EF80" s="252"/>
      <c r="EG80" s="252"/>
      <c r="EH80" s="252"/>
      <c r="EI80" s="252"/>
      <c r="EJ80" s="252"/>
      <c r="EK80" s="252"/>
      <c r="EL80" s="252"/>
      <c r="EM80" s="252"/>
      <c r="EN80" s="252"/>
      <c r="EO80" s="252"/>
      <c r="EP80" s="252"/>
      <c r="EQ80" s="252"/>
      <c r="ER80" s="252"/>
      <c r="ES80" s="252"/>
      <c r="ET80" s="252"/>
      <c r="EU80" s="252"/>
      <c r="EV80" s="252"/>
      <c r="EW80" s="252"/>
      <c r="EX80" s="252"/>
      <c r="EY80" s="252"/>
      <c r="EZ80" s="252"/>
      <c r="FA80" s="252"/>
      <c r="FB80" s="252"/>
      <c r="FC80" s="252"/>
      <c r="FD80" s="252"/>
      <c r="FE80" s="252"/>
      <c r="FF80" s="252"/>
      <c r="FG80" s="252"/>
      <c r="FH80" s="252"/>
      <c r="FI80" s="252"/>
      <c r="FJ80" s="252"/>
      <c r="FK80" s="252"/>
      <c r="FL80" s="252"/>
      <c r="FM80" s="252"/>
      <c r="FN80" s="252"/>
      <c r="FO80" s="252"/>
      <c r="FP80" s="252"/>
      <c r="FQ80" s="252"/>
      <c r="FR80" s="252"/>
      <c r="FS80" s="252"/>
      <c r="FT80" s="252"/>
      <c r="FU80" s="252"/>
      <c r="FV80" s="252"/>
      <c r="FW80" s="252"/>
      <c r="FX80" s="252"/>
      <c r="FY80" s="252"/>
      <c r="FZ80" s="252"/>
      <c r="GA80" s="252"/>
      <c r="GB80" s="252"/>
      <c r="GC80" s="252"/>
      <c r="GD80" s="252"/>
      <c r="GE80" s="252"/>
      <c r="GF80" s="252"/>
      <c r="GG80" s="252"/>
      <c r="GH80" s="252"/>
      <c r="GI80" s="252"/>
      <c r="GJ80" s="252"/>
      <c r="GK80" s="252"/>
      <c r="GL80" s="252"/>
      <c r="GM80" s="252"/>
      <c r="GN80" s="252"/>
      <c r="GO80" s="252"/>
      <c r="GP80" s="252"/>
      <c r="GQ80" s="252"/>
      <c r="GR80" s="252"/>
      <c r="GS80" s="252"/>
      <c r="GT80" s="252"/>
      <c r="GU80" s="252"/>
      <c r="GV80" s="252"/>
      <c r="GW80" s="252"/>
      <c r="GX80" s="252"/>
      <c r="GY80" s="252"/>
      <c r="GZ80" s="252"/>
      <c r="HA80" s="252"/>
      <c r="HB80" s="252"/>
      <c r="HC80" s="252"/>
      <c r="HD80" s="252"/>
      <c r="HE80" s="252"/>
      <c r="HF80" s="252"/>
      <c r="HG80" s="252"/>
      <c r="HH80" s="252"/>
      <c r="HI80" s="252"/>
      <c r="HJ80" s="252"/>
      <c r="HK80" s="252"/>
      <c r="HL80" s="252"/>
      <c r="HM80" s="252"/>
      <c r="HN80" s="252"/>
      <c r="HO80" s="252"/>
      <c r="HP80" s="252"/>
      <c r="HQ80" s="252"/>
      <c r="HR80" s="252"/>
      <c r="HS80" s="252"/>
      <c r="HT80" s="252"/>
      <c r="HU80" s="252"/>
      <c r="HV80" s="252"/>
      <c r="HW80" s="252"/>
      <c r="HX80" s="252"/>
      <c r="HY80" s="252"/>
      <c r="HZ80" s="252"/>
      <c r="IA80" s="252"/>
      <c r="IB80" s="252"/>
      <c r="IC80" s="252"/>
      <c r="ID80" s="252"/>
      <c r="IE80" s="252"/>
      <c r="IF80" s="252"/>
      <c r="IG80" s="252"/>
      <c r="IH80" s="252"/>
      <c r="II80" s="252"/>
      <c r="IJ80" s="252"/>
      <c r="IK80" s="252"/>
      <c r="IL80" s="252"/>
      <c r="IM80" s="252"/>
      <c r="IN80" s="252"/>
      <c r="IO80" s="252"/>
      <c r="IP80" s="252"/>
      <c r="IQ80" s="252"/>
      <c r="IR80" s="252"/>
      <c r="IS80" s="252"/>
      <c r="IT80" s="252"/>
      <c r="IU80" s="252"/>
      <c r="IV80" s="252"/>
      <c r="IW80" s="252"/>
      <c r="IX80" s="252"/>
      <c r="IY80" s="252"/>
      <c r="IZ80" s="252"/>
      <c r="JA80" s="252"/>
      <c r="JB80" s="252"/>
      <c r="JC80" s="252"/>
      <c r="JD80" s="252"/>
      <c r="JE80" s="252"/>
      <c r="JF80" s="252"/>
      <c r="JG80" s="252"/>
      <c r="JH80" s="252"/>
      <c r="JI80" s="252"/>
      <c r="JJ80" s="252"/>
      <c r="JK80" s="252"/>
      <c r="JL80" s="252"/>
      <c r="JM80" s="252"/>
      <c r="JN80" s="252"/>
      <c r="JO80" s="252"/>
      <c r="JP80" s="252"/>
      <c r="JQ80" s="252"/>
      <c r="JR80" s="252"/>
      <c r="JS80" s="252"/>
      <c r="JT80" s="252"/>
      <c r="JU80" s="252"/>
      <c r="JV80" s="252"/>
      <c r="JW80" s="252"/>
      <c r="JX80" s="252"/>
      <c r="JY80" s="252"/>
      <c r="JZ80" s="252"/>
      <c r="KA80" s="252"/>
      <c r="KB80" s="252"/>
      <c r="KC80" s="252"/>
      <c r="KD80" s="252"/>
      <c r="KE80" s="252"/>
      <c r="KF80" s="252"/>
      <c r="KG80" s="252"/>
      <c r="KH80" s="252"/>
      <c r="KI80" s="252"/>
      <c r="KJ80" s="252"/>
      <c r="KK80" s="252"/>
      <c r="KL80" s="252"/>
      <c r="KM80" s="252"/>
      <c r="KN80" s="252"/>
      <c r="KO80" s="252"/>
      <c r="KP80" s="252"/>
      <c r="KQ80" s="252"/>
      <c r="KR80" s="252"/>
      <c r="KS80" s="252"/>
      <c r="KT80" s="252"/>
      <c r="KU80" s="252"/>
      <c r="KV80" s="252"/>
      <c r="KW80" s="252"/>
      <c r="KX80" s="252"/>
      <c r="KY80" s="252"/>
      <c r="KZ80" s="252"/>
      <c r="LA80" s="252"/>
      <c r="LB80" s="252"/>
      <c r="LC80" s="252"/>
      <c r="LD80" s="252"/>
      <c r="LE80" s="252"/>
      <c r="LF80" s="252"/>
      <c r="LG80" s="252"/>
      <c r="LH80" s="252"/>
      <c r="LI80" s="252"/>
      <c r="LJ80" s="252"/>
      <c r="LK80" s="252"/>
      <c r="LL80" s="252"/>
      <c r="LM80" s="252"/>
      <c r="LN80" s="252"/>
      <c r="LO80" s="252"/>
      <c r="LP80" s="252"/>
      <c r="LQ80" s="252"/>
      <c r="LR80" s="252"/>
      <c r="LS80" s="252"/>
      <c r="LT80" s="252"/>
      <c r="LU80" s="252"/>
      <c r="LV80" s="252"/>
      <c r="LW80" s="252"/>
      <c r="LX80" s="252"/>
      <c r="LY80" s="252"/>
      <c r="LZ80" s="252"/>
      <c r="MA80" s="252"/>
      <c r="MB80" s="252"/>
      <c r="MC80" s="252"/>
      <c r="MD80" s="252"/>
      <c r="ME80" s="252"/>
      <c r="MF80" s="252"/>
      <c r="MG80" s="252"/>
      <c r="MH80" s="252"/>
      <c r="MI80" s="252"/>
      <c r="MJ80" s="252"/>
      <c r="MK80" s="252"/>
      <c r="ML80" s="252"/>
      <c r="MM80" s="252"/>
      <c r="MN80" s="252"/>
      <c r="MO80" s="252"/>
      <c r="MP80" s="252"/>
      <c r="MQ80" s="252"/>
      <c r="MR80" s="252"/>
      <c r="MS80" s="252"/>
      <c r="MT80" s="252"/>
      <c r="MU80" s="252"/>
      <c r="MV80" s="252"/>
      <c r="MW80" s="252"/>
      <c r="MX80" s="252"/>
      <c r="MY80" s="252"/>
      <c r="MZ80" s="252"/>
      <c r="NA80" s="252"/>
      <c r="NB80" s="252"/>
      <c r="NC80" s="252"/>
      <c r="ND80" s="252"/>
      <c r="NE80" s="252"/>
      <c r="NF80" s="252"/>
      <c r="NG80" s="252"/>
      <c r="NH80" s="252"/>
      <c r="NI80" s="252"/>
      <c r="NJ80" s="252"/>
      <c r="NK80" s="252"/>
      <c r="NL80" s="252"/>
      <c r="NM80" s="252"/>
      <c r="NN80" s="252"/>
      <c r="NO80" s="252"/>
      <c r="NP80" s="252"/>
      <c r="NQ80" s="252"/>
      <c r="NR80" s="252"/>
      <c r="NS80" s="252"/>
      <c r="NT80" s="252"/>
      <c r="NU80" s="252"/>
      <c r="NV80" s="252"/>
      <c r="NW80" s="252"/>
      <c r="NX80" s="252"/>
      <c r="NY80" s="252"/>
      <c r="NZ80" s="252"/>
      <c r="OA80" s="252"/>
      <c r="OB80" s="252"/>
      <c r="OC80" s="252"/>
      <c r="OD80" s="252"/>
      <c r="OE80" s="252"/>
      <c r="OF80" s="252"/>
      <c r="OG80" s="252"/>
      <c r="OH80" s="252"/>
      <c r="OI80" s="252"/>
      <c r="OJ80" s="252"/>
      <c r="OK80" s="252"/>
      <c r="OL80" s="252"/>
      <c r="OM80" s="252"/>
      <c r="ON80" s="252"/>
      <c r="OO80" s="252"/>
      <c r="OP80" s="252"/>
      <c r="OQ80" s="252"/>
      <c r="OR80" s="252"/>
      <c r="OS80" s="252"/>
      <c r="OT80" s="252"/>
      <c r="OU80" s="252"/>
      <c r="OV80" s="252"/>
      <c r="OW80" s="252"/>
      <c r="OX80" s="252"/>
      <c r="OY80" s="252"/>
      <c r="OZ80" s="252"/>
      <c r="PA80" s="252"/>
      <c r="PB80" s="252"/>
      <c r="PC80" s="252"/>
      <c r="PD80" s="252"/>
      <c r="PE80" s="252"/>
      <c r="PF80" s="252"/>
      <c r="PG80" s="252"/>
      <c r="PH80" s="252"/>
      <c r="PI80" s="252"/>
      <c r="PJ80" s="252"/>
      <c r="PK80" s="252"/>
      <c r="PL80" s="252"/>
      <c r="PM80" s="252"/>
      <c r="PN80" s="252"/>
      <c r="PO80" s="252"/>
      <c r="PP80" s="252"/>
      <c r="PQ80" s="252"/>
      <c r="PR80" s="252"/>
      <c r="PS80" s="252"/>
      <c r="PT80" s="252"/>
      <c r="PU80" s="252"/>
      <c r="PV80" s="252"/>
      <c r="PW80" s="252"/>
      <c r="PX80" s="252"/>
      <c r="PY80" s="252"/>
      <c r="PZ80" s="252"/>
      <c r="QA80" s="252"/>
      <c r="QB80" s="252"/>
      <c r="QC80" s="252"/>
      <c r="QD80" s="252"/>
      <c r="QE80" s="252"/>
      <c r="QF80" s="252"/>
      <c r="QG80" s="252"/>
      <c r="QH80" s="252"/>
      <c r="QI80" s="252"/>
      <c r="QJ80" s="252"/>
      <c r="QK80" s="252"/>
      <c r="QL80" s="252"/>
      <c r="QM80" s="252"/>
      <c r="QN80" s="252"/>
      <c r="QO80" s="252"/>
      <c r="QP80" s="252"/>
      <c r="QQ80" s="252"/>
      <c r="QR80" s="252"/>
      <c r="QS80" s="252"/>
      <c r="QT80" s="252"/>
      <c r="QU80" s="252"/>
      <c r="QV80" s="252"/>
      <c r="QW80" s="252"/>
      <c r="QX80" s="252"/>
      <c r="QY80" s="252"/>
      <c r="QZ80" s="252"/>
      <c r="RA80" s="252"/>
      <c r="RB80" s="252"/>
      <c r="RC80" s="252"/>
      <c r="RD80" s="252"/>
      <c r="RE80" s="252"/>
      <c r="RF80" s="252"/>
      <c r="RG80" s="252"/>
      <c r="RH80" s="252"/>
      <c r="RI80" s="252"/>
      <c r="RJ80" s="252"/>
      <c r="RK80" s="252"/>
      <c r="RL80" s="252"/>
      <c r="RM80" s="252"/>
      <c r="RN80" s="252"/>
      <c r="RO80" s="252"/>
      <c r="RP80" s="252"/>
      <c r="RQ80" s="252"/>
      <c r="RR80" s="252"/>
      <c r="RS80" s="252"/>
      <c r="RT80" s="252"/>
      <c r="RU80" s="252"/>
      <c r="RV80" s="252"/>
      <c r="RW80" s="252"/>
      <c r="RX80" s="252"/>
      <c r="RY80" s="252"/>
      <c r="RZ80" s="252"/>
      <c r="SA80" s="252"/>
      <c r="SB80" s="252"/>
      <c r="SC80" s="252"/>
      <c r="SD80" s="252"/>
      <c r="SE80" s="252"/>
      <c r="SF80" s="252"/>
      <c r="SG80" s="252"/>
      <c r="SH80" s="252"/>
      <c r="SI80" s="252"/>
      <c r="SJ80" s="252"/>
      <c r="SK80" s="252"/>
      <c r="SL80" s="252"/>
      <c r="SM80" s="252"/>
      <c r="SN80" s="252"/>
      <c r="SO80" s="252"/>
      <c r="SP80" s="252"/>
      <c r="SQ80" s="252"/>
      <c r="SR80" s="252"/>
      <c r="SS80" s="252"/>
      <c r="ST80" s="252"/>
      <c r="SU80" s="252"/>
      <c r="SV80" s="252"/>
      <c r="SW80" s="252"/>
      <c r="SX80" s="252"/>
      <c r="SY80" s="252"/>
      <c r="SZ80" s="252"/>
      <c r="TA80" s="252"/>
      <c r="TB80" s="252"/>
      <c r="TC80" s="252"/>
      <c r="TD80" s="252"/>
      <c r="TE80" s="252"/>
      <c r="TF80" s="252"/>
      <c r="TG80" s="252"/>
      <c r="TH80" s="252"/>
      <c r="TI80" s="252"/>
      <c r="TJ80" s="252"/>
      <c r="TK80" s="252"/>
      <c r="TL80" s="252"/>
      <c r="TM80" s="252"/>
      <c r="TN80" s="252"/>
      <c r="TO80" s="252"/>
      <c r="TP80" s="252"/>
      <c r="TQ80" s="252"/>
      <c r="TR80" s="252"/>
      <c r="TS80" s="252"/>
      <c r="TT80" s="252"/>
      <c r="TU80" s="252"/>
      <c r="TV80" s="252"/>
      <c r="TW80" s="252"/>
      <c r="TX80" s="252"/>
      <c r="TY80" s="252"/>
      <c r="TZ80" s="252"/>
      <c r="UA80" s="252"/>
      <c r="UB80" s="252"/>
      <c r="UC80" s="252"/>
      <c r="UD80" s="252"/>
      <c r="UE80" s="252"/>
      <c r="UF80" s="252"/>
      <c r="UG80" s="252"/>
      <c r="UH80" s="252"/>
      <c r="UI80" s="252"/>
      <c r="UJ80" s="252"/>
      <c r="UK80" s="252"/>
      <c r="UL80" s="252"/>
      <c r="UM80" s="252"/>
      <c r="UN80" s="252"/>
      <c r="UO80" s="252"/>
      <c r="UP80" s="252"/>
      <c r="UQ80" s="252"/>
      <c r="UR80" s="252"/>
      <c r="US80" s="252"/>
      <c r="UT80" s="252"/>
      <c r="UU80" s="252"/>
      <c r="UV80" s="252"/>
      <c r="UW80" s="252"/>
      <c r="UX80" s="252"/>
      <c r="UY80" s="252"/>
      <c r="UZ80" s="252"/>
      <c r="VA80" s="252"/>
      <c r="VB80" s="252"/>
      <c r="VC80" s="252"/>
      <c r="VD80" s="252"/>
      <c r="VE80" s="252"/>
      <c r="VF80" s="252"/>
      <c r="VG80" s="252"/>
      <c r="VH80" s="252"/>
      <c r="VI80" s="252"/>
      <c r="VJ80" s="252"/>
      <c r="VK80" s="252"/>
      <c r="VL80" s="252"/>
      <c r="VM80" s="252"/>
      <c r="VN80" s="252"/>
      <c r="VO80" s="252"/>
      <c r="VP80" s="252"/>
      <c r="VQ80" s="252"/>
      <c r="VR80" s="252"/>
      <c r="VS80" s="252"/>
      <c r="VT80" s="252"/>
      <c r="VU80" s="252"/>
      <c r="VV80" s="252"/>
      <c r="VW80" s="252"/>
      <c r="VX80" s="252"/>
      <c r="VY80" s="252"/>
      <c r="VZ80" s="252"/>
      <c r="WA80" s="252"/>
      <c r="WB80" s="252"/>
      <c r="WC80" s="252"/>
      <c r="WD80" s="252"/>
      <c r="WE80" s="252"/>
      <c r="WF80" s="252"/>
      <c r="WG80" s="252"/>
      <c r="WH80" s="252"/>
      <c r="WI80" s="252"/>
      <c r="WJ80" s="252"/>
      <c r="WK80" s="252"/>
      <c r="WL80" s="252"/>
      <c r="WM80" s="252"/>
      <c r="WN80" s="252"/>
      <c r="WO80" s="252"/>
      <c r="WP80" s="252"/>
      <c r="WQ80" s="252"/>
      <c r="WR80" s="252"/>
      <c r="WS80" s="252"/>
      <c r="WT80" s="252"/>
      <c r="WU80" s="252"/>
      <c r="WV80" s="252"/>
      <c r="WW80" s="252"/>
      <c r="WX80" s="252"/>
      <c r="WY80" s="252"/>
      <c r="WZ80" s="252"/>
      <c r="XA80" s="252"/>
      <c r="XB80" s="252"/>
      <c r="XC80" s="252"/>
      <c r="XD80" s="252"/>
      <c r="XE80" s="252"/>
      <c r="XF80" s="252"/>
      <c r="XG80" s="252"/>
      <c r="XH80" s="252"/>
      <c r="XI80" s="252"/>
      <c r="XJ80" s="252"/>
      <c r="XK80" s="252"/>
      <c r="XL80" s="252"/>
      <c r="XM80" s="252"/>
      <c r="XN80" s="252"/>
      <c r="XO80" s="252"/>
      <c r="XP80" s="252"/>
      <c r="XQ80" s="252"/>
      <c r="XR80" s="252"/>
      <c r="XS80" s="252"/>
      <c r="XT80" s="252"/>
      <c r="XU80" s="252"/>
      <c r="XV80" s="252"/>
      <c r="XW80" s="252"/>
      <c r="XX80" s="252"/>
      <c r="XY80" s="252"/>
      <c r="XZ80" s="252"/>
      <c r="YA80" s="252"/>
      <c r="YB80" s="252"/>
      <c r="YC80" s="252"/>
      <c r="YD80" s="252"/>
      <c r="YE80" s="252"/>
      <c r="YF80" s="252"/>
      <c r="YG80" s="252"/>
      <c r="YH80" s="252"/>
      <c r="YI80" s="252"/>
      <c r="YJ80" s="252"/>
      <c r="YK80" s="252"/>
      <c r="YL80" s="252"/>
      <c r="YM80" s="252"/>
      <c r="YN80" s="252"/>
      <c r="YO80" s="252"/>
      <c r="YP80" s="252"/>
      <c r="YQ80" s="252"/>
      <c r="YR80" s="252"/>
      <c r="YS80" s="252"/>
      <c r="YT80" s="252"/>
      <c r="YU80" s="252"/>
      <c r="YV80" s="252"/>
      <c r="YW80" s="252"/>
      <c r="YX80" s="252"/>
      <c r="YY80" s="252"/>
      <c r="YZ80" s="252"/>
      <c r="ZA80" s="252"/>
      <c r="ZB80" s="252"/>
      <c r="ZC80" s="252"/>
      <c r="ZD80" s="252"/>
      <c r="ZE80" s="252"/>
      <c r="ZF80" s="252"/>
      <c r="ZG80" s="252"/>
      <c r="ZH80" s="252"/>
      <c r="ZI80" s="252"/>
      <c r="ZJ80" s="252"/>
      <c r="ZK80" s="252"/>
      <c r="ZL80" s="252"/>
      <c r="ZM80" s="252"/>
      <c r="ZN80" s="252"/>
      <c r="ZO80" s="252"/>
      <c r="ZP80" s="252"/>
      <c r="ZQ80" s="252"/>
      <c r="ZR80" s="252"/>
      <c r="ZS80" s="252"/>
      <c r="ZT80" s="252"/>
      <c r="ZU80" s="252"/>
      <c r="ZV80" s="252"/>
      <c r="ZW80" s="252"/>
      <c r="ZX80" s="252"/>
      <c r="ZY80" s="252"/>
      <c r="ZZ80" s="252"/>
      <c r="AAA80" s="252"/>
      <c r="AAB80" s="252"/>
      <c r="AAC80" s="252"/>
      <c r="AAD80" s="252"/>
      <c r="AAE80" s="252"/>
      <c r="AAF80" s="252"/>
      <c r="AAG80" s="252"/>
      <c r="AAH80" s="252"/>
      <c r="AAI80" s="252"/>
      <c r="AAJ80" s="252"/>
      <c r="AAK80" s="252"/>
      <c r="AAL80" s="252"/>
      <c r="AAM80" s="252"/>
      <c r="AAN80" s="252"/>
      <c r="AAO80" s="252"/>
      <c r="AAP80" s="252"/>
      <c r="AAQ80" s="252"/>
      <c r="AAR80" s="252"/>
      <c r="AAS80" s="252"/>
      <c r="AAT80" s="252"/>
      <c r="AAU80" s="252"/>
      <c r="AAV80" s="252"/>
      <c r="AAW80" s="252"/>
      <c r="AAX80" s="252"/>
      <c r="AAY80" s="252"/>
      <c r="AAZ80" s="252"/>
      <c r="ABA80" s="252"/>
      <c r="ABB80" s="252"/>
      <c r="ABC80" s="252"/>
      <c r="ABD80" s="252"/>
      <c r="ABE80" s="252"/>
      <c r="ABF80" s="252"/>
      <c r="ABG80" s="252"/>
      <c r="ABH80" s="252"/>
      <c r="ABI80" s="252"/>
      <c r="ABJ80" s="252"/>
      <c r="ABK80" s="252"/>
      <c r="ABL80" s="252"/>
      <c r="ABM80" s="252"/>
      <c r="ABN80" s="252"/>
      <c r="ABO80" s="252"/>
      <c r="ABP80" s="252"/>
      <c r="ABQ80" s="252"/>
      <c r="ABR80" s="252"/>
      <c r="ABS80" s="252"/>
      <c r="ABT80" s="252"/>
      <c r="ABU80" s="252"/>
      <c r="ABV80" s="252"/>
      <c r="ABW80" s="252"/>
      <c r="ABX80" s="252"/>
      <c r="ABY80" s="252"/>
      <c r="ABZ80" s="252"/>
      <c r="ACA80" s="252"/>
      <c r="ACB80" s="252"/>
      <c r="ACC80" s="252"/>
      <c r="ACD80" s="252"/>
      <c r="ACE80" s="252"/>
      <c r="ACF80" s="252"/>
      <c r="ACG80" s="252"/>
      <c r="ACH80" s="252"/>
      <c r="ACI80" s="252"/>
      <c r="ACJ80" s="252"/>
      <c r="ACK80" s="252"/>
      <c r="ACL80" s="252"/>
      <c r="ACM80" s="252"/>
      <c r="ACN80" s="252"/>
      <c r="ACO80" s="252"/>
      <c r="ACP80" s="252"/>
      <c r="ACQ80" s="252"/>
      <c r="ACR80" s="252"/>
      <c r="ACS80" s="252"/>
      <c r="ACT80" s="252"/>
      <c r="ACU80" s="252"/>
      <c r="ACV80" s="252"/>
      <c r="ACW80" s="252"/>
      <c r="ACX80" s="252"/>
      <c r="ACY80" s="252"/>
      <c r="ACZ80" s="252"/>
      <c r="ADA80" s="252"/>
      <c r="ADB80" s="252"/>
      <c r="ADC80" s="252"/>
      <c r="ADD80" s="252"/>
      <c r="ADE80" s="252"/>
      <c r="ADF80" s="252"/>
      <c r="ADG80" s="252"/>
      <c r="ADH80" s="252"/>
      <c r="ADI80" s="252"/>
      <c r="ADJ80" s="252"/>
      <c r="ADK80" s="252"/>
      <c r="ADL80" s="252"/>
      <c r="ADM80" s="252"/>
      <c r="ADN80" s="252"/>
      <c r="ADO80" s="252"/>
      <c r="ADP80" s="252"/>
      <c r="ADQ80" s="252"/>
      <c r="ADR80" s="252"/>
      <c r="ADS80" s="252"/>
      <c r="ADT80" s="252"/>
      <c r="ADU80" s="252"/>
      <c r="ADV80" s="252"/>
      <c r="ADW80" s="252"/>
      <c r="ADX80" s="252"/>
      <c r="ADY80" s="252"/>
      <c r="ADZ80" s="252"/>
      <c r="AEA80" s="252"/>
      <c r="AEB80" s="252"/>
      <c r="AEC80" s="252"/>
      <c r="AED80" s="252"/>
      <c r="AEE80" s="252"/>
      <c r="AEF80" s="252"/>
      <c r="AEG80" s="252"/>
      <c r="AEH80" s="252"/>
      <c r="AEI80" s="252"/>
      <c r="AEJ80" s="252"/>
      <c r="AEK80" s="252"/>
      <c r="AEL80" s="252"/>
      <c r="AEM80" s="252"/>
      <c r="AEN80" s="252"/>
      <c r="AEO80" s="252"/>
      <c r="AEP80" s="252"/>
      <c r="AEQ80" s="252"/>
      <c r="AER80" s="252"/>
      <c r="AES80" s="252"/>
      <c r="AET80" s="252"/>
      <c r="AEU80" s="252"/>
      <c r="AEV80" s="252"/>
      <c r="AEW80" s="252"/>
      <c r="AEX80" s="252"/>
      <c r="AEY80" s="252"/>
      <c r="AEZ80" s="252"/>
      <c r="AFA80" s="252"/>
      <c r="AFB80" s="252"/>
      <c r="AFC80" s="252"/>
      <c r="AFD80" s="252"/>
      <c r="AFE80" s="252"/>
      <c r="AFF80" s="252"/>
      <c r="AFG80" s="252"/>
      <c r="AFH80" s="252"/>
      <c r="AFI80" s="252"/>
      <c r="AFJ80" s="252"/>
      <c r="AFK80" s="252"/>
      <c r="AFL80" s="252"/>
      <c r="AFM80" s="252"/>
      <c r="AFN80" s="252"/>
      <c r="AFO80" s="252"/>
      <c r="AFP80" s="252"/>
      <c r="AFQ80" s="252"/>
      <c r="AFR80" s="252"/>
      <c r="AFS80" s="252"/>
      <c r="AFT80" s="252"/>
      <c r="AFU80" s="252"/>
      <c r="AFV80" s="252"/>
      <c r="AFW80" s="252"/>
      <c r="AFX80" s="252"/>
      <c r="AFY80" s="252"/>
      <c r="AFZ80" s="252"/>
      <c r="AGA80" s="252"/>
      <c r="AGB80" s="252"/>
      <c r="AGC80" s="252"/>
      <c r="AGD80" s="252"/>
      <c r="AGE80" s="252"/>
      <c r="AGF80" s="252"/>
      <c r="AGG80" s="252"/>
      <c r="AGH80" s="252"/>
      <c r="AGI80" s="252"/>
      <c r="AGJ80" s="252"/>
      <c r="AGK80" s="252"/>
      <c r="AGL80" s="252"/>
      <c r="AGM80" s="252"/>
      <c r="AGN80" s="252"/>
      <c r="AGO80" s="252"/>
      <c r="AGP80" s="252"/>
      <c r="AGQ80" s="252"/>
      <c r="AGR80" s="252"/>
      <c r="AGS80" s="252"/>
      <c r="AGT80" s="252"/>
      <c r="AGU80" s="252"/>
      <c r="AGV80" s="252"/>
      <c r="AGW80" s="252"/>
      <c r="AGX80" s="252"/>
      <c r="AGY80" s="252"/>
      <c r="AGZ80" s="252"/>
      <c r="AHA80" s="252"/>
      <c r="AHB80" s="252"/>
      <c r="AHC80" s="252"/>
      <c r="AHD80" s="252"/>
      <c r="AHE80" s="252"/>
      <c r="AHF80" s="252"/>
      <c r="AHG80" s="252"/>
      <c r="AHH80" s="252"/>
      <c r="AHI80" s="252"/>
      <c r="AHJ80" s="252"/>
      <c r="AHK80" s="252"/>
      <c r="AHL80" s="252"/>
      <c r="AHM80" s="252"/>
      <c r="AHN80" s="252"/>
      <c r="AHO80" s="252"/>
      <c r="AHP80" s="252"/>
      <c r="AHQ80" s="252"/>
      <c r="AHR80" s="252"/>
      <c r="AHS80" s="252"/>
      <c r="AHT80" s="252"/>
      <c r="AHU80" s="252"/>
      <c r="AHV80" s="252"/>
      <c r="AHW80" s="252"/>
      <c r="AHX80" s="252"/>
      <c r="AHY80" s="252"/>
      <c r="AHZ80" s="252"/>
      <c r="AIA80" s="252"/>
      <c r="AIB80" s="252"/>
      <c r="AIC80" s="252"/>
      <c r="AID80" s="252"/>
      <c r="AIE80" s="252"/>
      <c r="AIF80" s="252"/>
      <c r="AIG80" s="252"/>
      <c r="AIH80" s="252"/>
      <c r="AII80" s="252"/>
      <c r="AIJ80" s="252"/>
      <c r="AIK80" s="252"/>
      <c r="AIL80" s="252"/>
      <c r="AIM80" s="252"/>
      <c r="AIN80" s="252"/>
      <c r="AIO80" s="252"/>
      <c r="AIP80" s="252"/>
      <c r="AIQ80" s="252"/>
      <c r="AIR80" s="252"/>
      <c r="AIS80" s="252"/>
      <c r="AIT80" s="252"/>
      <c r="AIU80" s="252"/>
      <c r="AIV80" s="252"/>
      <c r="AIW80" s="252"/>
      <c r="AIX80" s="252"/>
      <c r="AIY80" s="252"/>
      <c r="AIZ80" s="252"/>
      <c r="AJA80" s="252"/>
      <c r="AJB80" s="252"/>
      <c r="AJC80" s="252"/>
      <c r="AJD80" s="252"/>
      <c r="AJE80" s="252"/>
      <c r="AJF80" s="252"/>
      <c r="AJG80" s="252"/>
      <c r="AJH80" s="252"/>
      <c r="AJI80" s="252"/>
      <c r="AJJ80" s="252"/>
      <c r="AJK80" s="252"/>
      <c r="AJL80" s="252"/>
      <c r="AJM80" s="252"/>
      <c r="AJN80" s="252"/>
      <c r="AJO80" s="252"/>
      <c r="AJP80" s="252"/>
      <c r="AJQ80" s="252"/>
      <c r="AJR80" s="252"/>
      <c r="AJS80" s="252"/>
      <c r="AJT80" s="252"/>
      <c r="AJU80" s="252"/>
      <c r="AJV80" s="252"/>
      <c r="AJW80" s="252"/>
      <c r="AJX80" s="252"/>
      <c r="AJY80" s="252"/>
      <c r="AJZ80" s="252"/>
      <c r="AKA80" s="252"/>
      <c r="AKB80" s="252"/>
      <c r="AKC80" s="252"/>
      <c r="AKD80" s="252"/>
      <c r="AKE80" s="252"/>
      <c r="AKF80" s="252"/>
      <c r="AKG80" s="252"/>
      <c r="AKH80" s="252"/>
      <c r="AKI80" s="252"/>
      <c r="AKJ80" s="252"/>
      <c r="AKK80" s="252"/>
      <c r="AKL80" s="252"/>
      <c r="AKM80" s="252"/>
      <c r="AKN80" s="252"/>
      <c r="AKO80" s="252"/>
      <c r="AKP80" s="252"/>
      <c r="AKQ80" s="252"/>
      <c r="AKR80" s="252"/>
      <c r="AKS80" s="252"/>
      <c r="AKT80" s="252"/>
      <c r="AKU80" s="252"/>
      <c r="AKV80" s="252"/>
      <c r="AKW80" s="252"/>
      <c r="AKX80" s="252"/>
      <c r="AKY80" s="252"/>
      <c r="AKZ80" s="252"/>
      <c r="ALA80" s="252"/>
      <c r="ALB80" s="252"/>
      <c r="ALC80" s="252"/>
      <c r="ALD80" s="252"/>
      <c r="ALE80" s="252"/>
      <c r="ALF80" s="252"/>
      <c r="ALG80" s="252"/>
      <c r="ALH80" s="252"/>
      <c r="ALI80" s="252"/>
      <c r="ALJ80" s="252"/>
      <c r="ALK80" s="252"/>
      <c r="ALL80" s="252"/>
      <c r="ALM80" s="252"/>
      <c r="ALN80" s="252"/>
      <c r="ALO80" s="252"/>
      <c r="ALP80" s="252"/>
      <c r="ALQ80" s="252"/>
      <c r="ALR80" s="252"/>
      <c r="ALS80" s="252"/>
    </row>
    <row r="81" spans="1:1007" s="3" customFormat="1" ht="13.5" thickBot="1" x14ac:dyDescent="0.25">
      <c r="A81" s="378"/>
      <c r="B81" s="390"/>
      <c r="C81" s="390"/>
      <c r="D81" s="357" t="s">
        <v>332</v>
      </c>
      <c r="E81" s="356"/>
      <c r="F81" s="356"/>
      <c r="G81" s="356"/>
      <c r="H81" s="356"/>
      <c r="I81" s="356"/>
      <c r="J81" s="356"/>
      <c r="K81" s="356"/>
      <c r="L81" s="356"/>
      <c r="M81" s="356"/>
      <c r="N81" s="356"/>
      <c r="O81" s="356"/>
      <c r="P81" s="356"/>
      <c r="Q81" s="356"/>
      <c r="R81" s="356"/>
      <c r="S81" s="356"/>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2"/>
      <c r="BD81" s="252"/>
      <c r="BE81" s="252"/>
      <c r="BF81" s="252"/>
      <c r="BG81" s="252"/>
      <c r="BH81" s="252"/>
      <c r="BI81" s="252"/>
      <c r="BJ81" s="252"/>
      <c r="BK81" s="252"/>
      <c r="BL81" s="252"/>
      <c r="BM81" s="252"/>
      <c r="BN81" s="252"/>
      <c r="BO81" s="252"/>
      <c r="BP81" s="252"/>
      <c r="BQ81" s="252"/>
      <c r="BR81" s="252"/>
      <c r="BS81" s="252"/>
      <c r="BT81" s="252"/>
      <c r="BU81" s="252"/>
      <c r="BV81" s="252"/>
      <c r="BW81" s="252"/>
      <c r="BX81" s="252"/>
      <c r="BY81" s="252"/>
      <c r="BZ81" s="252"/>
      <c r="CA81" s="252"/>
      <c r="CB81" s="252"/>
      <c r="CC81" s="252"/>
      <c r="CD81" s="252"/>
      <c r="CE81" s="252"/>
      <c r="CF81" s="252"/>
      <c r="CG81" s="252"/>
      <c r="CH81" s="252"/>
      <c r="CI81" s="252"/>
      <c r="CJ81" s="252"/>
      <c r="CK81" s="252"/>
      <c r="CL81" s="252"/>
      <c r="CM81" s="252"/>
      <c r="CN81" s="252"/>
      <c r="CO81" s="252"/>
      <c r="CP81" s="252"/>
      <c r="CQ81" s="252"/>
      <c r="CR81" s="252"/>
      <c r="CS81" s="252"/>
      <c r="CT81" s="252"/>
      <c r="CU81" s="252"/>
      <c r="CV81" s="252"/>
      <c r="CW81" s="252"/>
      <c r="CX81" s="252"/>
      <c r="CY81" s="252"/>
      <c r="CZ81" s="252"/>
      <c r="DA81" s="252"/>
      <c r="DB81" s="252"/>
      <c r="DC81" s="252"/>
      <c r="DD81" s="252"/>
      <c r="DE81" s="252"/>
      <c r="DF81" s="252"/>
      <c r="DG81" s="252"/>
      <c r="DH81" s="252"/>
      <c r="DI81" s="252"/>
      <c r="DJ81" s="252"/>
      <c r="DK81" s="252"/>
      <c r="DL81" s="252"/>
      <c r="DM81" s="252"/>
      <c r="DN81" s="252"/>
      <c r="DO81" s="252"/>
      <c r="DP81" s="252"/>
      <c r="DQ81" s="252"/>
      <c r="DR81" s="252"/>
      <c r="DS81" s="252"/>
      <c r="DT81" s="252"/>
      <c r="DU81" s="252"/>
      <c r="DV81" s="252"/>
      <c r="DW81" s="252"/>
      <c r="DX81" s="252"/>
      <c r="DY81" s="252"/>
      <c r="DZ81" s="252"/>
      <c r="EA81" s="252"/>
      <c r="EB81" s="252"/>
      <c r="EC81" s="252"/>
      <c r="ED81" s="252"/>
      <c r="EE81" s="252"/>
      <c r="EF81" s="252"/>
      <c r="EG81" s="252"/>
      <c r="EH81" s="252"/>
      <c r="EI81" s="252"/>
      <c r="EJ81" s="252"/>
      <c r="EK81" s="252"/>
      <c r="EL81" s="252"/>
      <c r="EM81" s="252"/>
      <c r="EN81" s="252"/>
      <c r="EO81" s="252"/>
      <c r="EP81" s="252"/>
      <c r="EQ81" s="252"/>
      <c r="ER81" s="252"/>
      <c r="ES81" s="252"/>
      <c r="ET81" s="252"/>
      <c r="EU81" s="252"/>
      <c r="EV81" s="252"/>
      <c r="EW81" s="252"/>
      <c r="EX81" s="252"/>
      <c r="EY81" s="252"/>
      <c r="EZ81" s="252"/>
      <c r="FA81" s="252"/>
      <c r="FB81" s="252"/>
      <c r="FC81" s="252"/>
      <c r="FD81" s="252"/>
      <c r="FE81" s="252"/>
      <c r="FF81" s="252"/>
      <c r="FG81" s="252"/>
      <c r="FH81" s="252"/>
      <c r="FI81" s="252"/>
      <c r="FJ81" s="252"/>
      <c r="FK81" s="252"/>
      <c r="FL81" s="252"/>
      <c r="FM81" s="252"/>
      <c r="FN81" s="252"/>
      <c r="FO81" s="252"/>
      <c r="FP81" s="252"/>
      <c r="FQ81" s="252"/>
      <c r="FR81" s="252"/>
      <c r="FS81" s="252"/>
      <c r="FT81" s="252"/>
      <c r="FU81" s="252"/>
      <c r="FV81" s="252"/>
      <c r="FW81" s="252"/>
      <c r="FX81" s="252"/>
      <c r="FY81" s="252"/>
      <c r="FZ81" s="252"/>
      <c r="GA81" s="252"/>
      <c r="GB81" s="252"/>
      <c r="GC81" s="252"/>
      <c r="GD81" s="252"/>
      <c r="GE81" s="252"/>
      <c r="GF81" s="252"/>
      <c r="GG81" s="252"/>
      <c r="GH81" s="252"/>
      <c r="GI81" s="252"/>
      <c r="GJ81" s="252"/>
      <c r="GK81" s="252"/>
      <c r="GL81" s="252"/>
      <c r="GM81" s="252"/>
      <c r="GN81" s="252"/>
      <c r="GO81" s="252"/>
      <c r="GP81" s="252"/>
      <c r="GQ81" s="252"/>
      <c r="GR81" s="252"/>
      <c r="GS81" s="252"/>
      <c r="GT81" s="252"/>
      <c r="GU81" s="252"/>
      <c r="GV81" s="252"/>
      <c r="GW81" s="252"/>
      <c r="GX81" s="252"/>
      <c r="GY81" s="252"/>
      <c r="GZ81" s="252"/>
      <c r="HA81" s="252"/>
      <c r="HB81" s="252"/>
      <c r="HC81" s="252"/>
      <c r="HD81" s="252"/>
      <c r="HE81" s="252"/>
      <c r="HF81" s="252"/>
      <c r="HG81" s="252"/>
      <c r="HH81" s="252"/>
      <c r="HI81" s="252"/>
      <c r="HJ81" s="252"/>
      <c r="HK81" s="252"/>
      <c r="HL81" s="252"/>
      <c r="HM81" s="252"/>
      <c r="HN81" s="252"/>
      <c r="HO81" s="252"/>
      <c r="HP81" s="252"/>
      <c r="HQ81" s="252"/>
      <c r="HR81" s="252"/>
      <c r="HS81" s="252"/>
      <c r="HT81" s="252"/>
      <c r="HU81" s="252"/>
      <c r="HV81" s="252"/>
      <c r="HW81" s="252"/>
      <c r="HX81" s="252"/>
      <c r="HY81" s="252"/>
      <c r="HZ81" s="252"/>
      <c r="IA81" s="252"/>
      <c r="IB81" s="252"/>
      <c r="IC81" s="252"/>
      <c r="ID81" s="252"/>
      <c r="IE81" s="252"/>
      <c r="IF81" s="252"/>
      <c r="IG81" s="252"/>
      <c r="IH81" s="252"/>
      <c r="II81" s="252"/>
      <c r="IJ81" s="252"/>
      <c r="IK81" s="252"/>
      <c r="IL81" s="252"/>
      <c r="IM81" s="252"/>
      <c r="IN81" s="252"/>
      <c r="IO81" s="252"/>
      <c r="IP81" s="252"/>
      <c r="IQ81" s="252"/>
      <c r="IR81" s="252"/>
      <c r="IS81" s="252"/>
      <c r="IT81" s="252"/>
      <c r="IU81" s="252"/>
      <c r="IV81" s="252"/>
      <c r="IW81" s="252"/>
      <c r="IX81" s="252"/>
      <c r="IY81" s="252"/>
      <c r="IZ81" s="252"/>
      <c r="JA81" s="252"/>
      <c r="JB81" s="252"/>
      <c r="JC81" s="252"/>
      <c r="JD81" s="252"/>
      <c r="JE81" s="252"/>
      <c r="JF81" s="252"/>
      <c r="JG81" s="252"/>
      <c r="JH81" s="252"/>
      <c r="JI81" s="252"/>
      <c r="JJ81" s="252"/>
      <c r="JK81" s="252"/>
      <c r="JL81" s="252"/>
      <c r="JM81" s="252"/>
      <c r="JN81" s="252"/>
      <c r="JO81" s="252"/>
      <c r="JP81" s="252"/>
      <c r="JQ81" s="252"/>
      <c r="JR81" s="252"/>
      <c r="JS81" s="252"/>
      <c r="JT81" s="252"/>
      <c r="JU81" s="252"/>
      <c r="JV81" s="252"/>
      <c r="JW81" s="252"/>
      <c r="JX81" s="252"/>
      <c r="JY81" s="252"/>
      <c r="JZ81" s="252"/>
      <c r="KA81" s="252"/>
      <c r="KB81" s="252"/>
      <c r="KC81" s="252"/>
      <c r="KD81" s="252"/>
      <c r="KE81" s="252"/>
      <c r="KF81" s="252"/>
      <c r="KG81" s="252"/>
      <c r="KH81" s="252"/>
      <c r="KI81" s="252"/>
      <c r="KJ81" s="252"/>
      <c r="KK81" s="252"/>
      <c r="KL81" s="252"/>
      <c r="KM81" s="252"/>
      <c r="KN81" s="252"/>
      <c r="KO81" s="252"/>
      <c r="KP81" s="252"/>
      <c r="KQ81" s="252"/>
      <c r="KR81" s="252"/>
      <c r="KS81" s="252"/>
      <c r="KT81" s="252"/>
      <c r="KU81" s="252"/>
      <c r="KV81" s="252"/>
      <c r="KW81" s="252"/>
      <c r="KX81" s="252"/>
      <c r="KY81" s="252"/>
      <c r="KZ81" s="252"/>
      <c r="LA81" s="252"/>
      <c r="LB81" s="252"/>
      <c r="LC81" s="252"/>
      <c r="LD81" s="252"/>
      <c r="LE81" s="252"/>
      <c r="LF81" s="252"/>
      <c r="LG81" s="252"/>
      <c r="LH81" s="252"/>
      <c r="LI81" s="252"/>
      <c r="LJ81" s="252"/>
      <c r="LK81" s="252"/>
      <c r="LL81" s="252"/>
      <c r="LM81" s="252"/>
      <c r="LN81" s="252"/>
      <c r="LO81" s="252"/>
      <c r="LP81" s="252"/>
      <c r="LQ81" s="252"/>
      <c r="LR81" s="252"/>
      <c r="LS81" s="252"/>
      <c r="LT81" s="252"/>
      <c r="LU81" s="252"/>
      <c r="LV81" s="252"/>
      <c r="LW81" s="252"/>
      <c r="LX81" s="252"/>
      <c r="LY81" s="252"/>
      <c r="LZ81" s="252"/>
      <c r="MA81" s="252"/>
      <c r="MB81" s="252"/>
      <c r="MC81" s="252"/>
      <c r="MD81" s="252"/>
      <c r="ME81" s="252"/>
      <c r="MF81" s="252"/>
      <c r="MG81" s="252"/>
      <c r="MH81" s="252"/>
      <c r="MI81" s="252"/>
      <c r="MJ81" s="252"/>
      <c r="MK81" s="252"/>
      <c r="ML81" s="252"/>
      <c r="MM81" s="252"/>
      <c r="MN81" s="252"/>
      <c r="MO81" s="252"/>
      <c r="MP81" s="252"/>
      <c r="MQ81" s="252"/>
      <c r="MR81" s="252"/>
      <c r="MS81" s="252"/>
      <c r="MT81" s="252"/>
      <c r="MU81" s="252"/>
      <c r="MV81" s="252"/>
      <c r="MW81" s="252"/>
      <c r="MX81" s="252"/>
      <c r="MY81" s="252"/>
      <c r="MZ81" s="252"/>
      <c r="NA81" s="252"/>
      <c r="NB81" s="252"/>
      <c r="NC81" s="252"/>
      <c r="ND81" s="252"/>
      <c r="NE81" s="252"/>
      <c r="NF81" s="252"/>
      <c r="NG81" s="252"/>
      <c r="NH81" s="252"/>
      <c r="NI81" s="252"/>
      <c r="NJ81" s="252"/>
      <c r="NK81" s="252"/>
      <c r="NL81" s="252"/>
      <c r="NM81" s="252"/>
      <c r="NN81" s="252"/>
      <c r="NO81" s="252"/>
      <c r="NP81" s="252"/>
      <c r="NQ81" s="252"/>
      <c r="NR81" s="252"/>
      <c r="NS81" s="252"/>
      <c r="NT81" s="252"/>
      <c r="NU81" s="252"/>
      <c r="NV81" s="252"/>
      <c r="NW81" s="252"/>
      <c r="NX81" s="252"/>
      <c r="NY81" s="252"/>
      <c r="NZ81" s="252"/>
      <c r="OA81" s="252"/>
      <c r="OB81" s="252"/>
      <c r="OC81" s="252"/>
      <c r="OD81" s="252"/>
      <c r="OE81" s="252"/>
      <c r="OF81" s="252"/>
      <c r="OG81" s="252"/>
      <c r="OH81" s="252"/>
      <c r="OI81" s="252"/>
      <c r="OJ81" s="252"/>
      <c r="OK81" s="252"/>
      <c r="OL81" s="252"/>
      <c r="OM81" s="252"/>
      <c r="ON81" s="252"/>
      <c r="OO81" s="252"/>
      <c r="OP81" s="252"/>
      <c r="OQ81" s="252"/>
      <c r="OR81" s="252"/>
      <c r="OS81" s="252"/>
      <c r="OT81" s="252"/>
      <c r="OU81" s="252"/>
      <c r="OV81" s="252"/>
      <c r="OW81" s="252"/>
      <c r="OX81" s="252"/>
      <c r="OY81" s="252"/>
      <c r="OZ81" s="252"/>
      <c r="PA81" s="252"/>
      <c r="PB81" s="252"/>
      <c r="PC81" s="252"/>
      <c r="PD81" s="252"/>
      <c r="PE81" s="252"/>
      <c r="PF81" s="252"/>
      <c r="PG81" s="252"/>
      <c r="PH81" s="252"/>
      <c r="PI81" s="252"/>
      <c r="PJ81" s="252"/>
      <c r="PK81" s="252"/>
      <c r="PL81" s="252"/>
      <c r="PM81" s="252"/>
      <c r="PN81" s="252"/>
      <c r="PO81" s="252"/>
      <c r="PP81" s="252"/>
      <c r="PQ81" s="252"/>
      <c r="PR81" s="252"/>
      <c r="PS81" s="252"/>
      <c r="PT81" s="252"/>
      <c r="PU81" s="252"/>
      <c r="PV81" s="252"/>
      <c r="PW81" s="252"/>
      <c r="PX81" s="252"/>
      <c r="PY81" s="252"/>
      <c r="PZ81" s="252"/>
      <c r="QA81" s="252"/>
      <c r="QB81" s="252"/>
      <c r="QC81" s="252"/>
      <c r="QD81" s="252"/>
      <c r="QE81" s="252"/>
      <c r="QF81" s="252"/>
      <c r="QG81" s="252"/>
      <c r="QH81" s="252"/>
      <c r="QI81" s="252"/>
      <c r="QJ81" s="252"/>
      <c r="QK81" s="252"/>
      <c r="QL81" s="252"/>
      <c r="QM81" s="252"/>
      <c r="QN81" s="252"/>
      <c r="QO81" s="252"/>
      <c r="QP81" s="252"/>
      <c r="QQ81" s="252"/>
      <c r="QR81" s="252"/>
      <c r="QS81" s="252"/>
      <c r="QT81" s="252"/>
      <c r="QU81" s="252"/>
      <c r="QV81" s="252"/>
      <c r="QW81" s="252"/>
      <c r="QX81" s="252"/>
      <c r="QY81" s="252"/>
      <c r="QZ81" s="252"/>
      <c r="RA81" s="252"/>
      <c r="RB81" s="252"/>
      <c r="RC81" s="252"/>
      <c r="RD81" s="252"/>
      <c r="RE81" s="252"/>
      <c r="RF81" s="252"/>
      <c r="RG81" s="252"/>
      <c r="RH81" s="252"/>
      <c r="RI81" s="252"/>
      <c r="RJ81" s="252"/>
      <c r="RK81" s="252"/>
      <c r="RL81" s="252"/>
      <c r="RM81" s="252"/>
      <c r="RN81" s="252"/>
      <c r="RO81" s="252"/>
      <c r="RP81" s="252"/>
      <c r="RQ81" s="252"/>
      <c r="RR81" s="252"/>
      <c r="RS81" s="252"/>
      <c r="RT81" s="252"/>
      <c r="RU81" s="252"/>
      <c r="RV81" s="252"/>
      <c r="RW81" s="252"/>
      <c r="RX81" s="252"/>
      <c r="RY81" s="252"/>
      <c r="RZ81" s="252"/>
      <c r="SA81" s="252"/>
      <c r="SB81" s="252"/>
      <c r="SC81" s="252"/>
      <c r="SD81" s="252"/>
      <c r="SE81" s="252"/>
      <c r="SF81" s="252"/>
      <c r="SG81" s="252"/>
      <c r="SH81" s="252"/>
      <c r="SI81" s="252"/>
      <c r="SJ81" s="252"/>
      <c r="SK81" s="252"/>
      <c r="SL81" s="252"/>
      <c r="SM81" s="252"/>
      <c r="SN81" s="252"/>
      <c r="SO81" s="252"/>
      <c r="SP81" s="252"/>
      <c r="SQ81" s="252"/>
      <c r="SR81" s="252"/>
      <c r="SS81" s="252"/>
      <c r="ST81" s="252"/>
      <c r="SU81" s="252"/>
      <c r="SV81" s="252"/>
      <c r="SW81" s="252"/>
      <c r="SX81" s="252"/>
      <c r="SY81" s="252"/>
      <c r="SZ81" s="252"/>
      <c r="TA81" s="252"/>
      <c r="TB81" s="252"/>
      <c r="TC81" s="252"/>
      <c r="TD81" s="252"/>
      <c r="TE81" s="252"/>
      <c r="TF81" s="252"/>
      <c r="TG81" s="252"/>
      <c r="TH81" s="252"/>
      <c r="TI81" s="252"/>
      <c r="TJ81" s="252"/>
      <c r="TK81" s="252"/>
      <c r="TL81" s="252"/>
      <c r="TM81" s="252"/>
      <c r="TN81" s="252"/>
      <c r="TO81" s="252"/>
      <c r="TP81" s="252"/>
      <c r="TQ81" s="252"/>
      <c r="TR81" s="252"/>
      <c r="TS81" s="252"/>
      <c r="TT81" s="252"/>
      <c r="TU81" s="252"/>
      <c r="TV81" s="252"/>
      <c r="TW81" s="252"/>
      <c r="TX81" s="252"/>
      <c r="TY81" s="252"/>
      <c r="TZ81" s="252"/>
      <c r="UA81" s="252"/>
      <c r="UB81" s="252"/>
      <c r="UC81" s="252"/>
      <c r="UD81" s="252"/>
      <c r="UE81" s="252"/>
      <c r="UF81" s="252"/>
      <c r="UG81" s="252"/>
      <c r="UH81" s="252"/>
      <c r="UI81" s="252"/>
      <c r="UJ81" s="252"/>
      <c r="UK81" s="252"/>
      <c r="UL81" s="252"/>
      <c r="UM81" s="252"/>
      <c r="UN81" s="252"/>
      <c r="UO81" s="252"/>
      <c r="UP81" s="252"/>
      <c r="UQ81" s="252"/>
      <c r="UR81" s="252"/>
      <c r="US81" s="252"/>
      <c r="UT81" s="252"/>
      <c r="UU81" s="252"/>
      <c r="UV81" s="252"/>
      <c r="UW81" s="252"/>
      <c r="UX81" s="252"/>
      <c r="UY81" s="252"/>
      <c r="UZ81" s="252"/>
      <c r="VA81" s="252"/>
      <c r="VB81" s="252"/>
      <c r="VC81" s="252"/>
      <c r="VD81" s="252"/>
      <c r="VE81" s="252"/>
      <c r="VF81" s="252"/>
      <c r="VG81" s="252"/>
      <c r="VH81" s="252"/>
      <c r="VI81" s="252"/>
      <c r="VJ81" s="252"/>
      <c r="VK81" s="252"/>
      <c r="VL81" s="252"/>
      <c r="VM81" s="252"/>
      <c r="VN81" s="252"/>
      <c r="VO81" s="252"/>
      <c r="VP81" s="252"/>
      <c r="VQ81" s="252"/>
      <c r="VR81" s="252"/>
      <c r="VS81" s="252"/>
      <c r="VT81" s="252"/>
      <c r="VU81" s="252"/>
      <c r="VV81" s="252"/>
      <c r="VW81" s="252"/>
      <c r="VX81" s="252"/>
      <c r="VY81" s="252"/>
      <c r="VZ81" s="252"/>
      <c r="WA81" s="252"/>
      <c r="WB81" s="252"/>
      <c r="WC81" s="252"/>
      <c r="WD81" s="252"/>
      <c r="WE81" s="252"/>
      <c r="WF81" s="252"/>
      <c r="WG81" s="252"/>
      <c r="WH81" s="252"/>
      <c r="WI81" s="252"/>
      <c r="WJ81" s="252"/>
      <c r="WK81" s="252"/>
      <c r="WL81" s="252"/>
      <c r="WM81" s="252"/>
      <c r="WN81" s="252"/>
      <c r="WO81" s="252"/>
      <c r="WP81" s="252"/>
      <c r="WQ81" s="252"/>
      <c r="WR81" s="252"/>
      <c r="WS81" s="252"/>
      <c r="WT81" s="252"/>
      <c r="WU81" s="252"/>
      <c r="WV81" s="252"/>
      <c r="WW81" s="252"/>
      <c r="WX81" s="252"/>
      <c r="WY81" s="252"/>
      <c r="WZ81" s="252"/>
      <c r="XA81" s="252"/>
      <c r="XB81" s="252"/>
      <c r="XC81" s="252"/>
      <c r="XD81" s="252"/>
      <c r="XE81" s="252"/>
      <c r="XF81" s="252"/>
      <c r="XG81" s="252"/>
      <c r="XH81" s="252"/>
      <c r="XI81" s="252"/>
      <c r="XJ81" s="252"/>
      <c r="XK81" s="252"/>
      <c r="XL81" s="252"/>
      <c r="XM81" s="252"/>
      <c r="XN81" s="252"/>
      <c r="XO81" s="252"/>
      <c r="XP81" s="252"/>
      <c r="XQ81" s="252"/>
      <c r="XR81" s="252"/>
      <c r="XS81" s="252"/>
      <c r="XT81" s="252"/>
      <c r="XU81" s="252"/>
      <c r="XV81" s="252"/>
      <c r="XW81" s="252"/>
      <c r="XX81" s="252"/>
      <c r="XY81" s="252"/>
      <c r="XZ81" s="252"/>
      <c r="YA81" s="252"/>
      <c r="YB81" s="252"/>
      <c r="YC81" s="252"/>
      <c r="YD81" s="252"/>
      <c r="YE81" s="252"/>
      <c r="YF81" s="252"/>
      <c r="YG81" s="252"/>
      <c r="YH81" s="252"/>
      <c r="YI81" s="252"/>
      <c r="YJ81" s="252"/>
      <c r="YK81" s="252"/>
      <c r="YL81" s="252"/>
      <c r="YM81" s="252"/>
      <c r="YN81" s="252"/>
      <c r="YO81" s="252"/>
      <c r="YP81" s="252"/>
      <c r="YQ81" s="252"/>
      <c r="YR81" s="252"/>
      <c r="YS81" s="252"/>
      <c r="YT81" s="252"/>
      <c r="YU81" s="252"/>
      <c r="YV81" s="252"/>
      <c r="YW81" s="252"/>
      <c r="YX81" s="252"/>
      <c r="YY81" s="252"/>
      <c r="YZ81" s="252"/>
      <c r="ZA81" s="252"/>
      <c r="ZB81" s="252"/>
      <c r="ZC81" s="252"/>
      <c r="ZD81" s="252"/>
      <c r="ZE81" s="252"/>
      <c r="ZF81" s="252"/>
      <c r="ZG81" s="252"/>
      <c r="ZH81" s="252"/>
      <c r="ZI81" s="252"/>
      <c r="ZJ81" s="252"/>
      <c r="ZK81" s="252"/>
      <c r="ZL81" s="252"/>
      <c r="ZM81" s="252"/>
      <c r="ZN81" s="252"/>
      <c r="ZO81" s="252"/>
      <c r="ZP81" s="252"/>
      <c r="ZQ81" s="252"/>
      <c r="ZR81" s="252"/>
      <c r="ZS81" s="252"/>
      <c r="ZT81" s="252"/>
      <c r="ZU81" s="252"/>
      <c r="ZV81" s="252"/>
      <c r="ZW81" s="252"/>
      <c r="ZX81" s="252"/>
      <c r="ZY81" s="252"/>
      <c r="ZZ81" s="252"/>
      <c r="AAA81" s="252"/>
      <c r="AAB81" s="252"/>
      <c r="AAC81" s="252"/>
      <c r="AAD81" s="252"/>
      <c r="AAE81" s="252"/>
      <c r="AAF81" s="252"/>
      <c r="AAG81" s="252"/>
      <c r="AAH81" s="252"/>
      <c r="AAI81" s="252"/>
      <c r="AAJ81" s="252"/>
      <c r="AAK81" s="252"/>
      <c r="AAL81" s="252"/>
      <c r="AAM81" s="252"/>
      <c r="AAN81" s="252"/>
      <c r="AAO81" s="252"/>
      <c r="AAP81" s="252"/>
      <c r="AAQ81" s="252"/>
      <c r="AAR81" s="252"/>
      <c r="AAS81" s="252"/>
      <c r="AAT81" s="252"/>
      <c r="AAU81" s="252"/>
      <c r="AAV81" s="252"/>
      <c r="AAW81" s="252"/>
      <c r="AAX81" s="252"/>
      <c r="AAY81" s="252"/>
      <c r="AAZ81" s="252"/>
      <c r="ABA81" s="252"/>
      <c r="ABB81" s="252"/>
      <c r="ABC81" s="252"/>
      <c r="ABD81" s="252"/>
      <c r="ABE81" s="252"/>
      <c r="ABF81" s="252"/>
      <c r="ABG81" s="252"/>
      <c r="ABH81" s="252"/>
      <c r="ABI81" s="252"/>
      <c r="ABJ81" s="252"/>
      <c r="ABK81" s="252"/>
      <c r="ABL81" s="252"/>
      <c r="ABM81" s="252"/>
      <c r="ABN81" s="252"/>
      <c r="ABO81" s="252"/>
      <c r="ABP81" s="252"/>
      <c r="ABQ81" s="252"/>
      <c r="ABR81" s="252"/>
      <c r="ABS81" s="252"/>
      <c r="ABT81" s="252"/>
      <c r="ABU81" s="252"/>
      <c r="ABV81" s="252"/>
      <c r="ABW81" s="252"/>
      <c r="ABX81" s="252"/>
      <c r="ABY81" s="252"/>
      <c r="ABZ81" s="252"/>
      <c r="ACA81" s="252"/>
      <c r="ACB81" s="252"/>
      <c r="ACC81" s="252"/>
      <c r="ACD81" s="252"/>
      <c r="ACE81" s="252"/>
      <c r="ACF81" s="252"/>
      <c r="ACG81" s="252"/>
      <c r="ACH81" s="252"/>
      <c r="ACI81" s="252"/>
      <c r="ACJ81" s="252"/>
      <c r="ACK81" s="252"/>
      <c r="ACL81" s="252"/>
      <c r="ACM81" s="252"/>
      <c r="ACN81" s="252"/>
      <c r="ACO81" s="252"/>
      <c r="ACP81" s="252"/>
      <c r="ACQ81" s="252"/>
      <c r="ACR81" s="252"/>
      <c r="ACS81" s="252"/>
      <c r="ACT81" s="252"/>
      <c r="ACU81" s="252"/>
      <c r="ACV81" s="252"/>
      <c r="ACW81" s="252"/>
      <c r="ACX81" s="252"/>
      <c r="ACY81" s="252"/>
      <c r="ACZ81" s="252"/>
      <c r="ADA81" s="252"/>
      <c r="ADB81" s="252"/>
      <c r="ADC81" s="252"/>
      <c r="ADD81" s="252"/>
      <c r="ADE81" s="252"/>
      <c r="ADF81" s="252"/>
      <c r="ADG81" s="252"/>
      <c r="ADH81" s="252"/>
      <c r="ADI81" s="252"/>
      <c r="ADJ81" s="252"/>
      <c r="ADK81" s="252"/>
      <c r="ADL81" s="252"/>
      <c r="ADM81" s="252"/>
      <c r="ADN81" s="252"/>
      <c r="ADO81" s="252"/>
      <c r="ADP81" s="252"/>
      <c r="ADQ81" s="252"/>
      <c r="ADR81" s="252"/>
      <c r="ADS81" s="252"/>
      <c r="ADT81" s="252"/>
      <c r="ADU81" s="252"/>
      <c r="ADV81" s="252"/>
      <c r="ADW81" s="252"/>
      <c r="ADX81" s="252"/>
      <c r="ADY81" s="252"/>
      <c r="ADZ81" s="252"/>
      <c r="AEA81" s="252"/>
      <c r="AEB81" s="252"/>
      <c r="AEC81" s="252"/>
      <c r="AED81" s="252"/>
      <c r="AEE81" s="252"/>
      <c r="AEF81" s="252"/>
      <c r="AEG81" s="252"/>
      <c r="AEH81" s="252"/>
      <c r="AEI81" s="252"/>
      <c r="AEJ81" s="252"/>
      <c r="AEK81" s="252"/>
      <c r="AEL81" s="252"/>
      <c r="AEM81" s="252"/>
      <c r="AEN81" s="252"/>
      <c r="AEO81" s="252"/>
      <c r="AEP81" s="252"/>
      <c r="AEQ81" s="252"/>
      <c r="AER81" s="252"/>
      <c r="AES81" s="252"/>
      <c r="AET81" s="252"/>
      <c r="AEU81" s="252"/>
      <c r="AEV81" s="252"/>
      <c r="AEW81" s="252"/>
      <c r="AEX81" s="252"/>
      <c r="AEY81" s="252"/>
      <c r="AEZ81" s="252"/>
      <c r="AFA81" s="252"/>
      <c r="AFB81" s="252"/>
      <c r="AFC81" s="252"/>
      <c r="AFD81" s="252"/>
      <c r="AFE81" s="252"/>
      <c r="AFF81" s="252"/>
      <c r="AFG81" s="252"/>
      <c r="AFH81" s="252"/>
      <c r="AFI81" s="252"/>
      <c r="AFJ81" s="252"/>
      <c r="AFK81" s="252"/>
      <c r="AFL81" s="252"/>
      <c r="AFM81" s="252"/>
      <c r="AFN81" s="252"/>
      <c r="AFO81" s="252"/>
      <c r="AFP81" s="252"/>
      <c r="AFQ81" s="252"/>
      <c r="AFR81" s="252"/>
      <c r="AFS81" s="252"/>
      <c r="AFT81" s="252"/>
      <c r="AFU81" s="252"/>
      <c r="AFV81" s="252"/>
      <c r="AFW81" s="252"/>
      <c r="AFX81" s="252"/>
      <c r="AFY81" s="252"/>
      <c r="AFZ81" s="252"/>
      <c r="AGA81" s="252"/>
      <c r="AGB81" s="252"/>
      <c r="AGC81" s="252"/>
      <c r="AGD81" s="252"/>
      <c r="AGE81" s="252"/>
      <c r="AGF81" s="252"/>
      <c r="AGG81" s="252"/>
      <c r="AGH81" s="252"/>
      <c r="AGI81" s="252"/>
      <c r="AGJ81" s="252"/>
      <c r="AGK81" s="252"/>
      <c r="AGL81" s="252"/>
      <c r="AGM81" s="252"/>
      <c r="AGN81" s="252"/>
      <c r="AGO81" s="252"/>
      <c r="AGP81" s="252"/>
      <c r="AGQ81" s="252"/>
      <c r="AGR81" s="252"/>
      <c r="AGS81" s="252"/>
      <c r="AGT81" s="252"/>
      <c r="AGU81" s="252"/>
      <c r="AGV81" s="252"/>
      <c r="AGW81" s="252"/>
      <c r="AGX81" s="252"/>
      <c r="AGY81" s="252"/>
      <c r="AGZ81" s="252"/>
      <c r="AHA81" s="252"/>
      <c r="AHB81" s="252"/>
      <c r="AHC81" s="252"/>
      <c r="AHD81" s="252"/>
      <c r="AHE81" s="252"/>
      <c r="AHF81" s="252"/>
      <c r="AHG81" s="252"/>
      <c r="AHH81" s="252"/>
      <c r="AHI81" s="252"/>
      <c r="AHJ81" s="252"/>
      <c r="AHK81" s="252"/>
      <c r="AHL81" s="252"/>
      <c r="AHM81" s="252"/>
      <c r="AHN81" s="252"/>
      <c r="AHO81" s="252"/>
      <c r="AHP81" s="252"/>
      <c r="AHQ81" s="252"/>
      <c r="AHR81" s="252"/>
      <c r="AHS81" s="252"/>
      <c r="AHT81" s="252"/>
      <c r="AHU81" s="252"/>
      <c r="AHV81" s="252"/>
      <c r="AHW81" s="252"/>
      <c r="AHX81" s="252"/>
      <c r="AHY81" s="252"/>
      <c r="AHZ81" s="252"/>
      <c r="AIA81" s="252"/>
      <c r="AIB81" s="252"/>
      <c r="AIC81" s="252"/>
      <c r="AID81" s="252"/>
      <c r="AIE81" s="252"/>
      <c r="AIF81" s="252"/>
      <c r="AIG81" s="252"/>
      <c r="AIH81" s="252"/>
      <c r="AII81" s="252"/>
      <c r="AIJ81" s="252"/>
      <c r="AIK81" s="252"/>
      <c r="AIL81" s="252"/>
      <c r="AIM81" s="252"/>
      <c r="AIN81" s="252"/>
      <c r="AIO81" s="252"/>
      <c r="AIP81" s="252"/>
      <c r="AIQ81" s="252"/>
      <c r="AIR81" s="252"/>
      <c r="AIS81" s="252"/>
      <c r="AIT81" s="252"/>
      <c r="AIU81" s="252"/>
      <c r="AIV81" s="252"/>
      <c r="AIW81" s="252"/>
      <c r="AIX81" s="252"/>
      <c r="AIY81" s="252"/>
      <c r="AIZ81" s="252"/>
      <c r="AJA81" s="252"/>
      <c r="AJB81" s="252"/>
      <c r="AJC81" s="252"/>
      <c r="AJD81" s="252"/>
      <c r="AJE81" s="252"/>
      <c r="AJF81" s="252"/>
      <c r="AJG81" s="252"/>
      <c r="AJH81" s="252"/>
      <c r="AJI81" s="252"/>
      <c r="AJJ81" s="252"/>
      <c r="AJK81" s="252"/>
      <c r="AJL81" s="252"/>
      <c r="AJM81" s="252"/>
      <c r="AJN81" s="252"/>
      <c r="AJO81" s="252"/>
      <c r="AJP81" s="252"/>
      <c r="AJQ81" s="252"/>
      <c r="AJR81" s="252"/>
      <c r="AJS81" s="252"/>
      <c r="AJT81" s="252"/>
      <c r="AJU81" s="252"/>
      <c r="AJV81" s="252"/>
      <c r="AJW81" s="252"/>
      <c r="AJX81" s="252"/>
      <c r="AJY81" s="252"/>
      <c r="AJZ81" s="252"/>
      <c r="AKA81" s="252"/>
      <c r="AKB81" s="252"/>
      <c r="AKC81" s="252"/>
      <c r="AKD81" s="252"/>
      <c r="AKE81" s="252"/>
      <c r="AKF81" s="252"/>
      <c r="AKG81" s="252"/>
      <c r="AKH81" s="252"/>
      <c r="AKI81" s="252"/>
      <c r="AKJ81" s="252"/>
      <c r="AKK81" s="252"/>
      <c r="AKL81" s="252"/>
      <c r="AKM81" s="252"/>
      <c r="AKN81" s="252"/>
      <c r="AKO81" s="252"/>
      <c r="AKP81" s="252"/>
      <c r="AKQ81" s="252"/>
      <c r="AKR81" s="252"/>
      <c r="AKS81" s="252"/>
      <c r="AKT81" s="252"/>
      <c r="AKU81" s="252"/>
      <c r="AKV81" s="252"/>
      <c r="AKW81" s="252"/>
      <c r="AKX81" s="252"/>
      <c r="AKY81" s="252"/>
      <c r="AKZ81" s="252"/>
      <c r="ALA81" s="252"/>
      <c r="ALB81" s="252"/>
      <c r="ALC81" s="252"/>
      <c r="ALD81" s="252"/>
      <c r="ALE81" s="252"/>
      <c r="ALF81" s="252"/>
      <c r="ALG81" s="252"/>
      <c r="ALH81" s="252"/>
      <c r="ALI81" s="252"/>
      <c r="ALJ81" s="252"/>
      <c r="ALK81" s="252"/>
      <c r="ALL81" s="252"/>
      <c r="ALM81" s="252"/>
      <c r="ALN81" s="252"/>
      <c r="ALO81" s="252"/>
      <c r="ALP81" s="252"/>
      <c r="ALQ81" s="252"/>
      <c r="ALR81" s="252"/>
      <c r="ALS81" s="252"/>
    </row>
    <row r="82" spans="1:1007" ht="15" thickBot="1" x14ac:dyDescent="0.25">
      <c r="A82" s="359" t="s">
        <v>280</v>
      </c>
      <c r="B82" s="379" t="s">
        <v>304</v>
      </c>
      <c r="C82" s="379" t="s">
        <v>278</v>
      </c>
      <c r="D82" s="379" t="s">
        <v>279</v>
      </c>
      <c r="E82" s="743" t="s">
        <v>526</v>
      </c>
      <c r="F82" s="743" t="s">
        <v>532</v>
      </c>
      <c r="G82" s="743" t="s">
        <v>533</v>
      </c>
      <c r="H82" s="743" t="s">
        <v>534</v>
      </c>
      <c r="I82" s="743" t="s">
        <v>535</v>
      </c>
      <c r="J82" s="354"/>
      <c r="K82" s="354"/>
      <c r="L82" s="354"/>
    </row>
    <row r="83" spans="1:1007" x14ac:dyDescent="0.2">
      <c r="A83" s="369" t="s">
        <v>275</v>
      </c>
      <c r="B83" s="393">
        <v>0.2</v>
      </c>
      <c r="C83" s="393">
        <v>0.1</v>
      </c>
      <c r="D83" s="393">
        <v>0.1</v>
      </c>
      <c r="E83" s="746">
        <v>0.15</v>
      </c>
      <c r="F83" s="738"/>
      <c r="G83" s="738"/>
      <c r="H83" s="738"/>
      <c r="I83" s="738"/>
      <c r="J83" s="352"/>
      <c r="K83" s="352"/>
      <c r="L83" s="352"/>
    </row>
    <row r="84" spans="1:1007" x14ac:dyDescent="0.2">
      <c r="A84" s="369" t="s">
        <v>276</v>
      </c>
      <c r="B84" s="394">
        <v>0.8</v>
      </c>
      <c r="C84" s="394">
        <v>0.9</v>
      </c>
      <c r="D84" s="394">
        <v>0.9</v>
      </c>
      <c r="E84" s="747">
        <v>0.85</v>
      </c>
      <c r="F84" s="737"/>
      <c r="G84" s="737"/>
      <c r="H84" s="737"/>
      <c r="I84" s="737"/>
      <c r="J84" s="352"/>
      <c r="K84" s="352"/>
      <c r="L84" s="352"/>
    </row>
    <row r="85" spans="1:1007" x14ac:dyDescent="0.2">
      <c r="A85" s="369" t="s">
        <v>301</v>
      </c>
      <c r="B85" s="395">
        <v>0.09</v>
      </c>
      <c r="C85" s="395">
        <v>0.09</v>
      </c>
      <c r="D85" s="395">
        <v>8.5000000000000006E-2</v>
      </c>
      <c r="E85" s="748">
        <v>0.11</v>
      </c>
      <c r="F85" s="737"/>
      <c r="G85" s="737"/>
      <c r="H85" s="737"/>
      <c r="I85" s="737"/>
      <c r="J85" s="352"/>
      <c r="K85" s="352"/>
      <c r="L85" s="352"/>
    </row>
    <row r="86" spans="1:1007" x14ac:dyDescent="0.2">
      <c r="A86" s="369" t="s">
        <v>302</v>
      </c>
      <c r="B86" s="396">
        <v>0.02</v>
      </c>
      <c r="C86" s="396">
        <v>1.4999999999999999E-2</v>
      </c>
      <c r="D86" s="396">
        <v>1.7000000000000001E-2</v>
      </c>
      <c r="E86" s="745">
        <v>4.4999999999999998E-2</v>
      </c>
      <c r="F86" s="737"/>
      <c r="G86" s="737"/>
      <c r="H86" s="737"/>
      <c r="I86" s="737"/>
      <c r="J86" s="352"/>
      <c r="K86" s="352"/>
      <c r="L86" s="352"/>
    </row>
    <row r="87" spans="1:1007" x14ac:dyDescent="0.2">
      <c r="A87" s="369"/>
      <c r="B87" s="397"/>
      <c r="C87" s="397"/>
      <c r="D87" s="397"/>
      <c r="E87" s="732"/>
      <c r="F87" s="737"/>
      <c r="G87" s="737"/>
      <c r="H87" s="737"/>
      <c r="I87" s="737"/>
      <c r="J87" s="352"/>
      <c r="K87" s="352"/>
      <c r="L87" s="352"/>
    </row>
    <row r="88" spans="1:1007" x14ac:dyDescent="0.2">
      <c r="A88" s="369" t="s">
        <v>277</v>
      </c>
      <c r="B88" s="396">
        <v>5.0000000000000001E-3</v>
      </c>
      <c r="C88" s="396">
        <v>5.0000000000000001E-3</v>
      </c>
      <c r="D88" s="396">
        <v>2E-3</v>
      </c>
      <c r="E88" s="745">
        <v>4.0000000000000001E-3</v>
      </c>
      <c r="F88" s="737"/>
      <c r="G88" s="737"/>
      <c r="H88" s="737"/>
      <c r="I88" s="737"/>
      <c r="J88" s="352"/>
      <c r="K88" s="352"/>
      <c r="L88" s="352"/>
    </row>
    <row r="89" spans="1:1007" x14ac:dyDescent="0.2">
      <c r="A89" s="369" t="s">
        <v>399</v>
      </c>
      <c r="B89" s="625">
        <v>1.4999999999999999E-2</v>
      </c>
      <c r="C89" s="625">
        <v>1.4999999999999999E-2</v>
      </c>
      <c r="D89" s="625">
        <v>1.4999999999999999E-2</v>
      </c>
      <c r="E89" s="745">
        <v>0.02</v>
      </c>
      <c r="F89" s="730"/>
      <c r="G89" s="730"/>
      <c r="H89" s="730"/>
      <c r="I89" s="730"/>
    </row>
    <row r="90" spans="1:1007" x14ac:dyDescent="0.2">
      <c r="A90" s="356"/>
      <c r="B90" s="356"/>
      <c r="C90" s="356"/>
      <c r="D90" s="351"/>
    </row>
    <row r="91" spans="1:1007" x14ac:dyDescent="0.2">
      <c r="A91" s="356"/>
      <c r="B91" s="356"/>
      <c r="C91" s="356"/>
    </row>
    <row r="92" spans="1:1007" ht="14.25" x14ac:dyDescent="0.2">
      <c r="A92" s="359" t="s">
        <v>284</v>
      </c>
      <c r="B92" s="356"/>
      <c r="C92" s="356"/>
    </row>
    <row r="93" spans="1:1007" x14ac:dyDescent="0.2">
      <c r="A93" s="369" t="s">
        <v>288</v>
      </c>
      <c r="B93" s="356"/>
      <c r="C93" s="356"/>
    </row>
    <row r="94" spans="1:1007" x14ac:dyDescent="0.2">
      <c r="A94" s="369" t="s">
        <v>289</v>
      </c>
      <c r="B94" s="356"/>
      <c r="C94" s="356"/>
    </row>
    <row r="95" spans="1:1007" x14ac:dyDescent="0.2">
      <c r="A95" s="369" t="s">
        <v>290</v>
      </c>
      <c r="B95" s="356"/>
      <c r="C95" s="356"/>
    </row>
    <row r="96" spans="1:1007" x14ac:dyDescent="0.2">
      <c r="A96" s="369" t="s">
        <v>291</v>
      </c>
      <c r="B96" s="356"/>
      <c r="C96" s="356"/>
    </row>
    <row r="97" spans="1:1007" x14ac:dyDescent="0.2">
      <c r="A97" s="369" t="s">
        <v>287</v>
      </c>
      <c r="B97" s="356"/>
      <c r="C97" s="356"/>
    </row>
    <row r="98" spans="1:1007" x14ac:dyDescent="0.2">
      <c r="A98" s="369" t="s">
        <v>292</v>
      </c>
      <c r="B98" s="356"/>
      <c r="C98" s="356"/>
    </row>
    <row r="99" spans="1:1007" x14ac:dyDescent="0.2">
      <c r="A99" s="357"/>
      <c r="B99" s="356"/>
      <c r="C99" s="356"/>
    </row>
    <row r="100" spans="1:1007" ht="14.25" x14ac:dyDescent="0.2">
      <c r="A100" s="359" t="s">
        <v>285</v>
      </c>
      <c r="B100" s="356"/>
      <c r="C100" s="356"/>
    </row>
    <row r="101" spans="1:1007" x14ac:dyDescent="0.2">
      <c r="A101" s="369" t="s">
        <v>293</v>
      </c>
      <c r="B101" s="356"/>
      <c r="C101" s="356"/>
    </row>
    <row r="102" spans="1:1007" x14ac:dyDescent="0.2">
      <c r="A102" s="369" t="s">
        <v>294</v>
      </c>
      <c r="B102" s="356"/>
      <c r="C102" s="356"/>
    </row>
    <row r="103" spans="1:1007" s="3" customFormat="1" x14ac:dyDescent="0.2">
      <c r="A103" s="369" t="s">
        <v>289</v>
      </c>
      <c r="B103" s="356"/>
      <c r="C103" s="315"/>
      <c r="D103" s="252"/>
      <c r="E103" s="252"/>
      <c r="F103" s="252"/>
      <c r="G103" s="252"/>
      <c r="H103" s="252"/>
      <c r="I103" s="252"/>
      <c r="J103" s="252"/>
      <c r="K103" s="252"/>
      <c r="L103" s="252"/>
      <c r="M103" s="252"/>
      <c r="N103" s="252"/>
      <c r="O103" s="252"/>
      <c r="P103" s="252"/>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2"/>
      <c r="BA103" s="252"/>
      <c r="BB103" s="252"/>
      <c r="BC103" s="252"/>
      <c r="BD103" s="252"/>
      <c r="BE103" s="252"/>
      <c r="BF103" s="252"/>
      <c r="BG103" s="252"/>
      <c r="BH103" s="252"/>
      <c r="BI103" s="252"/>
      <c r="BJ103" s="252"/>
      <c r="BK103" s="252"/>
      <c r="BL103" s="252"/>
      <c r="BM103" s="252"/>
      <c r="BN103" s="252"/>
      <c r="BO103" s="252"/>
      <c r="BP103" s="252"/>
      <c r="BQ103" s="252"/>
      <c r="BR103" s="252"/>
      <c r="BS103" s="252"/>
      <c r="BT103" s="252"/>
      <c r="BU103" s="252"/>
      <c r="BV103" s="252"/>
      <c r="BW103" s="252"/>
      <c r="BX103" s="252"/>
      <c r="BY103" s="252"/>
      <c r="BZ103" s="252"/>
      <c r="CA103" s="252"/>
      <c r="CB103" s="252"/>
      <c r="CC103" s="252"/>
      <c r="CD103" s="252"/>
      <c r="CE103" s="252"/>
      <c r="CF103" s="252"/>
      <c r="CG103" s="252"/>
      <c r="CH103" s="252"/>
      <c r="CI103" s="252"/>
      <c r="CJ103" s="252"/>
      <c r="CK103" s="252"/>
      <c r="CL103" s="252"/>
      <c r="CM103" s="252"/>
      <c r="CN103" s="252"/>
      <c r="CO103" s="252"/>
      <c r="CP103" s="252"/>
      <c r="CQ103" s="252"/>
      <c r="CR103" s="252"/>
      <c r="CS103" s="252"/>
      <c r="CT103" s="252"/>
      <c r="CU103" s="252"/>
      <c r="CV103" s="252"/>
      <c r="CW103" s="252"/>
      <c r="CX103" s="252"/>
      <c r="CY103" s="252"/>
      <c r="CZ103" s="252"/>
      <c r="DA103" s="252"/>
      <c r="DB103" s="252"/>
      <c r="DC103" s="252"/>
      <c r="DD103" s="252"/>
      <c r="DE103" s="252"/>
      <c r="DF103" s="252"/>
      <c r="DG103" s="252"/>
      <c r="DH103" s="252"/>
      <c r="DI103" s="252"/>
      <c r="DJ103" s="252"/>
      <c r="DK103" s="252"/>
      <c r="DL103" s="252"/>
      <c r="DM103" s="252"/>
      <c r="DN103" s="252"/>
      <c r="DO103" s="252"/>
      <c r="DP103" s="252"/>
      <c r="DQ103" s="252"/>
      <c r="DR103" s="252"/>
      <c r="DS103" s="252"/>
      <c r="DT103" s="252"/>
      <c r="DU103" s="252"/>
      <c r="DV103" s="252"/>
      <c r="DW103" s="252"/>
      <c r="DX103" s="252"/>
      <c r="DY103" s="252"/>
      <c r="DZ103" s="252"/>
      <c r="EA103" s="252"/>
      <c r="EB103" s="252"/>
      <c r="EC103" s="252"/>
      <c r="ED103" s="252"/>
      <c r="EE103" s="252"/>
      <c r="EF103" s="252"/>
      <c r="EG103" s="252"/>
      <c r="EH103" s="252"/>
      <c r="EI103" s="252"/>
      <c r="EJ103" s="252"/>
      <c r="EK103" s="252"/>
      <c r="EL103" s="252"/>
      <c r="EM103" s="252"/>
      <c r="EN103" s="252"/>
      <c r="EO103" s="252"/>
      <c r="EP103" s="252"/>
      <c r="EQ103" s="252"/>
      <c r="ER103" s="252"/>
      <c r="ES103" s="252"/>
      <c r="ET103" s="252"/>
      <c r="EU103" s="252"/>
      <c r="EV103" s="252"/>
      <c r="EW103" s="252"/>
      <c r="EX103" s="252"/>
      <c r="EY103" s="252"/>
      <c r="EZ103" s="252"/>
      <c r="FA103" s="252"/>
      <c r="FB103" s="252"/>
      <c r="FC103" s="252"/>
      <c r="FD103" s="252"/>
      <c r="FE103" s="252"/>
      <c r="FF103" s="252"/>
      <c r="FG103" s="252"/>
      <c r="FH103" s="252"/>
      <c r="FI103" s="252"/>
      <c r="FJ103" s="252"/>
      <c r="FK103" s="252"/>
      <c r="FL103" s="252"/>
      <c r="FM103" s="252"/>
      <c r="FN103" s="252"/>
      <c r="FO103" s="252"/>
      <c r="FP103" s="252"/>
      <c r="FQ103" s="252"/>
      <c r="FR103" s="252"/>
      <c r="FS103" s="252"/>
      <c r="FT103" s="252"/>
      <c r="FU103" s="252"/>
      <c r="FV103" s="252"/>
      <c r="FW103" s="252"/>
      <c r="FX103" s="252"/>
      <c r="FY103" s="252"/>
      <c r="FZ103" s="252"/>
      <c r="GA103" s="252"/>
      <c r="GB103" s="252"/>
      <c r="GC103" s="252"/>
      <c r="GD103" s="252"/>
      <c r="GE103" s="252"/>
      <c r="GF103" s="252"/>
      <c r="GG103" s="252"/>
      <c r="GH103" s="252"/>
      <c r="GI103" s="252"/>
      <c r="GJ103" s="252"/>
      <c r="GK103" s="252"/>
      <c r="GL103" s="252"/>
      <c r="GM103" s="252"/>
      <c r="GN103" s="252"/>
      <c r="GO103" s="252"/>
      <c r="GP103" s="252"/>
      <c r="GQ103" s="252"/>
      <c r="GR103" s="252"/>
      <c r="GS103" s="252"/>
      <c r="GT103" s="252"/>
      <c r="GU103" s="252"/>
      <c r="GV103" s="252"/>
      <c r="GW103" s="252"/>
      <c r="GX103" s="252"/>
      <c r="GY103" s="252"/>
      <c r="GZ103" s="252"/>
      <c r="HA103" s="252"/>
      <c r="HB103" s="252"/>
      <c r="HC103" s="252"/>
      <c r="HD103" s="252"/>
      <c r="HE103" s="252"/>
      <c r="HF103" s="252"/>
      <c r="HG103" s="252"/>
      <c r="HH103" s="252"/>
      <c r="HI103" s="252"/>
      <c r="HJ103" s="252"/>
      <c r="HK103" s="252"/>
      <c r="HL103" s="252"/>
      <c r="HM103" s="252"/>
      <c r="HN103" s="252"/>
      <c r="HO103" s="252"/>
      <c r="HP103" s="252"/>
      <c r="HQ103" s="252"/>
      <c r="HR103" s="252"/>
      <c r="HS103" s="252"/>
      <c r="HT103" s="252"/>
      <c r="HU103" s="252"/>
      <c r="HV103" s="252"/>
      <c r="HW103" s="252"/>
      <c r="HX103" s="252"/>
      <c r="HY103" s="252"/>
      <c r="HZ103" s="252"/>
      <c r="IA103" s="252"/>
      <c r="IB103" s="252"/>
      <c r="IC103" s="252"/>
      <c r="ID103" s="252"/>
      <c r="IE103" s="252"/>
      <c r="IF103" s="252"/>
      <c r="IG103" s="252"/>
      <c r="IH103" s="252"/>
      <c r="II103" s="252"/>
      <c r="IJ103" s="252"/>
      <c r="IK103" s="252"/>
      <c r="IL103" s="252"/>
      <c r="IM103" s="252"/>
      <c r="IN103" s="252"/>
      <c r="IO103" s="252"/>
      <c r="IP103" s="252"/>
      <c r="IQ103" s="252"/>
      <c r="IR103" s="252"/>
      <c r="IS103" s="252"/>
      <c r="IT103" s="252"/>
      <c r="IU103" s="252"/>
      <c r="IV103" s="252"/>
      <c r="IW103" s="252"/>
      <c r="IX103" s="252"/>
      <c r="IY103" s="252"/>
      <c r="IZ103" s="252"/>
      <c r="JA103" s="252"/>
      <c r="JB103" s="252"/>
      <c r="JC103" s="252"/>
      <c r="JD103" s="252"/>
      <c r="JE103" s="252"/>
      <c r="JF103" s="252"/>
      <c r="JG103" s="252"/>
      <c r="JH103" s="252"/>
      <c r="JI103" s="252"/>
      <c r="JJ103" s="252"/>
      <c r="JK103" s="252"/>
      <c r="JL103" s="252"/>
      <c r="JM103" s="252"/>
      <c r="JN103" s="252"/>
      <c r="JO103" s="252"/>
      <c r="JP103" s="252"/>
      <c r="JQ103" s="252"/>
      <c r="JR103" s="252"/>
      <c r="JS103" s="252"/>
      <c r="JT103" s="252"/>
      <c r="JU103" s="252"/>
      <c r="JV103" s="252"/>
      <c r="JW103" s="252"/>
      <c r="JX103" s="252"/>
      <c r="JY103" s="252"/>
      <c r="JZ103" s="252"/>
      <c r="KA103" s="252"/>
      <c r="KB103" s="252"/>
      <c r="KC103" s="252"/>
      <c r="KD103" s="252"/>
      <c r="KE103" s="252"/>
      <c r="KF103" s="252"/>
      <c r="KG103" s="252"/>
      <c r="KH103" s="252"/>
      <c r="KI103" s="252"/>
      <c r="KJ103" s="252"/>
      <c r="KK103" s="252"/>
      <c r="KL103" s="252"/>
      <c r="KM103" s="252"/>
      <c r="KN103" s="252"/>
      <c r="KO103" s="252"/>
      <c r="KP103" s="252"/>
      <c r="KQ103" s="252"/>
      <c r="KR103" s="252"/>
      <c r="KS103" s="252"/>
      <c r="KT103" s="252"/>
      <c r="KU103" s="252"/>
      <c r="KV103" s="252"/>
      <c r="KW103" s="252"/>
      <c r="KX103" s="252"/>
      <c r="KY103" s="252"/>
      <c r="KZ103" s="252"/>
      <c r="LA103" s="252"/>
      <c r="LB103" s="252"/>
      <c r="LC103" s="252"/>
      <c r="LD103" s="252"/>
      <c r="LE103" s="252"/>
      <c r="LF103" s="252"/>
      <c r="LG103" s="252"/>
      <c r="LH103" s="252"/>
      <c r="LI103" s="252"/>
      <c r="LJ103" s="252"/>
      <c r="LK103" s="252"/>
      <c r="LL103" s="252"/>
      <c r="LM103" s="252"/>
      <c r="LN103" s="252"/>
      <c r="LO103" s="252"/>
      <c r="LP103" s="252"/>
      <c r="LQ103" s="252"/>
      <c r="LR103" s="252"/>
      <c r="LS103" s="252"/>
      <c r="LT103" s="252"/>
      <c r="LU103" s="252"/>
      <c r="LV103" s="252"/>
      <c r="LW103" s="252"/>
      <c r="LX103" s="252"/>
      <c r="LY103" s="252"/>
      <c r="LZ103" s="252"/>
      <c r="MA103" s="252"/>
      <c r="MB103" s="252"/>
      <c r="MC103" s="252"/>
      <c r="MD103" s="252"/>
      <c r="ME103" s="252"/>
      <c r="MF103" s="252"/>
      <c r="MG103" s="252"/>
      <c r="MH103" s="252"/>
      <c r="MI103" s="252"/>
      <c r="MJ103" s="252"/>
      <c r="MK103" s="252"/>
      <c r="ML103" s="252"/>
      <c r="MM103" s="252"/>
      <c r="MN103" s="252"/>
      <c r="MO103" s="252"/>
      <c r="MP103" s="252"/>
      <c r="MQ103" s="252"/>
      <c r="MR103" s="252"/>
      <c r="MS103" s="252"/>
      <c r="MT103" s="252"/>
      <c r="MU103" s="252"/>
      <c r="MV103" s="252"/>
      <c r="MW103" s="252"/>
      <c r="MX103" s="252"/>
      <c r="MY103" s="252"/>
      <c r="MZ103" s="252"/>
      <c r="NA103" s="252"/>
      <c r="NB103" s="252"/>
      <c r="NC103" s="252"/>
      <c r="ND103" s="252"/>
      <c r="NE103" s="252"/>
      <c r="NF103" s="252"/>
      <c r="NG103" s="252"/>
      <c r="NH103" s="252"/>
      <c r="NI103" s="252"/>
      <c r="NJ103" s="252"/>
      <c r="NK103" s="252"/>
      <c r="NL103" s="252"/>
      <c r="NM103" s="252"/>
      <c r="NN103" s="252"/>
      <c r="NO103" s="252"/>
      <c r="NP103" s="252"/>
      <c r="NQ103" s="252"/>
      <c r="NR103" s="252"/>
      <c r="NS103" s="252"/>
      <c r="NT103" s="252"/>
      <c r="NU103" s="252"/>
      <c r="NV103" s="252"/>
      <c r="NW103" s="252"/>
      <c r="NX103" s="252"/>
      <c r="NY103" s="252"/>
      <c r="NZ103" s="252"/>
      <c r="OA103" s="252"/>
      <c r="OB103" s="252"/>
      <c r="OC103" s="252"/>
      <c r="OD103" s="252"/>
      <c r="OE103" s="252"/>
      <c r="OF103" s="252"/>
      <c r="OG103" s="252"/>
      <c r="OH103" s="252"/>
      <c r="OI103" s="252"/>
      <c r="OJ103" s="252"/>
      <c r="OK103" s="252"/>
      <c r="OL103" s="252"/>
      <c r="OM103" s="252"/>
      <c r="ON103" s="252"/>
      <c r="OO103" s="252"/>
      <c r="OP103" s="252"/>
      <c r="OQ103" s="252"/>
      <c r="OR103" s="252"/>
      <c r="OS103" s="252"/>
      <c r="OT103" s="252"/>
      <c r="OU103" s="252"/>
      <c r="OV103" s="252"/>
      <c r="OW103" s="252"/>
      <c r="OX103" s="252"/>
      <c r="OY103" s="252"/>
      <c r="OZ103" s="252"/>
      <c r="PA103" s="252"/>
      <c r="PB103" s="252"/>
      <c r="PC103" s="252"/>
      <c r="PD103" s="252"/>
      <c r="PE103" s="252"/>
      <c r="PF103" s="252"/>
      <c r="PG103" s="252"/>
      <c r="PH103" s="252"/>
      <c r="PI103" s="252"/>
      <c r="PJ103" s="252"/>
      <c r="PK103" s="252"/>
      <c r="PL103" s="252"/>
      <c r="PM103" s="252"/>
      <c r="PN103" s="252"/>
      <c r="PO103" s="252"/>
      <c r="PP103" s="252"/>
      <c r="PQ103" s="252"/>
      <c r="PR103" s="252"/>
      <c r="PS103" s="252"/>
      <c r="PT103" s="252"/>
      <c r="PU103" s="252"/>
      <c r="PV103" s="252"/>
      <c r="PW103" s="252"/>
      <c r="PX103" s="252"/>
      <c r="PY103" s="252"/>
      <c r="PZ103" s="252"/>
      <c r="QA103" s="252"/>
      <c r="QB103" s="252"/>
      <c r="QC103" s="252"/>
      <c r="QD103" s="252"/>
      <c r="QE103" s="252"/>
      <c r="QF103" s="252"/>
      <c r="QG103" s="252"/>
      <c r="QH103" s="252"/>
      <c r="QI103" s="252"/>
      <c r="QJ103" s="252"/>
      <c r="QK103" s="252"/>
      <c r="QL103" s="252"/>
      <c r="QM103" s="252"/>
      <c r="QN103" s="252"/>
      <c r="QO103" s="252"/>
      <c r="QP103" s="252"/>
      <c r="QQ103" s="252"/>
      <c r="QR103" s="252"/>
      <c r="QS103" s="252"/>
      <c r="QT103" s="252"/>
      <c r="QU103" s="252"/>
      <c r="QV103" s="252"/>
      <c r="QW103" s="252"/>
      <c r="QX103" s="252"/>
      <c r="QY103" s="252"/>
      <c r="QZ103" s="252"/>
      <c r="RA103" s="252"/>
      <c r="RB103" s="252"/>
      <c r="RC103" s="252"/>
      <c r="RD103" s="252"/>
      <c r="RE103" s="252"/>
      <c r="RF103" s="252"/>
      <c r="RG103" s="252"/>
      <c r="RH103" s="252"/>
      <c r="RI103" s="252"/>
      <c r="RJ103" s="252"/>
      <c r="RK103" s="252"/>
      <c r="RL103" s="252"/>
      <c r="RM103" s="252"/>
      <c r="RN103" s="252"/>
      <c r="RO103" s="252"/>
      <c r="RP103" s="252"/>
      <c r="RQ103" s="252"/>
      <c r="RR103" s="252"/>
      <c r="RS103" s="252"/>
      <c r="RT103" s="252"/>
      <c r="RU103" s="252"/>
      <c r="RV103" s="252"/>
      <c r="RW103" s="252"/>
      <c r="RX103" s="252"/>
      <c r="RY103" s="252"/>
      <c r="RZ103" s="252"/>
      <c r="SA103" s="252"/>
      <c r="SB103" s="252"/>
      <c r="SC103" s="252"/>
      <c r="SD103" s="252"/>
      <c r="SE103" s="252"/>
      <c r="SF103" s="252"/>
      <c r="SG103" s="252"/>
      <c r="SH103" s="252"/>
      <c r="SI103" s="252"/>
      <c r="SJ103" s="252"/>
      <c r="SK103" s="252"/>
      <c r="SL103" s="252"/>
      <c r="SM103" s="252"/>
      <c r="SN103" s="252"/>
      <c r="SO103" s="252"/>
      <c r="SP103" s="252"/>
      <c r="SQ103" s="252"/>
      <c r="SR103" s="252"/>
      <c r="SS103" s="252"/>
      <c r="ST103" s="252"/>
      <c r="SU103" s="252"/>
      <c r="SV103" s="252"/>
      <c r="SW103" s="252"/>
      <c r="SX103" s="252"/>
      <c r="SY103" s="252"/>
      <c r="SZ103" s="252"/>
      <c r="TA103" s="252"/>
      <c r="TB103" s="252"/>
      <c r="TC103" s="252"/>
      <c r="TD103" s="252"/>
      <c r="TE103" s="252"/>
      <c r="TF103" s="252"/>
      <c r="TG103" s="252"/>
      <c r="TH103" s="252"/>
      <c r="TI103" s="252"/>
      <c r="TJ103" s="252"/>
      <c r="TK103" s="252"/>
      <c r="TL103" s="252"/>
      <c r="TM103" s="252"/>
      <c r="TN103" s="252"/>
      <c r="TO103" s="252"/>
      <c r="TP103" s="252"/>
      <c r="TQ103" s="252"/>
      <c r="TR103" s="252"/>
      <c r="TS103" s="252"/>
      <c r="TT103" s="252"/>
      <c r="TU103" s="252"/>
      <c r="TV103" s="252"/>
      <c r="TW103" s="252"/>
      <c r="TX103" s="252"/>
      <c r="TY103" s="252"/>
      <c r="TZ103" s="252"/>
      <c r="UA103" s="252"/>
      <c r="UB103" s="252"/>
      <c r="UC103" s="252"/>
      <c r="UD103" s="252"/>
      <c r="UE103" s="252"/>
      <c r="UF103" s="252"/>
      <c r="UG103" s="252"/>
      <c r="UH103" s="252"/>
      <c r="UI103" s="252"/>
      <c r="UJ103" s="252"/>
      <c r="UK103" s="252"/>
      <c r="UL103" s="252"/>
      <c r="UM103" s="252"/>
      <c r="UN103" s="252"/>
      <c r="UO103" s="252"/>
      <c r="UP103" s="252"/>
      <c r="UQ103" s="252"/>
      <c r="UR103" s="252"/>
      <c r="US103" s="252"/>
      <c r="UT103" s="252"/>
      <c r="UU103" s="252"/>
      <c r="UV103" s="252"/>
      <c r="UW103" s="252"/>
      <c r="UX103" s="252"/>
      <c r="UY103" s="252"/>
      <c r="UZ103" s="252"/>
      <c r="VA103" s="252"/>
      <c r="VB103" s="252"/>
      <c r="VC103" s="252"/>
      <c r="VD103" s="252"/>
      <c r="VE103" s="252"/>
      <c r="VF103" s="252"/>
      <c r="VG103" s="252"/>
      <c r="VH103" s="252"/>
      <c r="VI103" s="252"/>
      <c r="VJ103" s="252"/>
      <c r="VK103" s="252"/>
      <c r="VL103" s="252"/>
      <c r="VM103" s="252"/>
      <c r="VN103" s="252"/>
      <c r="VO103" s="252"/>
      <c r="VP103" s="252"/>
      <c r="VQ103" s="252"/>
      <c r="VR103" s="252"/>
      <c r="VS103" s="252"/>
      <c r="VT103" s="252"/>
      <c r="VU103" s="252"/>
      <c r="VV103" s="252"/>
      <c r="VW103" s="252"/>
      <c r="VX103" s="252"/>
      <c r="VY103" s="252"/>
      <c r="VZ103" s="252"/>
      <c r="WA103" s="252"/>
      <c r="WB103" s="252"/>
      <c r="WC103" s="252"/>
      <c r="WD103" s="252"/>
      <c r="WE103" s="252"/>
      <c r="WF103" s="252"/>
      <c r="WG103" s="252"/>
      <c r="WH103" s="252"/>
      <c r="WI103" s="252"/>
      <c r="WJ103" s="252"/>
      <c r="WK103" s="252"/>
      <c r="WL103" s="252"/>
      <c r="WM103" s="252"/>
      <c r="WN103" s="252"/>
      <c r="WO103" s="252"/>
      <c r="WP103" s="252"/>
      <c r="WQ103" s="252"/>
      <c r="WR103" s="252"/>
      <c r="WS103" s="252"/>
      <c r="WT103" s="252"/>
      <c r="WU103" s="252"/>
      <c r="WV103" s="252"/>
      <c r="WW103" s="252"/>
      <c r="WX103" s="252"/>
      <c r="WY103" s="252"/>
      <c r="WZ103" s="252"/>
      <c r="XA103" s="252"/>
      <c r="XB103" s="252"/>
      <c r="XC103" s="252"/>
      <c r="XD103" s="252"/>
      <c r="XE103" s="252"/>
      <c r="XF103" s="252"/>
      <c r="XG103" s="252"/>
      <c r="XH103" s="252"/>
      <c r="XI103" s="252"/>
      <c r="XJ103" s="252"/>
      <c r="XK103" s="252"/>
      <c r="XL103" s="252"/>
      <c r="XM103" s="252"/>
      <c r="XN103" s="252"/>
      <c r="XO103" s="252"/>
      <c r="XP103" s="252"/>
      <c r="XQ103" s="252"/>
      <c r="XR103" s="252"/>
      <c r="XS103" s="252"/>
      <c r="XT103" s="252"/>
      <c r="XU103" s="252"/>
      <c r="XV103" s="252"/>
      <c r="XW103" s="252"/>
      <c r="XX103" s="252"/>
      <c r="XY103" s="252"/>
      <c r="XZ103" s="252"/>
      <c r="YA103" s="252"/>
      <c r="YB103" s="252"/>
      <c r="YC103" s="252"/>
      <c r="YD103" s="252"/>
      <c r="YE103" s="252"/>
      <c r="YF103" s="252"/>
      <c r="YG103" s="252"/>
      <c r="YH103" s="252"/>
      <c r="YI103" s="252"/>
      <c r="YJ103" s="252"/>
      <c r="YK103" s="252"/>
      <c r="YL103" s="252"/>
      <c r="YM103" s="252"/>
      <c r="YN103" s="252"/>
      <c r="YO103" s="252"/>
      <c r="YP103" s="252"/>
      <c r="YQ103" s="252"/>
      <c r="YR103" s="252"/>
      <c r="YS103" s="252"/>
      <c r="YT103" s="252"/>
      <c r="YU103" s="252"/>
      <c r="YV103" s="252"/>
      <c r="YW103" s="252"/>
      <c r="YX103" s="252"/>
      <c r="YY103" s="252"/>
      <c r="YZ103" s="252"/>
      <c r="ZA103" s="252"/>
      <c r="ZB103" s="252"/>
      <c r="ZC103" s="252"/>
      <c r="ZD103" s="252"/>
      <c r="ZE103" s="252"/>
      <c r="ZF103" s="252"/>
      <c r="ZG103" s="252"/>
      <c r="ZH103" s="252"/>
      <c r="ZI103" s="252"/>
      <c r="ZJ103" s="252"/>
      <c r="ZK103" s="252"/>
      <c r="ZL103" s="252"/>
      <c r="ZM103" s="252"/>
      <c r="ZN103" s="252"/>
      <c r="ZO103" s="252"/>
      <c r="ZP103" s="252"/>
      <c r="ZQ103" s="252"/>
      <c r="ZR103" s="252"/>
      <c r="ZS103" s="252"/>
      <c r="ZT103" s="252"/>
      <c r="ZU103" s="252"/>
      <c r="ZV103" s="252"/>
      <c r="ZW103" s="252"/>
      <c r="ZX103" s="252"/>
      <c r="ZY103" s="252"/>
      <c r="ZZ103" s="252"/>
      <c r="AAA103" s="252"/>
      <c r="AAB103" s="252"/>
      <c r="AAC103" s="252"/>
      <c r="AAD103" s="252"/>
      <c r="AAE103" s="252"/>
      <c r="AAF103" s="252"/>
      <c r="AAG103" s="252"/>
      <c r="AAH103" s="252"/>
      <c r="AAI103" s="252"/>
      <c r="AAJ103" s="252"/>
      <c r="AAK103" s="252"/>
      <c r="AAL103" s="252"/>
      <c r="AAM103" s="252"/>
      <c r="AAN103" s="252"/>
      <c r="AAO103" s="252"/>
      <c r="AAP103" s="252"/>
      <c r="AAQ103" s="252"/>
      <c r="AAR103" s="252"/>
      <c r="AAS103" s="252"/>
      <c r="AAT103" s="252"/>
      <c r="AAU103" s="252"/>
      <c r="AAV103" s="252"/>
      <c r="AAW103" s="252"/>
      <c r="AAX103" s="252"/>
      <c r="AAY103" s="252"/>
      <c r="AAZ103" s="252"/>
      <c r="ABA103" s="252"/>
      <c r="ABB103" s="252"/>
      <c r="ABC103" s="252"/>
      <c r="ABD103" s="252"/>
      <c r="ABE103" s="252"/>
      <c r="ABF103" s="252"/>
      <c r="ABG103" s="252"/>
      <c r="ABH103" s="252"/>
      <c r="ABI103" s="252"/>
      <c r="ABJ103" s="252"/>
      <c r="ABK103" s="252"/>
      <c r="ABL103" s="252"/>
      <c r="ABM103" s="252"/>
      <c r="ABN103" s="252"/>
      <c r="ABO103" s="252"/>
      <c r="ABP103" s="252"/>
      <c r="ABQ103" s="252"/>
      <c r="ABR103" s="252"/>
      <c r="ABS103" s="252"/>
      <c r="ABT103" s="252"/>
      <c r="ABU103" s="252"/>
      <c r="ABV103" s="252"/>
      <c r="ABW103" s="252"/>
      <c r="ABX103" s="252"/>
      <c r="ABY103" s="252"/>
      <c r="ABZ103" s="252"/>
      <c r="ACA103" s="252"/>
      <c r="ACB103" s="252"/>
      <c r="ACC103" s="252"/>
      <c r="ACD103" s="252"/>
      <c r="ACE103" s="252"/>
      <c r="ACF103" s="252"/>
      <c r="ACG103" s="252"/>
      <c r="ACH103" s="252"/>
      <c r="ACI103" s="252"/>
      <c r="ACJ103" s="252"/>
      <c r="ACK103" s="252"/>
      <c r="ACL103" s="252"/>
      <c r="ACM103" s="252"/>
      <c r="ACN103" s="252"/>
      <c r="ACO103" s="252"/>
      <c r="ACP103" s="252"/>
      <c r="ACQ103" s="252"/>
      <c r="ACR103" s="252"/>
      <c r="ACS103" s="252"/>
      <c r="ACT103" s="252"/>
      <c r="ACU103" s="252"/>
      <c r="ACV103" s="252"/>
      <c r="ACW103" s="252"/>
      <c r="ACX103" s="252"/>
      <c r="ACY103" s="252"/>
      <c r="ACZ103" s="252"/>
      <c r="ADA103" s="252"/>
      <c r="ADB103" s="252"/>
      <c r="ADC103" s="252"/>
      <c r="ADD103" s="252"/>
      <c r="ADE103" s="252"/>
      <c r="ADF103" s="252"/>
      <c r="ADG103" s="252"/>
      <c r="ADH103" s="252"/>
      <c r="ADI103" s="252"/>
      <c r="ADJ103" s="252"/>
      <c r="ADK103" s="252"/>
      <c r="ADL103" s="252"/>
      <c r="ADM103" s="252"/>
      <c r="ADN103" s="252"/>
      <c r="ADO103" s="252"/>
      <c r="ADP103" s="252"/>
      <c r="ADQ103" s="252"/>
      <c r="ADR103" s="252"/>
      <c r="ADS103" s="252"/>
      <c r="ADT103" s="252"/>
      <c r="ADU103" s="252"/>
      <c r="ADV103" s="252"/>
      <c r="ADW103" s="252"/>
      <c r="ADX103" s="252"/>
      <c r="ADY103" s="252"/>
      <c r="ADZ103" s="252"/>
      <c r="AEA103" s="252"/>
      <c r="AEB103" s="252"/>
      <c r="AEC103" s="252"/>
      <c r="AED103" s="252"/>
      <c r="AEE103" s="252"/>
      <c r="AEF103" s="252"/>
      <c r="AEG103" s="252"/>
      <c r="AEH103" s="252"/>
      <c r="AEI103" s="252"/>
      <c r="AEJ103" s="252"/>
      <c r="AEK103" s="252"/>
      <c r="AEL103" s="252"/>
      <c r="AEM103" s="252"/>
      <c r="AEN103" s="252"/>
      <c r="AEO103" s="252"/>
      <c r="AEP103" s="252"/>
      <c r="AEQ103" s="252"/>
      <c r="AER103" s="252"/>
      <c r="AES103" s="252"/>
      <c r="AET103" s="252"/>
      <c r="AEU103" s="252"/>
      <c r="AEV103" s="252"/>
      <c r="AEW103" s="252"/>
      <c r="AEX103" s="252"/>
      <c r="AEY103" s="252"/>
      <c r="AEZ103" s="252"/>
      <c r="AFA103" s="252"/>
      <c r="AFB103" s="252"/>
      <c r="AFC103" s="252"/>
      <c r="AFD103" s="252"/>
      <c r="AFE103" s="252"/>
      <c r="AFF103" s="252"/>
      <c r="AFG103" s="252"/>
      <c r="AFH103" s="252"/>
      <c r="AFI103" s="252"/>
      <c r="AFJ103" s="252"/>
      <c r="AFK103" s="252"/>
      <c r="AFL103" s="252"/>
      <c r="AFM103" s="252"/>
      <c r="AFN103" s="252"/>
      <c r="AFO103" s="252"/>
      <c r="AFP103" s="252"/>
      <c r="AFQ103" s="252"/>
      <c r="AFR103" s="252"/>
      <c r="AFS103" s="252"/>
      <c r="AFT103" s="252"/>
      <c r="AFU103" s="252"/>
      <c r="AFV103" s="252"/>
      <c r="AFW103" s="252"/>
      <c r="AFX103" s="252"/>
      <c r="AFY103" s="252"/>
      <c r="AFZ103" s="252"/>
      <c r="AGA103" s="252"/>
      <c r="AGB103" s="252"/>
      <c r="AGC103" s="252"/>
      <c r="AGD103" s="252"/>
      <c r="AGE103" s="252"/>
      <c r="AGF103" s="252"/>
      <c r="AGG103" s="252"/>
      <c r="AGH103" s="252"/>
      <c r="AGI103" s="252"/>
      <c r="AGJ103" s="252"/>
      <c r="AGK103" s="252"/>
      <c r="AGL103" s="252"/>
      <c r="AGM103" s="252"/>
      <c r="AGN103" s="252"/>
      <c r="AGO103" s="252"/>
      <c r="AGP103" s="252"/>
      <c r="AGQ103" s="252"/>
      <c r="AGR103" s="252"/>
      <c r="AGS103" s="252"/>
      <c r="AGT103" s="252"/>
      <c r="AGU103" s="252"/>
      <c r="AGV103" s="252"/>
      <c r="AGW103" s="252"/>
      <c r="AGX103" s="252"/>
      <c r="AGY103" s="252"/>
      <c r="AGZ103" s="252"/>
      <c r="AHA103" s="252"/>
      <c r="AHB103" s="252"/>
      <c r="AHC103" s="252"/>
      <c r="AHD103" s="252"/>
      <c r="AHE103" s="252"/>
      <c r="AHF103" s="252"/>
      <c r="AHG103" s="252"/>
      <c r="AHH103" s="252"/>
      <c r="AHI103" s="252"/>
      <c r="AHJ103" s="252"/>
      <c r="AHK103" s="252"/>
      <c r="AHL103" s="252"/>
      <c r="AHM103" s="252"/>
      <c r="AHN103" s="252"/>
      <c r="AHO103" s="252"/>
      <c r="AHP103" s="252"/>
      <c r="AHQ103" s="252"/>
      <c r="AHR103" s="252"/>
      <c r="AHS103" s="252"/>
      <c r="AHT103" s="252"/>
      <c r="AHU103" s="252"/>
      <c r="AHV103" s="252"/>
      <c r="AHW103" s="252"/>
      <c r="AHX103" s="252"/>
      <c r="AHY103" s="252"/>
      <c r="AHZ103" s="252"/>
      <c r="AIA103" s="252"/>
      <c r="AIB103" s="252"/>
      <c r="AIC103" s="252"/>
      <c r="AID103" s="252"/>
      <c r="AIE103" s="252"/>
      <c r="AIF103" s="252"/>
      <c r="AIG103" s="252"/>
      <c r="AIH103" s="252"/>
      <c r="AII103" s="252"/>
      <c r="AIJ103" s="252"/>
      <c r="AIK103" s="252"/>
      <c r="AIL103" s="252"/>
      <c r="AIM103" s="252"/>
      <c r="AIN103" s="252"/>
      <c r="AIO103" s="252"/>
      <c r="AIP103" s="252"/>
      <c r="AIQ103" s="252"/>
      <c r="AIR103" s="252"/>
      <c r="AIS103" s="252"/>
      <c r="AIT103" s="252"/>
      <c r="AIU103" s="252"/>
      <c r="AIV103" s="252"/>
      <c r="AIW103" s="252"/>
      <c r="AIX103" s="252"/>
      <c r="AIY103" s="252"/>
      <c r="AIZ103" s="252"/>
      <c r="AJA103" s="252"/>
      <c r="AJB103" s="252"/>
      <c r="AJC103" s="252"/>
      <c r="AJD103" s="252"/>
      <c r="AJE103" s="252"/>
      <c r="AJF103" s="252"/>
      <c r="AJG103" s="252"/>
      <c r="AJH103" s="252"/>
      <c r="AJI103" s="252"/>
      <c r="AJJ103" s="252"/>
      <c r="AJK103" s="252"/>
      <c r="AJL103" s="252"/>
      <c r="AJM103" s="252"/>
      <c r="AJN103" s="252"/>
      <c r="AJO103" s="252"/>
      <c r="AJP103" s="252"/>
      <c r="AJQ103" s="252"/>
      <c r="AJR103" s="252"/>
      <c r="AJS103" s="252"/>
      <c r="AJT103" s="252"/>
      <c r="AJU103" s="252"/>
      <c r="AJV103" s="252"/>
      <c r="AJW103" s="252"/>
      <c r="AJX103" s="252"/>
      <c r="AJY103" s="252"/>
      <c r="AJZ103" s="252"/>
      <c r="AKA103" s="252"/>
      <c r="AKB103" s="252"/>
      <c r="AKC103" s="252"/>
      <c r="AKD103" s="252"/>
      <c r="AKE103" s="252"/>
      <c r="AKF103" s="252"/>
      <c r="AKG103" s="252"/>
      <c r="AKH103" s="252"/>
      <c r="AKI103" s="252"/>
      <c r="AKJ103" s="252"/>
      <c r="AKK103" s="252"/>
      <c r="AKL103" s="252"/>
      <c r="AKM103" s="252"/>
      <c r="AKN103" s="252"/>
      <c r="AKO103" s="252"/>
      <c r="AKP103" s="252"/>
      <c r="AKQ103" s="252"/>
      <c r="AKR103" s="252"/>
      <c r="AKS103" s="252"/>
      <c r="AKT103" s="252"/>
      <c r="AKU103" s="252"/>
      <c r="AKV103" s="252"/>
      <c r="AKW103" s="252"/>
      <c r="AKX103" s="252"/>
      <c r="AKY103" s="252"/>
      <c r="AKZ103" s="252"/>
      <c r="ALA103" s="252"/>
      <c r="ALB103" s="252"/>
      <c r="ALC103" s="252"/>
      <c r="ALD103" s="252"/>
      <c r="ALE103" s="252"/>
      <c r="ALF103" s="252"/>
      <c r="ALG103" s="252"/>
      <c r="ALH103" s="252"/>
      <c r="ALI103" s="252"/>
      <c r="ALJ103" s="252"/>
      <c r="ALK103" s="252"/>
      <c r="ALL103" s="252"/>
      <c r="ALM103" s="252"/>
      <c r="ALN103" s="252"/>
      <c r="ALO103" s="252"/>
      <c r="ALP103" s="252"/>
      <c r="ALQ103" s="252"/>
      <c r="ALR103" s="252"/>
      <c r="ALS103" s="252"/>
    </row>
    <row r="104" spans="1:1007" x14ac:dyDescent="0.2">
      <c r="A104" s="369" t="s">
        <v>290</v>
      </c>
      <c r="B104" s="356"/>
      <c r="C104" s="356"/>
    </row>
    <row r="105" spans="1:1007" s="315" customFormat="1" x14ac:dyDescent="0.2">
      <c r="A105" s="369" t="s">
        <v>291</v>
      </c>
      <c r="B105" s="356"/>
      <c r="D105" s="356"/>
      <c r="E105" s="356"/>
      <c r="F105" s="356"/>
      <c r="G105" s="356"/>
      <c r="H105" s="356"/>
      <c r="I105" s="356"/>
      <c r="J105" s="356"/>
      <c r="K105" s="356"/>
      <c r="L105" s="356"/>
      <c r="M105" s="356"/>
      <c r="N105" s="356"/>
      <c r="O105" s="356"/>
      <c r="P105" s="356"/>
      <c r="Q105" s="356"/>
      <c r="R105" s="356"/>
      <c r="S105" s="356"/>
      <c r="T105" s="356"/>
      <c r="U105" s="356"/>
      <c r="V105" s="356"/>
      <c r="W105" s="356"/>
      <c r="X105" s="356"/>
      <c r="Y105" s="356"/>
      <c r="Z105" s="356"/>
      <c r="AA105" s="356"/>
      <c r="AB105" s="356"/>
      <c r="AC105" s="356"/>
      <c r="AD105" s="356"/>
      <c r="AE105" s="356"/>
      <c r="AF105" s="356"/>
      <c r="AG105" s="356"/>
      <c r="AH105" s="356"/>
      <c r="AI105" s="356"/>
      <c r="AJ105" s="356"/>
      <c r="AK105" s="356"/>
      <c r="AL105" s="356"/>
      <c r="AM105" s="356"/>
      <c r="AN105" s="356"/>
      <c r="AO105" s="356"/>
      <c r="AP105" s="356"/>
      <c r="AQ105" s="356"/>
      <c r="AR105" s="356"/>
      <c r="AS105" s="356"/>
      <c r="AT105" s="356"/>
      <c r="AU105" s="356"/>
      <c r="AV105" s="356"/>
      <c r="AW105" s="356"/>
      <c r="AX105" s="356"/>
      <c r="AY105" s="356"/>
      <c r="AZ105" s="356"/>
      <c r="BA105" s="356"/>
      <c r="BB105" s="356"/>
      <c r="BC105" s="356"/>
      <c r="BD105" s="356"/>
      <c r="BE105" s="356"/>
      <c r="BF105" s="356"/>
      <c r="BG105" s="356"/>
      <c r="BH105" s="356"/>
      <c r="BI105" s="356"/>
      <c r="BJ105" s="356"/>
      <c r="BK105" s="356"/>
      <c r="BL105" s="356"/>
      <c r="BM105" s="356"/>
      <c r="BN105" s="356"/>
      <c r="BO105" s="356"/>
      <c r="BP105" s="356"/>
      <c r="BQ105" s="356"/>
      <c r="BR105" s="356"/>
      <c r="BS105" s="356"/>
      <c r="BT105" s="356"/>
      <c r="BU105" s="356"/>
      <c r="BV105" s="356"/>
      <c r="BW105" s="356"/>
      <c r="BX105" s="356"/>
      <c r="BY105" s="356"/>
      <c r="BZ105" s="356"/>
      <c r="CA105" s="356"/>
      <c r="CB105" s="356"/>
      <c r="CC105" s="356"/>
      <c r="CD105" s="356"/>
      <c r="CE105" s="356"/>
      <c r="CF105" s="356"/>
      <c r="CG105" s="356"/>
      <c r="CH105" s="356"/>
      <c r="CI105" s="356"/>
      <c r="CJ105" s="356"/>
      <c r="CK105" s="356"/>
      <c r="CL105" s="356"/>
      <c r="CM105" s="356"/>
      <c r="CN105" s="356"/>
      <c r="CO105" s="356"/>
      <c r="CP105" s="356"/>
      <c r="CQ105" s="356"/>
      <c r="CR105" s="356"/>
      <c r="CS105" s="356"/>
      <c r="CT105" s="356"/>
      <c r="CU105" s="356"/>
      <c r="CV105" s="356"/>
      <c r="CW105" s="356"/>
      <c r="CX105" s="356"/>
      <c r="CY105" s="356"/>
      <c r="CZ105" s="356"/>
      <c r="DA105" s="356"/>
      <c r="DB105" s="356"/>
      <c r="DC105" s="356"/>
      <c r="DD105" s="356"/>
      <c r="DE105" s="356"/>
      <c r="DF105" s="356"/>
      <c r="DG105" s="356"/>
      <c r="DH105" s="356"/>
      <c r="DI105" s="356"/>
      <c r="DJ105" s="356"/>
      <c r="DK105" s="356"/>
      <c r="DL105" s="356"/>
      <c r="DM105" s="356"/>
      <c r="DN105" s="356"/>
      <c r="DO105" s="356"/>
      <c r="DP105" s="356"/>
      <c r="DQ105" s="356"/>
      <c r="DR105" s="356"/>
      <c r="DS105" s="356"/>
      <c r="DT105" s="356"/>
      <c r="DU105" s="356"/>
      <c r="DV105" s="356"/>
      <c r="DW105" s="356"/>
      <c r="DX105" s="356"/>
      <c r="DY105" s="356"/>
      <c r="DZ105" s="356"/>
      <c r="EA105" s="356"/>
      <c r="EB105" s="356"/>
      <c r="EC105" s="356"/>
      <c r="ED105" s="356"/>
      <c r="EE105" s="356"/>
      <c r="EF105" s="356"/>
      <c r="EG105" s="356"/>
      <c r="EH105" s="356"/>
      <c r="EI105" s="356"/>
      <c r="EJ105" s="356"/>
      <c r="EK105" s="356"/>
      <c r="EL105" s="356"/>
      <c r="EM105" s="356"/>
      <c r="EN105" s="356"/>
      <c r="EO105" s="356"/>
      <c r="EP105" s="356"/>
      <c r="EQ105" s="356"/>
      <c r="ER105" s="356"/>
      <c r="ES105" s="356"/>
      <c r="ET105" s="356"/>
      <c r="EU105" s="356"/>
      <c r="EV105" s="356"/>
      <c r="EW105" s="356"/>
      <c r="EX105" s="356"/>
      <c r="EY105" s="356"/>
      <c r="EZ105" s="356"/>
      <c r="FA105" s="356"/>
      <c r="FB105" s="356"/>
      <c r="FC105" s="356"/>
      <c r="FD105" s="356"/>
      <c r="FE105" s="356"/>
      <c r="FF105" s="356"/>
      <c r="FG105" s="356"/>
      <c r="FH105" s="356"/>
      <c r="FI105" s="356"/>
      <c r="FJ105" s="356"/>
      <c r="FK105" s="356"/>
      <c r="FL105" s="356"/>
      <c r="FM105" s="356"/>
      <c r="FN105" s="356"/>
      <c r="FO105" s="356"/>
      <c r="FP105" s="356"/>
      <c r="FQ105" s="356"/>
      <c r="FR105" s="356"/>
      <c r="FS105" s="356"/>
      <c r="FT105" s="356"/>
      <c r="FU105" s="356"/>
      <c r="FV105" s="356"/>
      <c r="FW105" s="356"/>
      <c r="FX105" s="356"/>
      <c r="FY105" s="356"/>
      <c r="FZ105" s="356"/>
      <c r="GA105" s="356"/>
      <c r="GB105" s="356"/>
      <c r="GC105" s="356"/>
      <c r="GD105" s="356"/>
      <c r="GE105" s="356"/>
      <c r="GF105" s="356"/>
      <c r="GG105" s="356"/>
      <c r="GH105" s="356"/>
      <c r="GI105" s="356"/>
      <c r="GJ105" s="356"/>
      <c r="GK105" s="356"/>
      <c r="GL105" s="356"/>
      <c r="GM105" s="356"/>
      <c r="GN105" s="356"/>
      <c r="GO105" s="356"/>
      <c r="GP105" s="356"/>
      <c r="GQ105" s="356"/>
      <c r="GR105" s="356"/>
      <c r="GS105" s="356"/>
      <c r="GT105" s="356"/>
      <c r="GU105" s="356"/>
      <c r="GV105" s="356"/>
      <c r="GW105" s="356"/>
      <c r="GX105" s="356"/>
      <c r="GY105" s="356"/>
      <c r="GZ105" s="356"/>
      <c r="HA105" s="356"/>
      <c r="HB105" s="356"/>
      <c r="HC105" s="356"/>
      <c r="HD105" s="356"/>
      <c r="HE105" s="356"/>
      <c r="HF105" s="356"/>
      <c r="HG105" s="356"/>
      <c r="HH105" s="356"/>
      <c r="HI105" s="356"/>
      <c r="HJ105" s="356"/>
      <c r="HK105" s="356"/>
      <c r="HL105" s="356"/>
      <c r="HM105" s="356"/>
      <c r="HN105" s="356"/>
      <c r="HO105" s="356"/>
      <c r="HP105" s="356"/>
      <c r="HQ105" s="356"/>
      <c r="HR105" s="356"/>
      <c r="HS105" s="356"/>
      <c r="HT105" s="356"/>
      <c r="HU105" s="356"/>
      <c r="HV105" s="356"/>
      <c r="HW105" s="356"/>
      <c r="HX105" s="356"/>
      <c r="HY105" s="356"/>
      <c r="HZ105" s="356"/>
      <c r="IA105" s="356"/>
      <c r="IB105" s="356"/>
      <c r="IC105" s="356"/>
      <c r="ID105" s="356"/>
      <c r="IE105" s="356"/>
      <c r="IF105" s="356"/>
      <c r="IG105" s="356"/>
      <c r="IH105" s="356"/>
      <c r="II105" s="356"/>
      <c r="IJ105" s="356"/>
      <c r="IK105" s="356"/>
      <c r="IL105" s="356"/>
      <c r="IM105" s="356"/>
      <c r="IN105" s="356"/>
      <c r="IO105" s="356"/>
      <c r="IP105" s="356"/>
      <c r="IQ105" s="356"/>
      <c r="IR105" s="356"/>
      <c r="IS105" s="356"/>
      <c r="IT105" s="356"/>
      <c r="IU105" s="356"/>
      <c r="IV105" s="356"/>
      <c r="IW105" s="356"/>
      <c r="IX105" s="356"/>
      <c r="IY105" s="356"/>
      <c r="IZ105" s="356"/>
      <c r="JA105" s="356"/>
      <c r="JB105" s="356"/>
      <c r="JC105" s="356"/>
      <c r="JD105" s="356"/>
      <c r="JE105" s="356"/>
      <c r="JF105" s="356"/>
      <c r="JG105" s="356"/>
      <c r="JH105" s="356"/>
      <c r="JI105" s="356"/>
      <c r="JJ105" s="356"/>
      <c r="JK105" s="356"/>
      <c r="JL105" s="356"/>
      <c r="JM105" s="356"/>
      <c r="JN105" s="356"/>
      <c r="JO105" s="356"/>
      <c r="JP105" s="356"/>
      <c r="JQ105" s="356"/>
      <c r="JR105" s="356"/>
      <c r="JS105" s="356"/>
      <c r="JT105" s="356"/>
      <c r="JU105" s="356"/>
      <c r="JV105" s="356"/>
      <c r="JW105" s="356"/>
      <c r="JX105" s="356"/>
      <c r="JY105" s="356"/>
      <c r="JZ105" s="356"/>
      <c r="KA105" s="356"/>
      <c r="KB105" s="356"/>
      <c r="KC105" s="356"/>
      <c r="KD105" s="356"/>
      <c r="KE105" s="356"/>
      <c r="KF105" s="356"/>
      <c r="KG105" s="356"/>
      <c r="KH105" s="356"/>
      <c r="KI105" s="356"/>
      <c r="KJ105" s="356"/>
      <c r="KK105" s="356"/>
      <c r="KL105" s="356"/>
      <c r="KM105" s="356"/>
      <c r="KN105" s="356"/>
      <c r="KO105" s="356"/>
      <c r="KP105" s="356"/>
      <c r="KQ105" s="356"/>
      <c r="KR105" s="356"/>
      <c r="KS105" s="356"/>
      <c r="KT105" s="356"/>
      <c r="KU105" s="356"/>
      <c r="KV105" s="356"/>
      <c r="KW105" s="356"/>
      <c r="KX105" s="356"/>
      <c r="KY105" s="356"/>
      <c r="KZ105" s="356"/>
      <c r="LA105" s="356"/>
      <c r="LB105" s="356"/>
      <c r="LC105" s="356"/>
      <c r="LD105" s="356"/>
      <c r="LE105" s="356"/>
      <c r="LF105" s="356"/>
      <c r="LG105" s="356"/>
      <c r="LH105" s="356"/>
      <c r="LI105" s="356"/>
      <c r="LJ105" s="356"/>
      <c r="LK105" s="356"/>
      <c r="LL105" s="356"/>
      <c r="LM105" s="356"/>
      <c r="LN105" s="356"/>
      <c r="LO105" s="356"/>
      <c r="LP105" s="356"/>
      <c r="LQ105" s="356"/>
      <c r="LR105" s="356"/>
      <c r="LS105" s="356"/>
      <c r="LT105" s="356"/>
      <c r="LU105" s="356"/>
      <c r="LV105" s="356"/>
      <c r="LW105" s="356"/>
      <c r="LX105" s="356"/>
      <c r="LY105" s="356"/>
      <c r="LZ105" s="356"/>
      <c r="MA105" s="356"/>
      <c r="MB105" s="356"/>
      <c r="MC105" s="356"/>
      <c r="MD105" s="356"/>
      <c r="ME105" s="356"/>
      <c r="MF105" s="356"/>
      <c r="MG105" s="356"/>
      <c r="MH105" s="356"/>
      <c r="MI105" s="356"/>
      <c r="MJ105" s="356"/>
      <c r="MK105" s="356"/>
      <c r="ML105" s="356"/>
      <c r="MM105" s="356"/>
      <c r="MN105" s="356"/>
      <c r="MO105" s="356"/>
      <c r="MP105" s="356"/>
      <c r="MQ105" s="356"/>
      <c r="MR105" s="356"/>
      <c r="MS105" s="356"/>
      <c r="MT105" s="356"/>
      <c r="MU105" s="356"/>
      <c r="MV105" s="356"/>
      <c r="MW105" s="356"/>
      <c r="MX105" s="356"/>
      <c r="MY105" s="356"/>
      <c r="MZ105" s="356"/>
      <c r="NA105" s="356"/>
      <c r="NB105" s="356"/>
      <c r="NC105" s="356"/>
      <c r="ND105" s="356"/>
      <c r="NE105" s="356"/>
      <c r="NF105" s="356"/>
      <c r="NG105" s="356"/>
      <c r="NH105" s="356"/>
      <c r="NI105" s="356"/>
      <c r="NJ105" s="356"/>
      <c r="NK105" s="356"/>
      <c r="NL105" s="356"/>
      <c r="NM105" s="356"/>
      <c r="NN105" s="356"/>
      <c r="NO105" s="356"/>
      <c r="NP105" s="356"/>
      <c r="NQ105" s="356"/>
      <c r="NR105" s="356"/>
      <c r="NS105" s="356"/>
      <c r="NT105" s="356"/>
      <c r="NU105" s="356"/>
      <c r="NV105" s="356"/>
      <c r="NW105" s="356"/>
      <c r="NX105" s="356"/>
      <c r="NY105" s="356"/>
      <c r="NZ105" s="356"/>
      <c r="OA105" s="356"/>
      <c r="OB105" s="356"/>
      <c r="OC105" s="356"/>
      <c r="OD105" s="356"/>
      <c r="OE105" s="356"/>
      <c r="OF105" s="356"/>
      <c r="OG105" s="356"/>
      <c r="OH105" s="356"/>
      <c r="OI105" s="356"/>
      <c r="OJ105" s="356"/>
      <c r="OK105" s="356"/>
      <c r="OL105" s="356"/>
      <c r="OM105" s="356"/>
      <c r="ON105" s="356"/>
      <c r="OO105" s="356"/>
      <c r="OP105" s="356"/>
      <c r="OQ105" s="356"/>
      <c r="OR105" s="356"/>
      <c r="OS105" s="356"/>
      <c r="OT105" s="356"/>
      <c r="OU105" s="356"/>
      <c r="OV105" s="356"/>
      <c r="OW105" s="356"/>
      <c r="OX105" s="356"/>
      <c r="OY105" s="356"/>
      <c r="OZ105" s="356"/>
      <c r="PA105" s="356"/>
      <c r="PB105" s="356"/>
      <c r="PC105" s="356"/>
      <c r="PD105" s="356"/>
      <c r="PE105" s="356"/>
      <c r="PF105" s="356"/>
      <c r="PG105" s="356"/>
      <c r="PH105" s="356"/>
      <c r="PI105" s="356"/>
      <c r="PJ105" s="356"/>
      <c r="PK105" s="356"/>
      <c r="PL105" s="356"/>
      <c r="PM105" s="356"/>
      <c r="PN105" s="356"/>
      <c r="PO105" s="356"/>
      <c r="PP105" s="356"/>
      <c r="PQ105" s="356"/>
      <c r="PR105" s="356"/>
      <c r="PS105" s="356"/>
      <c r="PT105" s="356"/>
      <c r="PU105" s="356"/>
      <c r="PV105" s="356"/>
      <c r="PW105" s="356"/>
      <c r="PX105" s="356"/>
      <c r="PY105" s="356"/>
      <c r="PZ105" s="356"/>
      <c r="QA105" s="356"/>
      <c r="QB105" s="356"/>
      <c r="QC105" s="356"/>
      <c r="QD105" s="356"/>
      <c r="QE105" s="356"/>
      <c r="QF105" s="356"/>
      <c r="QG105" s="356"/>
      <c r="QH105" s="356"/>
      <c r="QI105" s="356"/>
      <c r="QJ105" s="356"/>
      <c r="QK105" s="356"/>
      <c r="QL105" s="356"/>
      <c r="QM105" s="356"/>
      <c r="QN105" s="356"/>
      <c r="QO105" s="356"/>
      <c r="QP105" s="356"/>
      <c r="QQ105" s="356"/>
      <c r="QR105" s="356"/>
      <c r="QS105" s="356"/>
      <c r="QT105" s="356"/>
      <c r="QU105" s="356"/>
      <c r="QV105" s="356"/>
      <c r="QW105" s="356"/>
      <c r="QX105" s="356"/>
      <c r="QY105" s="356"/>
      <c r="QZ105" s="356"/>
      <c r="RA105" s="356"/>
      <c r="RB105" s="356"/>
      <c r="RC105" s="356"/>
      <c r="RD105" s="356"/>
      <c r="RE105" s="356"/>
      <c r="RF105" s="356"/>
      <c r="RG105" s="356"/>
      <c r="RH105" s="356"/>
      <c r="RI105" s="356"/>
      <c r="RJ105" s="356"/>
      <c r="RK105" s="356"/>
      <c r="RL105" s="356"/>
      <c r="RM105" s="356"/>
      <c r="RN105" s="356"/>
      <c r="RO105" s="356"/>
      <c r="RP105" s="356"/>
      <c r="RQ105" s="356"/>
      <c r="RR105" s="356"/>
      <c r="RS105" s="356"/>
      <c r="RT105" s="356"/>
      <c r="RU105" s="356"/>
      <c r="RV105" s="356"/>
      <c r="RW105" s="356"/>
      <c r="RX105" s="356"/>
      <c r="RY105" s="356"/>
      <c r="RZ105" s="356"/>
      <c r="SA105" s="356"/>
      <c r="SB105" s="356"/>
      <c r="SC105" s="356"/>
      <c r="SD105" s="356"/>
      <c r="SE105" s="356"/>
      <c r="SF105" s="356"/>
      <c r="SG105" s="356"/>
      <c r="SH105" s="356"/>
      <c r="SI105" s="356"/>
      <c r="SJ105" s="356"/>
      <c r="SK105" s="356"/>
      <c r="SL105" s="356"/>
      <c r="SM105" s="356"/>
      <c r="SN105" s="356"/>
      <c r="SO105" s="356"/>
      <c r="SP105" s="356"/>
      <c r="SQ105" s="356"/>
      <c r="SR105" s="356"/>
      <c r="SS105" s="356"/>
      <c r="ST105" s="356"/>
      <c r="SU105" s="356"/>
      <c r="SV105" s="356"/>
      <c r="SW105" s="356"/>
      <c r="SX105" s="356"/>
      <c r="SY105" s="356"/>
      <c r="SZ105" s="356"/>
      <c r="TA105" s="356"/>
      <c r="TB105" s="356"/>
      <c r="TC105" s="356"/>
      <c r="TD105" s="356"/>
      <c r="TE105" s="356"/>
      <c r="TF105" s="356"/>
      <c r="TG105" s="356"/>
      <c r="TH105" s="356"/>
      <c r="TI105" s="356"/>
      <c r="TJ105" s="356"/>
      <c r="TK105" s="356"/>
      <c r="TL105" s="356"/>
      <c r="TM105" s="356"/>
      <c r="TN105" s="356"/>
      <c r="TO105" s="356"/>
      <c r="TP105" s="356"/>
      <c r="TQ105" s="356"/>
      <c r="TR105" s="356"/>
      <c r="TS105" s="356"/>
      <c r="TT105" s="356"/>
      <c r="TU105" s="356"/>
      <c r="TV105" s="356"/>
      <c r="TW105" s="356"/>
      <c r="TX105" s="356"/>
      <c r="TY105" s="356"/>
      <c r="TZ105" s="356"/>
      <c r="UA105" s="356"/>
      <c r="UB105" s="356"/>
      <c r="UC105" s="356"/>
      <c r="UD105" s="356"/>
      <c r="UE105" s="356"/>
      <c r="UF105" s="356"/>
      <c r="UG105" s="356"/>
      <c r="UH105" s="356"/>
      <c r="UI105" s="356"/>
      <c r="UJ105" s="356"/>
      <c r="UK105" s="356"/>
      <c r="UL105" s="356"/>
      <c r="UM105" s="356"/>
      <c r="UN105" s="356"/>
      <c r="UO105" s="356"/>
      <c r="UP105" s="356"/>
      <c r="UQ105" s="356"/>
      <c r="UR105" s="356"/>
      <c r="US105" s="356"/>
      <c r="UT105" s="356"/>
      <c r="UU105" s="356"/>
      <c r="UV105" s="356"/>
      <c r="UW105" s="356"/>
      <c r="UX105" s="356"/>
      <c r="UY105" s="356"/>
      <c r="UZ105" s="356"/>
      <c r="VA105" s="356"/>
      <c r="VB105" s="356"/>
      <c r="VC105" s="356"/>
      <c r="VD105" s="356"/>
      <c r="VE105" s="356"/>
      <c r="VF105" s="356"/>
      <c r="VG105" s="356"/>
      <c r="VH105" s="356"/>
      <c r="VI105" s="356"/>
      <c r="VJ105" s="356"/>
      <c r="VK105" s="356"/>
      <c r="VL105" s="356"/>
      <c r="VM105" s="356"/>
      <c r="VN105" s="356"/>
      <c r="VO105" s="356"/>
      <c r="VP105" s="356"/>
      <c r="VQ105" s="356"/>
      <c r="VR105" s="356"/>
      <c r="VS105" s="356"/>
      <c r="VT105" s="356"/>
      <c r="VU105" s="356"/>
      <c r="VV105" s="356"/>
      <c r="VW105" s="356"/>
      <c r="VX105" s="356"/>
      <c r="VY105" s="356"/>
      <c r="VZ105" s="356"/>
      <c r="WA105" s="356"/>
      <c r="WB105" s="356"/>
      <c r="WC105" s="356"/>
      <c r="WD105" s="356"/>
      <c r="WE105" s="356"/>
      <c r="WF105" s="356"/>
      <c r="WG105" s="356"/>
      <c r="WH105" s="356"/>
      <c r="WI105" s="356"/>
      <c r="WJ105" s="356"/>
      <c r="WK105" s="356"/>
      <c r="WL105" s="356"/>
      <c r="WM105" s="356"/>
      <c r="WN105" s="356"/>
      <c r="WO105" s="356"/>
      <c r="WP105" s="356"/>
      <c r="WQ105" s="356"/>
      <c r="WR105" s="356"/>
      <c r="WS105" s="356"/>
      <c r="WT105" s="356"/>
      <c r="WU105" s="356"/>
      <c r="WV105" s="356"/>
      <c r="WW105" s="356"/>
      <c r="WX105" s="356"/>
      <c r="WY105" s="356"/>
      <c r="WZ105" s="356"/>
      <c r="XA105" s="356"/>
      <c r="XB105" s="356"/>
      <c r="XC105" s="356"/>
      <c r="XD105" s="356"/>
      <c r="XE105" s="356"/>
      <c r="XF105" s="356"/>
      <c r="XG105" s="356"/>
      <c r="XH105" s="356"/>
      <c r="XI105" s="356"/>
      <c r="XJ105" s="356"/>
      <c r="XK105" s="356"/>
      <c r="XL105" s="356"/>
      <c r="XM105" s="356"/>
      <c r="XN105" s="356"/>
      <c r="XO105" s="356"/>
      <c r="XP105" s="356"/>
      <c r="XQ105" s="356"/>
      <c r="XR105" s="356"/>
      <c r="XS105" s="356"/>
      <c r="XT105" s="356"/>
      <c r="XU105" s="356"/>
      <c r="XV105" s="356"/>
      <c r="XW105" s="356"/>
      <c r="XX105" s="356"/>
      <c r="XY105" s="356"/>
      <c r="XZ105" s="356"/>
      <c r="YA105" s="356"/>
      <c r="YB105" s="356"/>
      <c r="YC105" s="356"/>
      <c r="YD105" s="356"/>
      <c r="YE105" s="356"/>
      <c r="YF105" s="356"/>
      <c r="YG105" s="356"/>
      <c r="YH105" s="356"/>
      <c r="YI105" s="356"/>
      <c r="YJ105" s="356"/>
      <c r="YK105" s="356"/>
      <c r="YL105" s="356"/>
      <c r="YM105" s="356"/>
      <c r="YN105" s="356"/>
      <c r="YO105" s="356"/>
      <c r="YP105" s="356"/>
      <c r="YQ105" s="356"/>
      <c r="YR105" s="356"/>
      <c r="YS105" s="356"/>
      <c r="YT105" s="356"/>
      <c r="YU105" s="356"/>
      <c r="YV105" s="356"/>
      <c r="YW105" s="356"/>
      <c r="YX105" s="356"/>
      <c r="YY105" s="356"/>
      <c r="YZ105" s="356"/>
      <c r="ZA105" s="356"/>
      <c r="ZB105" s="356"/>
      <c r="ZC105" s="356"/>
      <c r="ZD105" s="356"/>
      <c r="ZE105" s="356"/>
      <c r="ZF105" s="356"/>
      <c r="ZG105" s="356"/>
      <c r="ZH105" s="356"/>
      <c r="ZI105" s="356"/>
      <c r="ZJ105" s="356"/>
      <c r="ZK105" s="356"/>
      <c r="ZL105" s="356"/>
      <c r="ZM105" s="356"/>
      <c r="ZN105" s="356"/>
      <c r="ZO105" s="356"/>
      <c r="ZP105" s="356"/>
      <c r="ZQ105" s="356"/>
      <c r="ZR105" s="356"/>
      <c r="ZS105" s="356"/>
      <c r="ZT105" s="356"/>
      <c r="ZU105" s="356"/>
      <c r="ZV105" s="356"/>
      <c r="ZW105" s="356"/>
      <c r="ZX105" s="356"/>
      <c r="ZY105" s="356"/>
      <c r="ZZ105" s="356"/>
      <c r="AAA105" s="356"/>
      <c r="AAB105" s="356"/>
      <c r="AAC105" s="356"/>
      <c r="AAD105" s="356"/>
      <c r="AAE105" s="356"/>
      <c r="AAF105" s="356"/>
      <c r="AAG105" s="356"/>
      <c r="AAH105" s="356"/>
      <c r="AAI105" s="356"/>
      <c r="AAJ105" s="356"/>
      <c r="AAK105" s="356"/>
      <c r="AAL105" s="356"/>
      <c r="AAM105" s="356"/>
      <c r="AAN105" s="356"/>
      <c r="AAO105" s="356"/>
      <c r="AAP105" s="356"/>
      <c r="AAQ105" s="356"/>
      <c r="AAR105" s="356"/>
      <c r="AAS105" s="356"/>
      <c r="AAT105" s="356"/>
      <c r="AAU105" s="356"/>
      <c r="AAV105" s="356"/>
      <c r="AAW105" s="356"/>
      <c r="AAX105" s="356"/>
      <c r="AAY105" s="356"/>
      <c r="AAZ105" s="356"/>
      <c r="ABA105" s="356"/>
      <c r="ABB105" s="356"/>
      <c r="ABC105" s="356"/>
      <c r="ABD105" s="356"/>
      <c r="ABE105" s="356"/>
      <c r="ABF105" s="356"/>
      <c r="ABG105" s="356"/>
      <c r="ABH105" s="356"/>
      <c r="ABI105" s="356"/>
      <c r="ABJ105" s="356"/>
      <c r="ABK105" s="356"/>
      <c r="ABL105" s="356"/>
      <c r="ABM105" s="356"/>
      <c r="ABN105" s="356"/>
      <c r="ABO105" s="356"/>
      <c r="ABP105" s="356"/>
      <c r="ABQ105" s="356"/>
      <c r="ABR105" s="356"/>
      <c r="ABS105" s="356"/>
      <c r="ABT105" s="356"/>
      <c r="ABU105" s="356"/>
      <c r="ABV105" s="356"/>
      <c r="ABW105" s="356"/>
      <c r="ABX105" s="356"/>
      <c r="ABY105" s="356"/>
      <c r="ABZ105" s="356"/>
      <c r="ACA105" s="356"/>
      <c r="ACB105" s="356"/>
      <c r="ACC105" s="356"/>
      <c r="ACD105" s="356"/>
      <c r="ACE105" s="356"/>
      <c r="ACF105" s="356"/>
      <c r="ACG105" s="356"/>
      <c r="ACH105" s="356"/>
      <c r="ACI105" s="356"/>
      <c r="ACJ105" s="356"/>
      <c r="ACK105" s="356"/>
      <c r="ACL105" s="356"/>
      <c r="ACM105" s="356"/>
      <c r="ACN105" s="356"/>
      <c r="ACO105" s="356"/>
      <c r="ACP105" s="356"/>
      <c r="ACQ105" s="356"/>
      <c r="ACR105" s="356"/>
      <c r="ACS105" s="356"/>
      <c r="ACT105" s="356"/>
      <c r="ACU105" s="356"/>
      <c r="ACV105" s="356"/>
      <c r="ACW105" s="356"/>
      <c r="ACX105" s="356"/>
      <c r="ACY105" s="356"/>
      <c r="ACZ105" s="356"/>
      <c r="ADA105" s="356"/>
      <c r="ADB105" s="356"/>
      <c r="ADC105" s="356"/>
      <c r="ADD105" s="356"/>
      <c r="ADE105" s="356"/>
      <c r="ADF105" s="356"/>
      <c r="ADG105" s="356"/>
      <c r="ADH105" s="356"/>
      <c r="ADI105" s="356"/>
      <c r="ADJ105" s="356"/>
      <c r="ADK105" s="356"/>
      <c r="ADL105" s="356"/>
      <c r="ADM105" s="356"/>
      <c r="ADN105" s="356"/>
      <c r="ADO105" s="356"/>
      <c r="ADP105" s="356"/>
      <c r="ADQ105" s="356"/>
      <c r="ADR105" s="356"/>
      <c r="ADS105" s="356"/>
      <c r="ADT105" s="356"/>
      <c r="ADU105" s="356"/>
      <c r="ADV105" s="356"/>
      <c r="ADW105" s="356"/>
      <c r="ADX105" s="356"/>
      <c r="ADY105" s="356"/>
      <c r="ADZ105" s="356"/>
      <c r="AEA105" s="356"/>
      <c r="AEB105" s="356"/>
      <c r="AEC105" s="356"/>
      <c r="AED105" s="356"/>
      <c r="AEE105" s="356"/>
      <c r="AEF105" s="356"/>
      <c r="AEG105" s="356"/>
      <c r="AEH105" s="356"/>
      <c r="AEI105" s="356"/>
      <c r="AEJ105" s="356"/>
      <c r="AEK105" s="356"/>
      <c r="AEL105" s="356"/>
      <c r="AEM105" s="356"/>
      <c r="AEN105" s="356"/>
      <c r="AEO105" s="356"/>
      <c r="AEP105" s="356"/>
      <c r="AEQ105" s="356"/>
      <c r="AER105" s="356"/>
      <c r="AES105" s="356"/>
      <c r="AET105" s="356"/>
      <c r="AEU105" s="356"/>
      <c r="AEV105" s="356"/>
      <c r="AEW105" s="356"/>
      <c r="AEX105" s="356"/>
      <c r="AEY105" s="356"/>
      <c r="AEZ105" s="356"/>
      <c r="AFA105" s="356"/>
      <c r="AFB105" s="356"/>
      <c r="AFC105" s="356"/>
      <c r="AFD105" s="356"/>
      <c r="AFE105" s="356"/>
      <c r="AFF105" s="356"/>
      <c r="AFG105" s="356"/>
      <c r="AFH105" s="356"/>
      <c r="AFI105" s="356"/>
      <c r="AFJ105" s="356"/>
      <c r="AFK105" s="356"/>
      <c r="AFL105" s="356"/>
      <c r="AFM105" s="356"/>
      <c r="AFN105" s="356"/>
      <c r="AFO105" s="356"/>
      <c r="AFP105" s="356"/>
      <c r="AFQ105" s="356"/>
      <c r="AFR105" s="356"/>
      <c r="AFS105" s="356"/>
      <c r="AFT105" s="356"/>
      <c r="AFU105" s="356"/>
      <c r="AFV105" s="356"/>
      <c r="AFW105" s="356"/>
      <c r="AFX105" s="356"/>
      <c r="AFY105" s="356"/>
      <c r="AFZ105" s="356"/>
      <c r="AGA105" s="356"/>
      <c r="AGB105" s="356"/>
      <c r="AGC105" s="356"/>
      <c r="AGD105" s="356"/>
      <c r="AGE105" s="356"/>
      <c r="AGF105" s="356"/>
      <c r="AGG105" s="356"/>
      <c r="AGH105" s="356"/>
      <c r="AGI105" s="356"/>
      <c r="AGJ105" s="356"/>
      <c r="AGK105" s="356"/>
      <c r="AGL105" s="356"/>
      <c r="AGM105" s="356"/>
      <c r="AGN105" s="356"/>
      <c r="AGO105" s="356"/>
      <c r="AGP105" s="356"/>
      <c r="AGQ105" s="356"/>
      <c r="AGR105" s="356"/>
      <c r="AGS105" s="356"/>
      <c r="AGT105" s="356"/>
      <c r="AGU105" s="356"/>
      <c r="AGV105" s="356"/>
      <c r="AGW105" s="356"/>
      <c r="AGX105" s="356"/>
      <c r="AGY105" s="356"/>
      <c r="AGZ105" s="356"/>
      <c r="AHA105" s="356"/>
      <c r="AHB105" s="356"/>
      <c r="AHC105" s="356"/>
      <c r="AHD105" s="356"/>
      <c r="AHE105" s="356"/>
      <c r="AHF105" s="356"/>
      <c r="AHG105" s="356"/>
      <c r="AHH105" s="356"/>
      <c r="AHI105" s="356"/>
      <c r="AHJ105" s="356"/>
      <c r="AHK105" s="356"/>
      <c r="AHL105" s="356"/>
      <c r="AHM105" s="356"/>
      <c r="AHN105" s="356"/>
      <c r="AHO105" s="356"/>
      <c r="AHP105" s="356"/>
      <c r="AHQ105" s="356"/>
      <c r="AHR105" s="356"/>
      <c r="AHS105" s="356"/>
      <c r="AHT105" s="356"/>
      <c r="AHU105" s="356"/>
      <c r="AHV105" s="356"/>
      <c r="AHW105" s="356"/>
      <c r="AHX105" s="356"/>
      <c r="AHY105" s="356"/>
      <c r="AHZ105" s="356"/>
      <c r="AIA105" s="356"/>
      <c r="AIB105" s="356"/>
      <c r="AIC105" s="356"/>
      <c r="AID105" s="356"/>
      <c r="AIE105" s="356"/>
      <c r="AIF105" s="356"/>
      <c r="AIG105" s="356"/>
      <c r="AIH105" s="356"/>
      <c r="AII105" s="356"/>
      <c r="AIJ105" s="356"/>
      <c r="AIK105" s="356"/>
      <c r="AIL105" s="356"/>
      <c r="AIM105" s="356"/>
      <c r="AIN105" s="356"/>
      <c r="AIO105" s="356"/>
      <c r="AIP105" s="356"/>
      <c r="AIQ105" s="356"/>
      <c r="AIR105" s="356"/>
      <c r="AIS105" s="356"/>
      <c r="AIT105" s="356"/>
      <c r="AIU105" s="356"/>
      <c r="AIV105" s="356"/>
      <c r="AIW105" s="356"/>
      <c r="AIX105" s="356"/>
      <c r="AIY105" s="356"/>
      <c r="AIZ105" s="356"/>
      <c r="AJA105" s="356"/>
      <c r="AJB105" s="356"/>
      <c r="AJC105" s="356"/>
      <c r="AJD105" s="356"/>
      <c r="AJE105" s="356"/>
      <c r="AJF105" s="356"/>
      <c r="AJG105" s="356"/>
      <c r="AJH105" s="356"/>
      <c r="AJI105" s="356"/>
      <c r="AJJ105" s="356"/>
      <c r="AJK105" s="356"/>
      <c r="AJL105" s="356"/>
      <c r="AJM105" s="356"/>
      <c r="AJN105" s="356"/>
      <c r="AJO105" s="356"/>
      <c r="AJP105" s="356"/>
      <c r="AJQ105" s="356"/>
      <c r="AJR105" s="356"/>
      <c r="AJS105" s="356"/>
      <c r="AJT105" s="356"/>
      <c r="AJU105" s="356"/>
      <c r="AJV105" s="356"/>
      <c r="AJW105" s="356"/>
      <c r="AJX105" s="356"/>
      <c r="AJY105" s="356"/>
      <c r="AJZ105" s="356"/>
      <c r="AKA105" s="356"/>
      <c r="AKB105" s="356"/>
      <c r="AKC105" s="356"/>
      <c r="AKD105" s="356"/>
      <c r="AKE105" s="356"/>
      <c r="AKF105" s="356"/>
      <c r="AKG105" s="356"/>
      <c r="AKH105" s="356"/>
      <c r="AKI105" s="356"/>
      <c r="AKJ105" s="356"/>
      <c r="AKK105" s="356"/>
      <c r="AKL105" s="356"/>
      <c r="AKM105" s="356"/>
      <c r="AKN105" s="356"/>
      <c r="AKO105" s="356"/>
      <c r="AKP105" s="356"/>
      <c r="AKQ105" s="356"/>
      <c r="AKR105" s="356"/>
      <c r="AKS105" s="356"/>
      <c r="AKT105" s="356"/>
      <c r="AKU105" s="356"/>
      <c r="AKV105" s="356"/>
      <c r="AKW105" s="356"/>
      <c r="AKX105" s="356"/>
      <c r="AKY105" s="356"/>
      <c r="AKZ105" s="356"/>
      <c r="ALA105" s="356"/>
      <c r="ALB105" s="356"/>
      <c r="ALC105" s="356"/>
      <c r="ALD105" s="356"/>
      <c r="ALE105" s="356"/>
      <c r="ALF105" s="356"/>
      <c r="ALG105" s="356"/>
      <c r="ALH105" s="356"/>
      <c r="ALI105" s="356"/>
      <c r="ALJ105" s="356"/>
      <c r="ALK105" s="356"/>
      <c r="ALL105" s="356"/>
      <c r="ALM105" s="356"/>
      <c r="ALN105" s="356"/>
      <c r="ALO105" s="356"/>
      <c r="ALP105" s="356"/>
      <c r="ALQ105" s="356"/>
      <c r="ALR105" s="356"/>
      <c r="ALS105" s="356"/>
    </row>
    <row r="106" spans="1:1007" x14ac:dyDescent="0.2">
      <c r="A106" s="369" t="s">
        <v>287</v>
      </c>
      <c r="B106" s="356"/>
      <c r="C106" s="356"/>
    </row>
    <row r="107" spans="1:1007" x14ac:dyDescent="0.2">
      <c r="A107" s="369" t="s">
        <v>292</v>
      </c>
      <c r="B107" s="356"/>
      <c r="C107" s="356"/>
    </row>
    <row r="108" spans="1:1007" x14ac:dyDescent="0.2">
      <c r="A108" s="357"/>
      <c r="B108" s="356"/>
      <c r="C108" s="356"/>
    </row>
    <row r="109" spans="1:1007" ht="14.25" x14ac:dyDescent="0.2">
      <c r="A109" s="359" t="s">
        <v>286</v>
      </c>
      <c r="B109" s="356"/>
      <c r="C109" s="356"/>
    </row>
    <row r="110" spans="1:1007" x14ac:dyDescent="0.2">
      <c r="A110" s="369" t="s">
        <v>293</v>
      </c>
      <c r="B110" s="356"/>
      <c r="C110" s="356"/>
    </row>
    <row r="111" spans="1:1007" x14ac:dyDescent="0.2">
      <c r="A111" s="369" t="s">
        <v>289</v>
      </c>
      <c r="B111" s="356"/>
      <c r="C111" s="356"/>
    </row>
    <row r="112" spans="1:1007" s="3" customFormat="1" x14ac:dyDescent="0.2">
      <c r="A112" s="369" t="s">
        <v>296</v>
      </c>
      <c r="B112" s="356"/>
      <c r="C112" s="315"/>
      <c r="D112" s="252"/>
      <c r="E112" s="252"/>
      <c r="F112" s="252"/>
      <c r="G112" s="252"/>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2"/>
      <c r="AY112" s="252"/>
      <c r="AZ112" s="252"/>
      <c r="BA112" s="252"/>
      <c r="BB112" s="252"/>
      <c r="BC112" s="252"/>
      <c r="BD112" s="252"/>
      <c r="BE112" s="252"/>
      <c r="BF112" s="252"/>
      <c r="BG112" s="252"/>
      <c r="BH112" s="252"/>
      <c r="BI112" s="252"/>
      <c r="BJ112" s="252"/>
      <c r="BK112" s="252"/>
      <c r="BL112" s="252"/>
      <c r="BM112" s="252"/>
      <c r="BN112" s="252"/>
      <c r="BO112" s="252"/>
      <c r="BP112" s="252"/>
      <c r="BQ112" s="252"/>
      <c r="BR112" s="252"/>
      <c r="BS112" s="252"/>
      <c r="BT112" s="252"/>
      <c r="BU112" s="252"/>
      <c r="BV112" s="252"/>
      <c r="BW112" s="252"/>
      <c r="BX112" s="252"/>
      <c r="BY112" s="252"/>
      <c r="BZ112" s="252"/>
      <c r="CA112" s="252"/>
      <c r="CB112" s="252"/>
      <c r="CC112" s="252"/>
      <c r="CD112" s="252"/>
      <c r="CE112" s="252"/>
      <c r="CF112" s="252"/>
      <c r="CG112" s="252"/>
      <c r="CH112" s="252"/>
      <c r="CI112" s="252"/>
      <c r="CJ112" s="252"/>
      <c r="CK112" s="252"/>
      <c r="CL112" s="252"/>
      <c r="CM112" s="252"/>
      <c r="CN112" s="252"/>
      <c r="CO112" s="252"/>
      <c r="CP112" s="252"/>
      <c r="CQ112" s="252"/>
      <c r="CR112" s="252"/>
      <c r="CS112" s="252"/>
      <c r="CT112" s="252"/>
      <c r="CU112" s="252"/>
      <c r="CV112" s="252"/>
      <c r="CW112" s="252"/>
      <c r="CX112" s="252"/>
      <c r="CY112" s="252"/>
      <c r="CZ112" s="252"/>
      <c r="DA112" s="252"/>
      <c r="DB112" s="252"/>
      <c r="DC112" s="252"/>
      <c r="DD112" s="252"/>
      <c r="DE112" s="252"/>
      <c r="DF112" s="252"/>
      <c r="DG112" s="252"/>
      <c r="DH112" s="252"/>
      <c r="DI112" s="252"/>
      <c r="DJ112" s="252"/>
      <c r="DK112" s="252"/>
      <c r="DL112" s="252"/>
      <c r="DM112" s="252"/>
      <c r="DN112" s="252"/>
      <c r="DO112" s="252"/>
      <c r="DP112" s="252"/>
      <c r="DQ112" s="252"/>
      <c r="DR112" s="252"/>
      <c r="DS112" s="252"/>
      <c r="DT112" s="252"/>
      <c r="DU112" s="252"/>
      <c r="DV112" s="252"/>
      <c r="DW112" s="252"/>
      <c r="DX112" s="252"/>
      <c r="DY112" s="252"/>
      <c r="DZ112" s="252"/>
      <c r="EA112" s="252"/>
      <c r="EB112" s="252"/>
      <c r="EC112" s="252"/>
      <c r="ED112" s="252"/>
      <c r="EE112" s="252"/>
      <c r="EF112" s="252"/>
      <c r="EG112" s="252"/>
      <c r="EH112" s="252"/>
      <c r="EI112" s="252"/>
      <c r="EJ112" s="252"/>
      <c r="EK112" s="252"/>
      <c r="EL112" s="252"/>
      <c r="EM112" s="252"/>
      <c r="EN112" s="252"/>
      <c r="EO112" s="252"/>
      <c r="EP112" s="252"/>
      <c r="EQ112" s="252"/>
      <c r="ER112" s="252"/>
      <c r="ES112" s="252"/>
      <c r="ET112" s="252"/>
      <c r="EU112" s="252"/>
      <c r="EV112" s="252"/>
      <c r="EW112" s="252"/>
      <c r="EX112" s="252"/>
      <c r="EY112" s="252"/>
      <c r="EZ112" s="252"/>
      <c r="FA112" s="252"/>
      <c r="FB112" s="252"/>
      <c r="FC112" s="252"/>
      <c r="FD112" s="252"/>
      <c r="FE112" s="252"/>
      <c r="FF112" s="252"/>
      <c r="FG112" s="252"/>
      <c r="FH112" s="252"/>
      <c r="FI112" s="252"/>
      <c r="FJ112" s="252"/>
      <c r="FK112" s="252"/>
      <c r="FL112" s="252"/>
      <c r="FM112" s="252"/>
      <c r="FN112" s="252"/>
      <c r="FO112" s="252"/>
      <c r="FP112" s="252"/>
      <c r="FQ112" s="252"/>
      <c r="FR112" s="252"/>
      <c r="FS112" s="252"/>
      <c r="FT112" s="252"/>
      <c r="FU112" s="252"/>
      <c r="FV112" s="252"/>
      <c r="FW112" s="252"/>
      <c r="FX112" s="252"/>
      <c r="FY112" s="252"/>
      <c r="FZ112" s="252"/>
      <c r="GA112" s="252"/>
      <c r="GB112" s="252"/>
      <c r="GC112" s="252"/>
      <c r="GD112" s="252"/>
      <c r="GE112" s="252"/>
      <c r="GF112" s="252"/>
      <c r="GG112" s="252"/>
      <c r="GH112" s="252"/>
      <c r="GI112" s="252"/>
      <c r="GJ112" s="252"/>
      <c r="GK112" s="252"/>
      <c r="GL112" s="252"/>
      <c r="GM112" s="252"/>
      <c r="GN112" s="252"/>
      <c r="GO112" s="252"/>
      <c r="GP112" s="252"/>
      <c r="GQ112" s="252"/>
      <c r="GR112" s="252"/>
      <c r="GS112" s="252"/>
      <c r="GT112" s="252"/>
      <c r="GU112" s="252"/>
      <c r="GV112" s="252"/>
      <c r="GW112" s="252"/>
      <c r="GX112" s="252"/>
      <c r="GY112" s="252"/>
      <c r="GZ112" s="252"/>
      <c r="HA112" s="252"/>
      <c r="HB112" s="252"/>
      <c r="HC112" s="252"/>
      <c r="HD112" s="252"/>
      <c r="HE112" s="252"/>
      <c r="HF112" s="252"/>
      <c r="HG112" s="252"/>
      <c r="HH112" s="252"/>
      <c r="HI112" s="252"/>
      <c r="HJ112" s="252"/>
      <c r="HK112" s="252"/>
      <c r="HL112" s="252"/>
      <c r="HM112" s="252"/>
      <c r="HN112" s="252"/>
      <c r="HO112" s="252"/>
      <c r="HP112" s="252"/>
      <c r="HQ112" s="252"/>
      <c r="HR112" s="252"/>
      <c r="HS112" s="252"/>
      <c r="HT112" s="252"/>
      <c r="HU112" s="252"/>
      <c r="HV112" s="252"/>
      <c r="HW112" s="252"/>
      <c r="HX112" s="252"/>
      <c r="HY112" s="252"/>
      <c r="HZ112" s="252"/>
      <c r="IA112" s="252"/>
      <c r="IB112" s="252"/>
      <c r="IC112" s="252"/>
      <c r="ID112" s="252"/>
      <c r="IE112" s="252"/>
      <c r="IF112" s="252"/>
      <c r="IG112" s="252"/>
      <c r="IH112" s="252"/>
      <c r="II112" s="252"/>
      <c r="IJ112" s="252"/>
      <c r="IK112" s="252"/>
      <c r="IL112" s="252"/>
      <c r="IM112" s="252"/>
      <c r="IN112" s="252"/>
      <c r="IO112" s="252"/>
      <c r="IP112" s="252"/>
      <c r="IQ112" s="252"/>
      <c r="IR112" s="252"/>
      <c r="IS112" s="252"/>
      <c r="IT112" s="252"/>
      <c r="IU112" s="252"/>
      <c r="IV112" s="252"/>
      <c r="IW112" s="252"/>
      <c r="IX112" s="252"/>
      <c r="IY112" s="252"/>
      <c r="IZ112" s="252"/>
      <c r="JA112" s="252"/>
      <c r="JB112" s="252"/>
      <c r="JC112" s="252"/>
      <c r="JD112" s="252"/>
      <c r="JE112" s="252"/>
      <c r="JF112" s="252"/>
      <c r="JG112" s="252"/>
      <c r="JH112" s="252"/>
      <c r="JI112" s="252"/>
      <c r="JJ112" s="252"/>
      <c r="JK112" s="252"/>
      <c r="JL112" s="252"/>
      <c r="JM112" s="252"/>
      <c r="JN112" s="252"/>
      <c r="JO112" s="252"/>
      <c r="JP112" s="252"/>
      <c r="JQ112" s="252"/>
      <c r="JR112" s="252"/>
      <c r="JS112" s="252"/>
      <c r="JT112" s="252"/>
      <c r="JU112" s="252"/>
      <c r="JV112" s="252"/>
      <c r="JW112" s="252"/>
      <c r="JX112" s="252"/>
      <c r="JY112" s="252"/>
      <c r="JZ112" s="252"/>
      <c r="KA112" s="252"/>
      <c r="KB112" s="252"/>
      <c r="KC112" s="252"/>
      <c r="KD112" s="252"/>
      <c r="KE112" s="252"/>
      <c r="KF112" s="252"/>
      <c r="KG112" s="252"/>
      <c r="KH112" s="252"/>
      <c r="KI112" s="252"/>
      <c r="KJ112" s="252"/>
      <c r="KK112" s="252"/>
      <c r="KL112" s="252"/>
      <c r="KM112" s="252"/>
      <c r="KN112" s="252"/>
      <c r="KO112" s="252"/>
      <c r="KP112" s="252"/>
      <c r="KQ112" s="252"/>
      <c r="KR112" s="252"/>
      <c r="KS112" s="252"/>
      <c r="KT112" s="252"/>
      <c r="KU112" s="252"/>
      <c r="KV112" s="252"/>
      <c r="KW112" s="252"/>
      <c r="KX112" s="252"/>
      <c r="KY112" s="252"/>
      <c r="KZ112" s="252"/>
      <c r="LA112" s="252"/>
      <c r="LB112" s="252"/>
      <c r="LC112" s="252"/>
      <c r="LD112" s="252"/>
      <c r="LE112" s="252"/>
      <c r="LF112" s="252"/>
      <c r="LG112" s="252"/>
      <c r="LH112" s="252"/>
      <c r="LI112" s="252"/>
      <c r="LJ112" s="252"/>
      <c r="LK112" s="252"/>
      <c r="LL112" s="252"/>
      <c r="LM112" s="252"/>
      <c r="LN112" s="252"/>
      <c r="LO112" s="252"/>
      <c r="LP112" s="252"/>
      <c r="LQ112" s="252"/>
      <c r="LR112" s="252"/>
      <c r="LS112" s="252"/>
      <c r="LT112" s="252"/>
      <c r="LU112" s="252"/>
      <c r="LV112" s="252"/>
      <c r="LW112" s="252"/>
      <c r="LX112" s="252"/>
      <c r="LY112" s="252"/>
      <c r="LZ112" s="252"/>
      <c r="MA112" s="252"/>
      <c r="MB112" s="252"/>
      <c r="MC112" s="252"/>
      <c r="MD112" s="252"/>
      <c r="ME112" s="252"/>
      <c r="MF112" s="252"/>
      <c r="MG112" s="252"/>
      <c r="MH112" s="252"/>
      <c r="MI112" s="252"/>
      <c r="MJ112" s="252"/>
      <c r="MK112" s="252"/>
      <c r="ML112" s="252"/>
      <c r="MM112" s="252"/>
      <c r="MN112" s="252"/>
      <c r="MO112" s="252"/>
      <c r="MP112" s="252"/>
      <c r="MQ112" s="252"/>
      <c r="MR112" s="252"/>
      <c r="MS112" s="252"/>
      <c r="MT112" s="252"/>
      <c r="MU112" s="252"/>
      <c r="MV112" s="252"/>
      <c r="MW112" s="252"/>
      <c r="MX112" s="252"/>
      <c r="MY112" s="252"/>
      <c r="MZ112" s="252"/>
      <c r="NA112" s="252"/>
      <c r="NB112" s="252"/>
      <c r="NC112" s="252"/>
      <c r="ND112" s="252"/>
      <c r="NE112" s="252"/>
      <c r="NF112" s="252"/>
      <c r="NG112" s="252"/>
      <c r="NH112" s="252"/>
      <c r="NI112" s="252"/>
      <c r="NJ112" s="252"/>
      <c r="NK112" s="252"/>
      <c r="NL112" s="252"/>
      <c r="NM112" s="252"/>
      <c r="NN112" s="252"/>
      <c r="NO112" s="252"/>
      <c r="NP112" s="252"/>
      <c r="NQ112" s="252"/>
      <c r="NR112" s="252"/>
      <c r="NS112" s="252"/>
      <c r="NT112" s="252"/>
      <c r="NU112" s="252"/>
      <c r="NV112" s="252"/>
      <c r="NW112" s="252"/>
      <c r="NX112" s="252"/>
      <c r="NY112" s="252"/>
      <c r="NZ112" s="252"/>
      <c r="OA112" s="252"/>
      <c r="OB112" s="252"/>
      <c r="OC112" s="252"/>
      <c r="OD112" s="252"/>
      <c r="OE112" s="252"/>
      <c r="OF112" s="252"/>
      <c r="OG112" s="252"/>
      <c r="OH112" s="252"/>
      <c r="OI112" s="252"/>
      <c r="OJ112" s="252"/>
      <c r="OK112" s="252"/>
      <c r="OL112" s="252"/>
      <c r="OM112" s="252"/>
      <c r="ON112" s="252"/>
      <c r="OO112" s="252"/>
      <c r="OP112" s="252"/>
      <c r="OQ112" s="252"/>
      <c r="OR112" s="252"/>
      <c r="OS112" s="252"/>
      <c r="OT112" s="252"/>
      <c r="OU112" s="252"/>
      <c r="OV112" s="252"/>
      <c r="OW112" s="252"/>
      <c r="OX112" s="252"/>
      <c r="OY112" s="252"/>
      <c r="OZ112" s="252"/>
      <c r="PA112" s="252"/>
      <c r="PB112" s="252"/>
      <c r="PC112" s="252"/>
      <c r="PD112" s="252"/>
      <c r="PE112" s="252"/>
      <c r="PF112" s="252"/>
      <c r="PG112" s="252"/>
      <c r="PH112" s="252"/>
      <c r="PI112" s="252"/>
      <c r="PJ112" s="252"/>
      <c r="PK112" s="252"/>
      <c r="PL112" s="252"/>
      <c r="PM112" s="252"/>
      <c r="PN112" s="252"/>
      <c r="PO112" s="252"/>
      <c r="PP112" s="252"/>
      <c r="PQ112" s="252"/>
      <c r="PR112" s="252"/>
      <c r="PS112" s="252"/>
      <c r="PT112" s="252"/>
      <c r="PU112" s="252"/>
      <c r="PV112" s="252"/>
      <c r="PW112" s="252"/>
      <c r="PX112" s="252"/>
      <c r="PY112" s="252"/>
      <c r="PZ112" s="252"/>
      <c r="QA112" s="252"/>
      <c r="QB112" s="252"/>
      <c r="QC112" s="252"/>
      <c r="QD112" s="252"/>
      <c r="QE112" s="252"/>
      <c r="QF112" s="252"/>
      <c r="QG112" s="252"/>
      <c r="QH112" s="252"/>
      <c r="QI112" s="252"/>
      <c r="QJ112" s="252"/>
      <c r="QK112" s="252"/>
      <c r="QL112" s="252"/>
      <c r="QM112" s="252"/>
      <c r="QN112" s="252"/>
      <c r="QO112" s="252"/>
      <c r="QP112" s="252"/>
      <c r="QQ112" s="252"/>
      <c r="QR112" s="252"/>
      <c r="QS112" s="252"/>
      <c r="QT112" s="252"/>
      <c r="QU112" s="252"/>
      <c r="QV112" s="252"/>
      <c r="QW112" s="252"/>
      <c r="QX112" s="252"/>
      <c r="QY112" s="252"/>
      <c r="QZ112" s="252"/>
      <c r="RA112" s="252"/>
      <c r="RB112" s="252"/>
      <c r="RC112" s="252"/>
      <c r="RD112" s="252"/>
      <c r="RE112" s="252"/>
      <c r="RF112" s="252"/>
      <c r="RG112" s="252"/>
      <c r="RH112" s="252"/>
      <c r="RI112" s="252"/>
      <c r="RJ112" s="252"/>
      <c r="RK112" s="252"/>
      <c r="RL112" s="252"/>
      <c r="RM112" s="252"/>
      <c r="RN112" s="252"/>
      <c r="RO112" s="252"/>
      <c r="RP112" s="252"/>
      <c r="RQ112" s="252"/>
      <c r="RR112" s="252"/>
      <c r="RS112" s="252"/>
      <c r="RT112" s="252"/>
      <c r="RU112" s="252"/>
      <c r="RV112" s="252"/>
      <c r="RW112" s="252"/>
      <c r="RX112" s="252"/>
      <c r="RY112" s="252"/>
      <c r="RZ112" s="252"/>
      <c r="SA112" s="252"/>
      <c r="SB112" s="252"/>
      <c r="SC112" s="252"/>
      <c r="SD112" s="252"/>
      <c r="SE112" s="252"/>
      <c r="SF112" s="252"/>
      <c r="SG112" s="252"/>
      <c r="SH112" s="252"/>
      <c r="SI112" s="252"/>
      <c r="SJ112" s="252"/>
      <c r="SK112" s="252"/>
      <c r="SL112" s="252"/>
      <c r="SM112" s="252"/>
      <c r="SN112" s="252"/>
      <c r="SO112" s="252"/>
      <c r="SP112" s="252"/>
      <c r="SQ112" s="252"/>
      <c r="SR112" s="252"/>
      <c r="SS112" s="252"/>
      <c r="ST112" s="252"/>
      <c r="SU112" s="252"/>
      <c r="SV112" s="252"/>
      <c r="SW112" s="252"/>
      <c r="SX112" s="252"/>
      <c r="SY112" s="252"/>
      <c r="SZ112" s="252"/>
      <c r="TA112" s="252"/>
      <c r="TB112" s="252"/>
      <c r="TC112" s="252"/>
      <c r="TD112" s="252"/>
      <c r="TE112" s="252"/>
      <c r="TF112" s="252"/>
      <c r="TG112" s="252"/>
      <c r="TH112" s="252"/>
      <c r="TI112" s="252"/>
      <c r="TJ112" s="252"/>
      <c r="TK112" s="252"/>
      <c r="TL112" s="252"/>
      <c r="TM112" s="252"/>
      <c r="TN112" s="252"/>
      <c r="TO112" s="252"/>
      <c r="TP112" s="252"/>
      <c r="TQ112" s="252"/>
      <c r="TR112" s="252"/>
      <c r="TS112" s="252"/>
      <c r="TT112" s="252"/>
      <c r="TU112" s="252"/>
      <c r="TV112" s="252"/>
      <c r="TW112" s="252"/>
      <c r="TX112" s="252"/>
      <c r="TY112" s="252"/>
      <c r="TZ112" s="252"/>
      <c r="UA112" s="252"/>
      <c r="UB112" s="252"/>
      <c r="UC112" s="252"/>
      <c r="UD112" s="252"/>
      <c r="UE112" s="252"/>
      <c r="UF112" s="252"/>
      <c r="UG112" s="252"/>
      <c r="UH112" s="252"/>
      <c r="UI112" s="252"/>
      <c r="UJ112" s="252"/>
      <c r="UK112" s="252"/>
      <c r="UL112" s="252"/>
      <c r="UM112" s="252"/>
      <c r="UN112" s="252"/>
      <c r="UO112" s="252"/>
      <c r="UP112" s="252"/>
      <c r="UQ112" s="252"/>
      <c r="UR112" s="252"/>
      <c r="US112" s="252"/>
      <c r="UT112" s="252"/>
      <c r="UU112" s="252"/>
      <c r="UV112" s="252"/>
      <c r="UW112" s="252"/>
      <c r="UX112" s="252"/>
      <c r="UY112" s="252"/>
      <c r="UZ112" s="252"/>
      <c r="VA112" s="252"/>
      <c r="VB112" s="252"/>
      <c r="VC112" s="252"/>
      <c r="VD112" s="252"/>
      <c r="VE112" s="252"/>
      <c r="VF112" s="252"/>
      <c r="VG112" s="252"/>
      <c r="VH112" s="252"/>
      <c r="VI112" s="252"/>
      <c r="VJ112" s="252"/>
      <c r="VK112" s="252"/>
      <c r="VL112" s="252"/>
      <c r="VM112" s="252"/>
      <c r="VN112" s="252"/>
      <c r="VO112" s="252"/>
      <c r="VP112" s="252"/>
      <c r="VQ112" s="252"/>
      <c r="VR112" s="252"/>
      <c r="VS112" s="252"/>
      <c r="VT112" s="252"/>
      <c r="VU112" s="252"/>
      <c r="VV112" s="252"/>
      <c r="VW112" s="252"/>
      <c r="VX112" s="252"/>
      <c r="VY112" s="252"/>
      <c r="VZ112" s="252"/>
      <c r="WA112" s="252"/>
      <c r="WB112" s="252"/>
      <c r="WC112" s="252"/>
      <c r="WD112" s="252"/>
      <c r="WE112" s="252"/>
      <c r="WF112" s="252"/>
      <c r="WG112" s="252"/>
      <c r="WH112" s="252"/>
      <c r="WI112" s="252"/>
      <c r="WJ112" s="252"/>
      <c r="WK112" s="252"/>
      <c r="WL112" s="252"/>
      <c r="WM112" s="252"/>
      <c r="WN112" s="252"/>
      <c r="WO112" s="252"/>
      <c r="WP112" s="252"/>
      <c r="WQ112" s="252"/>
      <c r="WR112" s="252"/>
      <c r="WS112" s="252"/>
      <c r="WT112" s="252"/>
      <c r="WU112" s="252"/>
      <c r="WV112" s="252"/>
      <c r="WW112" s="252"/>
      <c r="WX112" s="252"/>
      <c r="WY112" s="252"/>
      <c r="WZ112" s="252"/>
      <c r="XA112" s="252"/>
      <c r="XB112" s="252"/>
      <c r="XC112" s="252"/>
      <c r="XD112" s="252"/>
      <c r="XE112" s="252"/>
      <c r="XF112" s="252"/>
      <c r="XG112" s="252"/>
      <c r="XH112" s="252"/>
      <c r="XI112" s="252"/>
      <c r="XJ112" s="252"/>
      <c r="XK112" s="252"/>
      <c r="XL112" s="252"/>
      <c r="XM112" s="252"/>
      <c r="XN112" s="252"/>
      <c r="XO112" s="252"/>
      <c r="XP112" s="252"/>
      <c r="XQ112" s="252"/>
      <c r="XR112" s="252"/>
      <c r="XS112" s="252"/>
      <c r="XT112" s="252"/>
      <c r="XU112" s="252"/>
      <c r="XV112" s="252"/>
      <c r="XW112" s="252"/>
      <c r="XX112" s="252"/>
      <c r="XY112" s="252"/>
      <c r="XZ112" s="252"/>
      <c r="YA112" s="252"/>
      <c r="YB112" s="252"/>
      <c r="YC112" s="252"/>
      <c r="YD112" s="252"/>
      <c r="YE112" s="252"/>
      <c r="YF112" s="252"/>
      <c r="YG112" s="252"/>
      <c r="YH112" s="252"/>
      <c r="YI112" s="252"/>
      <c r="YJ112" s="252"/>
      <c r="YK112" s="252"/>
      <c r="YL112" s="252"/>
      <c r="YM112" s="252"/>
      <c r="YN112" s="252"/>
      <c r="YO112" s="252"/>
      <c r="YP112" s="252"/>
      <c r="YQ112" s="252"/>
      <c r="YR112" s="252"/>
      <c r="YS112" s="252"/>
      <c r="YT112" s="252"/>
      <c r="YU112" s="252"/>
      <c r="YV112" s="252"/>
      <c r="YW112" s="252"/>
      <c r="YX112" s="252"/>
      <c r="YY112" s="252"/>
      <c r="YZ112" s="252"/>
      <c r="ZA112" s="252"/>
      <c r="ZB112" s="252"/>
      <c r="ZC112" s="252"/>
      <c r="ZD112" s="252"/>
      <c r="ZE112" s="252"/>
      <c r="ZF112" s="252"/>
      <c r="ZG112" s="252"/>
      <c r="ZH112" s="252"/>
      <c r="ZI112" s="252"/>
      <c r="ZJ112" s="252"/>
      <c r="ZK112" s="252"/>
      <c r="ZL112" s="252"/>
      <c r="ZM112" s="252"/>
      <c r="ZN112" s="252"/>
      <c r="ZO112" s="252"/>
      <c r="ZP112" s="252"/>
      <c r="ZQ112" s="252"/>
      <c r="ZR112" s="252"/>
      <c r="ZS112" s="252"/>
      <c r="ZT112" s="252"/>
      <c r="ZU112" s="252"/>
      <c r="ZV112" s="252"/>
      <c r="ZW112" s="252"/>
      <c r="ZX112" s="252"/>
      <c r="ZY112" s="252"/>
      <c r="ZZ112" s="252"/>
      <c r="AAA112" s="252"/>
      <c r="AAB112" s="252"/>
      <c r="AAC112" s="252"/>
      <c r="AAD112" s="252"/>
      <c r="AAE112" s="252"/>
      <c r="AAF112" s="252"/>
      <c r="AAG112" s="252"/>
      <c r="AAH112" s="252"/>
      <c r="AAI112" s="252"/>
      <c r="AAJ112" s="252"/>
      <c r="AAK112" s="252"/>
      <c r="AAL112" s="252"/>
      <c r="AAM112" s="252"/>
      <c r="AAN112" s="252"/>
      <c r="AAO112" s="252"/>
      <c r="AAP112" s="252"/>
      <c r="AAQ112" s="252"/>
      <c r="AAR112" s="252"/>
      <c r="AAS112" s="252"/>
      <c r="AAT112" s="252"/>
      <c r="AAU112" s="252"/>
      <c r="AAV112" s="252"/>
      <c r="AAW112" s="252"/>
      <c r="AAX112" s="252"/>
      <c r="AAY112" s="252"/>
      <c r="AAZ112" s="252"/>
      <c r="ABA112" s="252"/>
      <c r="ABB112" s="252"/>
      <c r="ABC112" s="252"/>
      <c r="ABD112" s="252"/>
      <c r="ABE112" s="252"/>
      <c r="ABF112" s="252"/>
      <c r="ABG112" s="252"/>
      <c r="ABH112" s="252"/>
      <c r="ABI112" s="252"/>
      <c r="ABJ112" s="252"/>
      <c r="ABK112" s="252"/>
      <c r="ABL112" s="252"/>
      <c r="ABM112" s="252"/>
      <c r="ABN112" s="252"/>
      <c r="ABO112" s="252"/>
      <c r="ABP112" s="252"/>
      <c r="ABQ112" s="252"/>
      <c r="ABR112" s="252"/>
      <c r="ABS112" s="252"/>
      <c r="ABT112" s="252"/>
      <c r="ABU112" s="252"/>
      <c r="ABV112" s="252"/>
      <c r="ABW112" s="252"/>
      <c r="ABX112" s="252"/>
      <c r="ABY112" s="252"/>
      <c r="ABZ112" s="252"/>
      <c r="ACA112" s="252"/>
      <c r="ACB112" s="252"/>
      <c r="ACC112" s="252"/>
      <c r="ACD112" s="252"/>
      <c r="ACE112" s="252"/>
      <c r="ACF112" s="252"/>
      <c r="ACG112" s="252"/>
      <c r="ACH112" s="252"/>
      <c r="ACI112" s="252"/>
      <c r="ACJ112" s="252"/>
      <c r="ACK112" s="252"/>
      <c r="ACL112" s="252"/>
      <c r="ACM112" s="252"/>
      <c r="ACN112" s="252"/>
      <c r="ACO112" s="252"/>
      <c r="ACP112" s="252"/>
      <c r="ACQ112" s="252"/>
      <c r="ACR112" s="252"/>
      <c r="ACS112" s="252"/>
      <c r="ACT112" s="252"/>
      <c r="ACU112" s="252"/>
      <c r="ACV112" s="252"/>
      <c r="ACW112" s="252"/>
      <c r="ACX112" s="252"/>
      <c r="ACY112" s="252"/>
      <c r="ACZ112" s="252"/>
      <c r="ADA112" s="252"/>
      <c r="ADB112" s="252"/>
      <c r="ADC112" s="252"/>
      <c r="ADD112" s="252"/>
      <c r="ADE112" s="252"/>
      <c r="ADF112" s="252"/>
      <c r="ADG112" s="252"/>
      <c r="ADH112" s="252"/>
      <c r="ADI112" s="252"/>
      <c r="ADJ112" s="252"/>
      <c r="ADK112" s="252"/>
      <c r="ADL112" s="252"/>
      <c r="ADM112" s="252"/>
      <c r="ADN112" s="252"/>
      <c r="ADO112" s="252"/>
      <c r="ADP112" s="252"/>
      <c r="ADQ112" s="252"/>
      <c r="ADR112" s="252"/>
      <c r="ADS112" s="252"/>
      <c r="ADT112" s="252"/>
      <c r="ADU112" s="252"/>
      <c r="ADV112" s="252"/>
      <c r="ADW112" s="252"/>
      <c r="ADX112" s="252"/>
      <c r="ADY112" s="252"/>
      <c r="ADZ112" s="252"/>
      <c r="AEA112" s="252"/>
      <c r="AEB112" s="252"/>
      <c r="AEC112" s="252"/>
      <c r="AED112" s="252"/>
      <c r="AEE112" s="252"/>
      <c r="AEF112" s="252"/>
      <c r="AEG112" s="252"/>
      <c r="AEH112" s="252"/>
      <c r="AEI112" s="252"/>
      <c r="AEJ112" s="252"/>
      <c r="AEK112" s="252"/>
      <c r="AEL112" s="252"/>
      <c r="AEM112" s="252"/>
      <c r="AEN112" s="252"/>
      <c r="AEO112" s="252"/>
      <c r="AEP112" s="252"/>
      <c r="AEQ112" s="252"/>
      <c r="AER112" s="252"/>
      <c r="AES112" s="252"/>
      <c r="AET112" s="252"/>
      <c r="AEU112" s="252"/>
      <c r="AEV112" s="252"/>
      <c r="AEW112" s="252"/>
      <c r="AEX112" s="252"/>
      <c r="AEY112" s="252"/>
      <c r="AEZ112" s="252"/>
      <c r="AFA112" s="252"/>
      <c r="AFB112" s="252"/>
      <c r="AFC112" s="252"/>
      <c r="AFD112" s="252"/>
      <c r="AFE112" s="252"/>
      <c r="AFF112" s="252"/>
      <c r="AFG112" s="252"/>
      <c r="AFH112" s="252"/>
      <c r="AFI112" s="252"/>
      <c r="AFJ112" s="252"/>
      <c r="AFK112" s="252"/>
      <c r="AFL112" s="252"/>
      <c r="AFM112" s="252"/>
      <c r="AFN112" s="252"/>
      <c r="AFO112" s="252"/>
      <c r="AFP112" s="252"/>
      <c r="AFQ112" s="252"/>
      <c r="AFR112" s="252"/>
      <c r="AFS112" s="252"/>
      <c r="AFT112" s="252"/>
      <c r="AFU112" s="252"/>
      <c r="AFV112" s="252"/>
      <c r="AFW112" s="252"/>
      <c r="AFX112" s="252"/>
      <c r="AFY112" s="252"/>
      <c r="AFZ112" s="252"/>
      <c r="AGA112" s="252"/>
      <c r="AGB112" s="252"/>
      <c r="AGC112" s="252"/>
      <c r="AGD112" s="252"/>
      <c r="AGE112" s="252"/>
      <c r="AGF112" s="252"/>
      <c r="AGG112" s="252"/>
      <c r="AGH112" s="252"/>
      <c r="AGI112" s="252"/>
      <c r="AGJ112" s="252"/>
      <c r="AGK112" s="252"/>
      <c r="AGL112" s="252"/>
      <c r="AGM112" s="252"/>
      <c r="AGN112" s="252"/>
      <c r="AGO112" s="252"/>
      <c r="AGP112" s="252"/>
      <c r="AGQ112" s="252"/>
      <c r="AGR112" s="252"/>
      <c r="AGS112" s="252"/>
      <c r="AGT112" s="252"/>
      <c r="AGU112" s="252"/>
      <c r="AGV112" s="252"/>
      <c r="AGW112" s="252"/>
      <c r="AGX112" s="252"/>
      <c r="AGY112" s="252"/>
      <c r="AGZ112" s="252"/>
      <c r="AHA112" s="252"/>
      <c r="AHB112" s="252"/>
      <c r="AHC112" s="252"/>
      <c r="AHD112" s="252"/>
      <c r="AHE112" s="252"/>
      <c r="AHF112" s="252"/>
      <c r="AHG112" s="252"/>
      <c r="AHH112" s="252"/>
      <c r="AHI112" s="252"/>
      <c r="AHJ112" s="252"/>
      <c r="AHK112" s="252"/>
      <c r="AHL112" s="252"/>
      <c r="AHM112" s="252"/>
      <c r="AHN112" s="252"/>
      <c r="AHO112" s="252"/>
      <c r="AHP112" s="252"/>
      <c r="AHQ112" s="252"/>
      <c r="AHR112" s="252"/>
      <c r="AHS112" s="252"/>
      <c r="AHT112" s="252"/>
      <c r="AHU112" s="252"/>
      <c r="AHV112" s="252"/>
      <c r="AHW112" s="252"/>
      <c r="AHX112" s="252"/>
      <c r="AHY112" s="252"/>
      <c r="AHZ112" s="252"/>
      <c r="AIA112" s="252"/>
      <c r="AIB112" s="252"/>
      <c r="AIC112" s="252"/>
      <c r="AID112" s="252"/>
      <c r="AIE112" s="252"/>
      <c r="AIF112" s="252"/>
      <c r="AIG112" s="252"/>
      <c r="AIH112" s="252"/>
      <c r="AII112" s="252"/>
      <c r="AIJ112" s="252"/>
      <c r="AIK112" s="252"/>
      <c r="AIL112" s="252"/>
      <c r="AIM112" s="252"/>
      <c r="AIN112" s="252"/>
      <c r="AIO112" s="252"/>
      <c r="AIP112" s="252"/>
      <c r="AIQ112" s="252"/>
      <c r="AIR112" s="252"/>
      <c r="AIS112" s="252"/>
      <c r="AIT112" s="252"/>
      <c r="AIU112" s="252"/>
      <c r="AIV112" s="252"/>
      <c r="AIW112" s="252"/>
      <c r="AIX112" s="252"/>
      <c r="AIY112" s="252"/>
      <c r="AIZ112" s="252"/>
      <c r="AJA112" s="252"/>
      <c r="AJB112" s="252"/>
      <c r="AJC112" s="252"/>
      <c r="AJD112" s="252"/>
      <c r="AJE112" s="252"/>
      <c r="AJF112" s="252"/>
      <c r="AJG112" s="252"/>
      <c r="AJH112" s="252"/>
      <c r="AJI112" s="252"/>
      <c r="AJJ112" s="252"/>
      <c r="AJK112" s="252"/>
      <c r="AJL112" s="252"/>
      <c r="AJM112" s="252"/>
      <c r="AJN112" s="252"/>
      <c r="AJO112" s="252"/>
      <c r="AJP112" s="252"/>
      <c r="AJQ112" s="252"/>
      <c r="AJR112" s="252"/>
      <c r="AJS112" s="252"/>
      <c r="AJT112" s="252"/>
      <c r="AJU112" s="252"/>
      <c r="AJV112" s="252"/>
      <c r="AJW112" s="252"/>
      <c r="AJX112" s="252"/>
      <c r="AJY112" s="252"/>
      <c r="AJZ112" s="252"/>
      <c r="AKA112" s="252"/>
      <c r="AKB112" s="252"/>
      <c r="AKC112" s="252"/>
      <c r="AKD112" s="252"/>
      <c r="AKE112" s="252"/>
      <c r="AKF112" s="252"/>
      <c r="AKG112" s="252"/>
      <c r="AKH112" s="252"/>
      <c r="AKI112" s="252"/>
      <c r="AKJ112" s="252"/>
      <c r="AKK112" s="252"/>
      <c r="AKL112" s="252"/>
      <c r="AKM112" s="252"/>
      <c r="AKN112" s="252"/>
      <c r="AKO112" s="252"/>
      <c r="AKP112" s="252"/>
      <c r="AKQ112" s="252"/>
      <c r="AKR112" s="252"/>
      <c r="AKS112" s="252"/>
      <c r="AKT112" s="252"/>
      <c r="AKU112" s="252"/>
      <c r="AKV112" s="252"/>
      <c r="AKW112" s="252"/>
      <c r="AKX112" s="252"/>
      <c r="AKY112" s="252"/>
      <c r="AKZ112" s="252"/>
      <c r="ALA112" s="252"/>
      <c r="ALB112" s="252"/>
      <c r="ALC112" s="252"/>
      <c r="ALD112" s="252"/>
      <c r="ALE112" s="252"/>
      <c r="ALF112" s="252"/>
      <c r="ALG112" s="252"/>
      <c r="ALH112" s="252"/>
      <c r="ALI112" s="252"/>
      <c r="ALJ112" s="252"/>
      <c r="ALK112" s="252"/>
      <c r="ALL112" s="252"/>
      <c r="ALM112" s="252"/>
      <c r="ALN112" s="252"/>
      <c r="ALO112" s="252"/>
      <c r="ALP112" s="252"/>
      <c r="ALQ112" s="252"/>
      <c r="ALR112" s="252"/>
      <c r="ALS112" s="252"/>
    </row>
    <row r="113" spans="1:1007" x14ac:dyDescent="0.2">
      <c r="A113" s="369" t="s">
        <v>287</v>
      </c>
      <c r="B113" s="356"/>
      <c r="C113" s="356"/>
    </row>
    <row r="114" spans="1:1007" x14ac:dyDescent="0.2">
      <c r="A114" s="369" t="s">
        <v>295</v>
      </c>
      <c r="B114" s="356"/>
      <c r="C114" s="356"/>
    </row>
    <row r="115" spans="1:1007" x14ac:dyDescent="0.2">
      <c r="A115" s="369" t="s">
        <v>297</v>
      </c>
      <c r="B115" s="356"/>
      <c r="C115" s="356"/>
    </row>
    <row r="116" spans="1:1007" s="3" customFormat="1" x14ac:dyDescent="0.2">
      <c r="A116" s="369" t="s">
        <v>298</v>
      </c>
      <c r="B116" s="356"/>
      <c r="C116" s="356"/>
      <c r="D116" s="252"/>
      <c r="E116" s="252"/>
      <c r="F116" s="252"/>
      <c r="G116" s="252"/>
      <c r="H116" s="252"/>
      <c r="I116" s="252"/>
      <c r="J116" s="252"/>
      <c r="K116" s="252"/>
      <c r="L116" s="252"/>
      <c r="M116" s="252"/>
      <c r="N116" s="252"/>
      <c r="O116" s="252"/>
      <c r="P116" s="252"/>
      <c r="Q116" s="252"/>
      <c r="R116" s="252"/>
      <c r="S116" s="252"/>
      <c r="T116" s="252"/>
      <c r="U116" s="252"/>
      <c r="V116" s="252"/>
      <c r="W116" s="252"/>
      <c r="X116" s="252"/>
      <c r="Y116" s="252"/>
      <c r="Z116" s="252"/>
      <c r="AA116" s="252"/>
      <c r="AB116" s="252"/>
      <c r="AC116" s="252"/>
      <c r="AD116" s="252"/>
      <c r="AE116" s="252"/>
      <c r="AF116" s="252"/>
      <c r="AG116" s="252"/>
      <c r="AH116" s="252"/>
      <c r="AI116" s="252"/>
      <c r="AJ116" s="252"/>
      <c r="AK116" s="252"/>
      <c r="AL116" s="252"/>
      <c r="AM116" s="252"/>
      <c r="AN116" s="252"/>
      <c r="AO116" s="252"/>
      <c r="AP116" s="252"/>
      <c r="AQ116" s="252"/>
      <c r="AR116" s="252"/>
      <c r="AS116" s="252"/>
      <c r="AT116" s="252"/>
      <c r="AU116" s="252"/>
      <c r="AV116" s="252"/>
      <c r="AW116" s="252"/>
      <c r="AX116" s="252"/>
      <c r="AY116" s="252"/>
      <c r="AZ116" s="252"/>
      <c r="BA116" s="252"/>
      <c r="BB116" s="252"/>
      <c r="BC116" s="252"/>
      <c r="BD116" s="252"/>
      <c r="BE116" s="252"/>
      <c r="BF116" s="252"/>
      <c r="BG116" s="252"/>
      <c r="BH116" s="252"/>
      <c r="BI116" s="252"/>
      <c r="BJ116" s="252"/>
      <c r="BK116" s="252"/>
      <c r="BL116" s="252"/>
      <c r="BM116" s="252"/>
      <c r="BN116" s="252"/>
      <c r="BO116" s="252"/>
      <c r="BP116" s="252"/>
      <c r="BQ116" s="252"/>
      <c r="BR116" s="252"/>
      <c r="BS116" s="252"/>
      <c r="BT116" s="252"/>
      <c r="BU116" s="252"/>
      <c r="BV116" s="252"/>
      <c r="BW116" s="252"/>
      <c r="BX116" s="252"/>
      <c r="BY116" s="252"/>
      <c r="BZ116" s="252"/>
      <c r="CA116" s="252"/>
      <c r="CB116" s="252"/>
      <c r="CC116" s="252"/>
      <c r="CD116" s="252"/>
      <c r="CE116" s="252"/>
      <c r="CF116" s="252"/>
      <c r="CG116" s="252"/>
      <c r="CH116" s="252"/>
      <c r="CI116" s="252"/>
      <c r="CJ116" s="252"/>
      <c r="CK116" s="252"/>
      <c r="CL116" s="252"/>
      <c r="CM116" s="252"/>
      <c r="CN116" s="252"/>
      <c r="CO116" s="252"/>
      <c r="CP116" s="252"/>
      <c r="CQ116" s="252"/>
      <c r="CR116" s="252"/>
      <c r="CS116" s="252"/>
      <c r="CT116" s="252"/>
      <c r="CU116" s="252"/>
      <c r="CV116" s="252"/>
      <c r="CW116" s="252"/>
      <c r="CX116" s="252"/>
      <c r="CY116" s="252"/>
      <c r="CZ116" s="252"/>
      <c r="DA116" s="252"/>
      <c r="DB116" s="252"/>
      <c r="DC116" s="252"/>
      <c r="DD116" s="252"/>
      <c r="DE116" s="252"/>
      <c r="DF116" s="252"/>
      <c r="DG116" s="252"/>
      <c r="DH116" s="252"/>
      <c r="DI116" s="252"/>
      <c r="DJ116" s="252"/>
      <c r="DK116" s="252"/>
      <c r="DL116" s="252"/>
      <c r="DM116" s="252"/>
      <c r="DN116" s="252"/>
      <c r="DO116" s="252"/>
      <c r="DP116" s="252"/>
      <c r="DQ116" s="252"/>
      <c r="DR116" s="252"/>
      <c r="DS116" s="252"/>
      <c r="DT116" s="252"/>
      <c r="DU116" s="252"/>
      <c r="DV116" s="252"/>
      <c r="DW116" s="252"/>
      <c r="DX116" s="252"/>
      <c r="DY116" s="252"/>
      <c r="DZ116" s="252"/>
      <c r="EA116" s="252"/>
      <c r="EB116" s="252"/>
      <c r="EC116" s="252"/>
      <c r="ED116" s="252"/>
      <c r="EE116" s="252"/>
      <c r="EF116" s="252"/>
      <c r="EG116" s="252"/>
      <c r="EH116" s="252"/>
      <c r="EI116" s="252"/>
      <c r="EJ116" s="252"/>
      <c r="EK116" s="252"/>
      <c r="EL116" s="252"/>
      <c r="EM116" s="252"/>
      <c r="EN116" s="252"/>
      <c r="EO116" s="252"/>
      <c r="EP116" s="252"/>
      <c r="EQ116" s="252"/>
      <c r="ER116" s="252"/>
      <c r="ES116" s="252"/>
      <c r="ET116" s="252"/>
      <c r="EU116" s="252"/>
      <c r="EV116" s="252"/>
      <c r="EW116" s="252"/>
      <c r="EX116" s="252"/>
      <c r="EY116" s="252"/>
      <c r="EZ116" s="252"/>
      <c r="FA116" s="252"/>
      <c r="FB116" s="252"/>
      <c r="FC116" s="252"/>
      <c r="FD116" s="252"/>
      <c r="FE116" s="252"/>
      <c r="FF116" s="252"/>
      <c r="FG116" s="252"/>
      <c r="FH116" s="252"/>
      <c r="FI116" s="252"/>
      <c r="FJ116" s="252"/>
      <c r="FK116" s="252"/>
      <c r="FL116" s="252"/>
      <c r="FM116" s="252"/>
      <c r="FN116" s="252"/>
      <c r="FO116" s="252"/>
      <c r="FP116" s="252"/>
      <c r="FQ116" s="252"/>
      <c r="FR116" s="252"/>
      <c r="FS116" s="252"/>
      <c r="FT116" s="252"/>
      <c r="FU116" s="252"/>
      <c r="FV116" s="252"/>
      <c r="FW116" s="252"/>
      <c r="FX116" s="252"/>
      <c r="FY116" s="252"/>
      <c r="FZ116" s="252"/>
      <c r="GA116" s="252"/>
      <c r="GB116" s="252"/>
      <c r="GC116" s="252"/>
      <c r="GD116" s="252"/>
      <c r="GE116" s="252"/>
      <c r="GF116" s="252"/>
      <c r="GG116" s="252"/>
      <c r="GH116" s="252"/>
      <c r="GI116" s="252"/>
      <c r="GJ116" s="252"/>
      <c r="GK116" s="252"/>
      <c r="GL116" s="252"/>
      <c r="GM116" s="252"/>
      <c r="GN116" s="252"/>
      <c r="GO116" s="252"/>
      <c r="GP116" s="252"/>
      <c r="GQ116" s="252"/>
      <c r="GR116" s="252"/>
      <c r="GS116" s="252"/>
      <c r="GT116" s="252"/>
      <c r="GU116" s="252"/>
      <c r="GV116" s="252"/>
      <c r="GW116" s="252"/>
      <c r="GX116" s="252"/>
      <c r="GY116" s="252"/>
      <c r="GZ116" s="252"/>
      <c r="HA116" s="252"/>
      <c r="HB116" s="252"/>
      <c r="HC116" s="252"/>
      <c r="HD116" s="252"/>
      <c r="HE116" s="252"/>
      <c r="HF116" s="252"/>
      <c r="HG116" s="252"/>
      <c r="HH116" s="252"/>
      <c r="HI116" s="252"/>
      <c r="HJ116" s="252"/>
      <c r="HK116" s="252"/>
      <c r="HL116" s="252"/>
      <c r="HM116" s="252"/>
      <c r="HN116" s="252"/>
      <c r="HO116" s="252"/>
      <c r="HP116" s="252"/>
      <c r="HQ116" s="252"/>
      <c r="HR116" s="252"/>
      <c r="HS116" s="252"/>
      <c r="HT116" s="252"/>
      <c r="HU116" s="252"/>
      <c r="HV116" s="252"/>
      <c r="HW116" s="252"/>
      <c r="HX116" s="252"/>
      <c r="HY116" s="252"/>
      <c r="HZ116" s="252"/>
      <c r="IA116" s="252"/>
      <c r="IB116" s="252"/>
      <c r="IC116" s="252"/>
      <c r="ID116" s="252"/>
      <c r="IE116" s="252"/>
      <c r="IF116" s="252"/>
      <c r="IG116" s="252"/>
      <c r="IH116" s="252"/>
      <c r="II116" s="252"/>
      <c r="IJ116" s="252"/>
      <c r="IK116" s="252"/>
      <c r="IL116" s="252"/>
      <c r="IM116" s="252"/>
      <c r="IN116" s="252"/>
      <c r="IO116" s="252"/>
      <c r="IP116" s="252"/>
      <c r="IQ116" s="252"/>
      <c r="IR116" s="252"/>
      <c r="IS116" s="252"/>
      <c r="IT116" s="252"/>
      <c r="IU116" s="252"/>
      <c r="IV116" s="252"/>
      <c r="IW116" s="252"/>
      <c r="IX116" s="252"/>
      <c r="IY116" s="252"/>
      <c r="IZ116" s="252"/>
      <c r="JA116" s="252"/>
      <c r="JB116" s="252"/>
      <c r="JC116" s="252"/>
      <c r="JD116" s="252"/>
      <c r="JE116" s="252"/>
      <c r="JF116" s="252"/>
      <c r="JG116" s="252"/>
      <c r="JH116" s="252"/>
      <c r="JI116" s="252"/>
      <c r="JJ116" s="252"/>
      <c r="JK116" s="252"/>
      <c r="JL116" s="252"/>
      <c r="JM116" s="252"/>
      <c r="JN116" s="252"/>
      <c r="JO116" s="252"/>
      <c r="JP116" s="252"/>
      <c r="JQ116" s="252"/>
      <c r="JR116" s="252"/>
      <c r="JS116" s="252"/>
      <c r="JT116" s="252"/>
      <c r="JU116" s="252"/>
      <c r="JV116" s="252"/>
      <c r="JW116" s="252"/>
      <c r="JX116" s="252"/>
      <c r="JY116" s="252"/>
      <c r="JZ116" s="252"/>
      <c r="KA116" s="252"/>
      <c r="KB116" s="252"/>
      <c r="KC116" s="252"/>
      <c r="KD116" s="252"/>
      <c r="KE116" s="252"/>
      <c r="KF116" s="252"/>
      <c r="KG116" s="252"/>
      <c r="KH116" s="252"/>
      <c r="KI116" s="252"/>
      <c r="KJ116" s="252"/>
      <c r="KK116" s="252"/>
      <c r="KL116" s="252"/>
      <c r="KM116" s="252"/>
      <c r="KN116" s="252"/>
      <c r="KO116" s="252"/>
      <c r="KP116" s="252"/>
      <c r="KQ116" s="252"/>
      <c r="KR116" s="252"/>
      <c r="KS116" s="252"/>
      <c r="KT116" s="252"/>
      <c r="KU116" s="252"/>
      <c r="KV116" s="252"/>
      <c r="KW116" s="252"/>
      <c r="KX116" s="252"/>
      <c r="KY116" s="252"/>
      <c r="KZ116" s="252"/>
      <c r="LA116" s="252"/>
      <c r="LB116" s="252"/>
      <c r="LC116" s="252"/>
      <c r="LD116" s="252"/>
      <c r="LE116" s="252"/>
      <c r="LF116" s="252"/>
      <c r="LG116" s="252"/>
      <c r="LH116" s="252"/>
      <c r="LI116" s="252"/>
      <c r="LJ116" s="252"/>
      <c r="LK116" s="252"/>
      <c r="LL116" s="252"/>
      <c r="LM116" s="252"/>
      <c r="LN116" s="252"/>
      <c r="LO116" s="252"/>
      <c r="LP116" s="252"/>
      <c r="LQ116" s="252"/>
      <c r="LR116" s="252"/>
      <c r="LS116" s="252"/>
      <c r="LT116" s="252"/>
      <c r="LU116" s="252"/>
      <c r="LV116" s="252"/>
      <c r="LW116" s="252"/>
      <c r="LX116" s="252"/>
      <c r="LY116" s="252"/>
      <c r="LZ116" s="252"/>
      <c r="MA116" s="252"/>
      <c r="MB116" s="252"/>
      <c r="MC116" s="252"/>
      <c r="MD116" s="252"/>
      <c r="ME116" s="252"/>
      <c r="MF116" s="252"/>
      <c r="MG116" s="252"/>
      <c r="MH116" s="252"/>
      <c r="MI116" s="252"/>
      <c r="MJ116" s="252"/>
      <c r="MK116" s="252"/>
      <c r="ML116" s="252"/>
      <c r="MM116" s="252"/>
      <c r="MN116" s="252"/>
      <c r="MO116" s="252"/>
      <c r="MP116" s="252"/>
      <c r="MQ116" s="252"/>
      <c r="MR116" s="252"/>
      <c r="MS116" s="252"/>
      <c r="MT116" s="252"/>
      <c r="MU116" s="252"/>
      <c r="MV116" s="252"/>
      <c r="MW116" s="252"/>
      <c r="MX116" s="252"/>
      <c r="MY116" s="252"/>
      <c r="MZ116" s="252"/>
      <c r="NA116" s="252"/>
      <c r="NB116" s="252"/>
      <c r="NC116" s="252"/>
      <c r="ND116" s="252"/>
      <c r="NE116" s="252"/>
      <c r="NF116" s="252"/>
      <c r="NG116" s="252"/>
      <c r="NH116" s="252"/>
      <c r="NI116" s="252"/>
      <c r="NJ116" s="252"/>
      <c r="NK116" s="252"/>
      <c r="NL116" s="252"/>
      <c r="NM116" s="252"/>
      <c r="NN116" s="252"/>
      <c r="NO116" s="252"/>
      <c r="NP116" s="252"/>
      <c r="NQ116" s="252"/>
      <c r="NR116" s="252"/>
      <c r="NS116" s="252"/>
      <c r="NT116" s="252"/>
      <c r="NU116" s="252"/>
      <c r="NV116" s="252"/>
      <c r="NW116" s="252"/>
      <c r="NX116" s="252"/>
      <c r="NY116" s="252"/>
      <c r="NZ116" s="252"/>
      <c r="OA116" s="252"/>
      <c r="OB116" s="252"/>
      <c r="OC116" s="252"/>
      <c r="OD116" s="252"/>
      <c r="OE116" s="252"/>
      <c r="OF116" s="252"/>
      <c r="OG116" s="252"/>
      <c r="OH116" s="252"/>
      <c r="OI116" s="252"/>
      <c r="OJ116" s="252"/>
      <c r="OK116" s="252"/>
      <c r="OL116" s="252"/>
      <c r="OM116" s="252"/>
      <c r="ON116" s="252"/>
      <c r="OO116" s="252"/>
      <c r="OP116" s="252"/>
      <c r="OQ116" s="252"/>
      <c r="OR116" s="252"/>
      <c r="OS116" s="252"/>
      <c r="OT116" s="252"/>
      <c r="OU116" s="252"/>
      <c r="OV116" s="252"/>
      <c r="OW116" s="252"/>
      <c r="OX116" s="252"/>
      <c r="OY116" s="252"/>
      <c r="OZ116" s="252"/>
      <c r="PA116" s="252"/>
      <c r="PB116" s="252"/>
      <c r="PC116" s="252"/>
      <c r="PD116" s="252"/>
      <c r="PE116" s="252"/>
      <c r="PF116" s="252"/>
      <c r="PG116" s="252"/>
      <c r="PH116" s="252"/>
      <c r="PI116" s="252"/>
      <c r="PJ116" s="252"/>
      <c r="PK116" s="252"/>
      <c r="PL116" s="252"/>
      <c r="PM116" s="252"/>
      <c r="PN116" s="252"/>
      <c r="PO116" s="252"/>
      <c r="PP116" s="252"/>
      <c r="PQ116" s="252"/>
      <c r="PR116" s="252"/>
      <c r="PS116" s="252"/>
      <c r="PT116" s="252"/>
      <c r="PU116" s="252"/>
      <c r="PV116" s="252"/>
      <c r="PW116" s="252"/>
      <c r="PX116" s="252"/>
      <c r="PY116" s="252"/>
      <c r="PZ116" s="252"/>
      <c r="QA116" s="252"/>
      <c r="QB116" s="252"/>
      <c r="QC116" s="252"/>
      <c r="QD116" s="252"/>
      <c r="QE116" s="252"/>
      <c r="QF116" s="252"/>
      <c r="QG116" s="252"/>
      <c r="QH116" s="252"/>
      <c r="QI116" s="252"/>
      <c r="QJ116" s="252"/>
      <c r="QK116" s="252"/>
      <c r="QL116" s="252"/>
      <c r="QM116" s="252"/>
      <c r="QN116" s="252"/>
      <c r="QO116" s="252"/>
      <c r="QP116" s="252"/>
      <c r="QQ116" s="252"/>
      <c r="QR116" s="252"/>
      <c r="QS116" s="252"/>
      <c r="QT116" s="252"/>
      <c r="QU116" s="252"/>
      <c r="QV116" s="252"/>
      <c r="QW116" s="252"/>
      <c r="QX116" s="252"/>
      <c r="QY116" s="252"/>
      <c r="QZ116" s="252"/>
      <c r="RA116" s="252"/>
      <c r="RB116" s="252"/>
      <c r="RC116" s="252"/>
      <c r="RD116" s="252"/>
      <c r="RE116" s="252"/>
      <c r="RF116" s="252"/>
      <c r="RG116" s="252"/>
      <c r="RH116" s="252"/>
      <c r="RI116" s="252"/>
      <c r="RJ116" s="252"/>
      <c r="RK116" s="252"/>
      <c r="RL116" s="252"/>
      <c r="RM116" s="252"/>
      <c r="RN116" s="252"/>
      <c r="RO116" s="252"/>
      <c r="RP116" s="252"/>
      <c r="RQ116" s="252"/>
      <c r="RR116" s="252"/>
      <c r="RS116" s="252"/>
      <c r="RT116" s="252"/>
      <c r="RU116" s="252"/>
      <c r="RV116" s="252"/>
      <c r="RW116" s="252"/>
      <c r="RX116" s="252"/>
      <c r="RY116" s="252"/>
      <c r="RZ116" s="252"/>
      <c r="SA116" s="252"/>
      <c r="SB116" s="252"/>
      <c r="SC116" s="252"/>
      <c r="SD116" s="252"/>
      <c r="SE116" s="252"/>
      <c r="SF116" s="252"/>
      <c r="SG116" s="252"/>
      <c r="SH116" s="252"/>
      <c r="SI116" s="252"/>
      <c r="SJ116" s="252"/>
      <c r="SK116" s="252"/>
      <c r="SL116" s="252"/>
      <c r="SM116" s="252"/>
      <c r="SN116" s="252"/>
      <c r="SO116" s="252"/>
      <c r="SP116" s="252"/>
      <c r="SQ116" s="252"/>
      <c r="SR116" s="252"/>
      <c r="SS116" s="252"/>
      <c r="ST116" s="252"/>
      <c r="SU116" s="252"/>
      <c r="SV116" s="252"/>
      <c r="SW116" s="252"/>
      <c r="SX116" s="252"/>
      <c r="SY116" s="252"/>
      <c r="SZ116" s="252"/>
      <c r="TA116" s="252"/>
      <c r="TB116" s="252"/>
      <c r="TC116" s="252"/>
      <c r="TD116" s="252"/>
      <c r="TE116" s="252"/>
      <c r="TF116" s="252"/>
      <c r="TG116" s="252"/>
      <c r="TH116" s="252"/>
      <c r="TI116" s="252"/>
      <c r="TJ116" s="252"/>
      <c r="TK116" s="252"/>
      <c r="TL116" s="252"/>
      <c r="TM116" s="252"/>
      <c r="TN116" s="252"/>
      <c r="TO116" s="252"/>
      <c r="TP116" s="252"/>
      <c r="TQ116" s="252"/>
      <c r="TR116" s="252"/>
      <c r="TS116" s="252"/>
      <c r="TT116" s="252"/>
      <c r="TU116" s="252"/>
      <c r="TV116" s="252"/>
      <c r="TW116" s="252"/>
      <c r="TX116" s="252"/>
      <c r="TY116" s="252"/>
      <c r="TZ116" s="252"/>
      <c r="UA116" s="252"/>
      <c r="UB116" s="252"/>
      <c r="UC116" s="252"/>
      <c r="UD116" s="252"/>
      <c r="UE116" s="252"/>
      <c r="UF116" s="252"/>
      <c r="UG116" s="252"/>
      <c r="UH116" s="252"/>
      <c r="UI116" s="252"/>
      <c r="UJ116" s="252"/>
      <c r="UK116" s="252"/>
      <c r="UL116" s="252"/>
      <c r="UM116" s="252"/>
      <c r="UN116" s="252"/>
      <c r="UO116" s="252"/>
      <c r="UP116" s="252"/>
      <c r="UQ116" s="252"/>
      <c r="UR116" s="252"/>
      <c r="US116" s="252"/>
      <c r="UT116" s="252"/>
      <c r="UU116" s="252"/>
      <c r="UV116" s="252"/>
      <c r="UW116" s="252"/>
      <c r="UX116" s="252"/>
      <c r="UY116" s="252"/>
      <c r="UZ116" s="252"/>
      <c r="VA116" s="252"/>
      <c r="VB116" s="252"/>
      <c r="VC116" s="252"/>
      <c r="VD116" s="252"/>
      <c r="VE116" s="252"/>
      <c r="VF116" s="252"/>
      <c r="VG116" s="252"/>
      <c r="VH116" s="252"/>
      <c r="VI116" s="252"/>
      <c r="VJ116" s="252"/>
      <c r="VK116" s="252"/>
      <c r="VL116" s="252"/>
      <c r="VM116" s="252"/>
      <c r="VN116" s="252"/>
      <c r="VO116" s="252"/>
      <c r="VP116" s="252"/>
      <c r="VQ116" s="252"/>
      <c r="VR116" s="252"/>
      <c r="VS116" s="252"/>
      <c r="VT116" s="252"/>
      <c r="VU116" s="252"/>
      <c r="VV116" s="252"/>
      <c r="VW116" s="252"/>
      <c r="VX116" s="252"/>
      <c r="VY116" s="252"/>
      <c r="VZ116" s="252"/>
      <c r="WA116" s="252"/>
      <c r="WB116" s="252"/>
      <c r="WC116" s="252"/>
      <c r="WD116" s="252"/>
      <c r="WE116" s="252"/>
      <c r="WF116" s="252"/>
      <c r="WG116" s="252"/>
      <c r="WH116" s="252"/>
      <c r="WI116" s="252"/>
      <c r="WJ116" s="252"/>
      <c r="WK116" s="252"/>
      <c r="WL116" s="252"/>
      <c r="WM116" s="252"/>
      <c r="WN116" s="252"/>
      <c r="WO116" s="252"/>
      <c r="WP116" s="252"/>
      <c r="WQ116" s="252"/>
      <c r="WR116" s="252"/>
      <c r="WS116" s="252"/>
      <c r="WT116" s="252"/>
      <c r="WU116" s="252"/>
      <c r="WV116" s="252"/>
      <c r="WW116" s="252"/>
      <c r="WX116" s="252"/>
      <c r="WY116" s="252"/>
      <c r="WZ116" s="252"/>
      <c r="XA116" s="252"/>
      <c r="XB116" s="252"/>
      <c r="XC116" s="252"/>
      <c r="XD116" s="252"/>
      <c r="XE116" s="252"/>
      <c r="XF116" s="252"/>
      <c r="XG116" s="252"/>
      <c r="XH116" s="252"/>
      <c r="XI116" s="252"/>
      <c r="XJ116" s="252"/>
      <c r="XK116" s="252"/>
      <c r="XL116" s="252"/>
      <c r="XM116" s="252"/>
      <c r="XN116" s="252"/>
      <c r="XO116" s="252"/>
      <c r="XP116" s="252"/>
      <c r="XQ116" s="252"/>
      <c r="XR116" s="252"/>
      <c r="XS116" s="252"/>
      <c r="XT116" s="252"/>
      <c r="XU116" s="252"/>
      <c r="XV116" s="252"/>
      <c r="XW116" s="252"/>
      <c r="XX116" s="252"/>
      <c r="XY116" s="252"/>
      <c r="XZ116" s="252"/>
      <c r="YA116" s="252"/>
      <c r="YB116" s="252"/>
      <c r="YC116" s="252"/>
      <c r="YD116" s="252"/>
      <c r="YE116" s="252"/>
      <c r="YF116" s="252"/>
      <c r="YG116" s="252"/>
      <c r="YH116" s="252"/>
      <c r="YI116" s="252"/>
      <c r="YJ116" s="252"/>
      <c r="YK116" s="252"/>
      <c r="YL116" s="252"/>
      <c r="YM116" s="252"/>
      <c r="YN116" s="252"/>
      <c r="YO116" s="252"/>
      <c r="YP116" s="252"/>
      <c r="YQ116" s="252"/>
      <c r="YR116" s="252"/>
      <c r="YS116" s="252"/>
      <c r="YT116" s="252"/>
      <c r="YU116" s="252"/>
      <c r="YV116" s="252"/>
      <c r="YW116" s="252"/>
      <c r="YX116" s="252"/>
      <c r="YY116" s="252"/>
      <c r="YZ116" s="252"/>
      <c r="ZA116" s="252"/>
      <c r="ZB116" s="252"/>
      <c r="ZC116" s="252"/>
      <c r="ZD116" s="252"/>
      <c r="ZE116" s="252"/>
      <c r="ZF116" s="252"/>
      <c r="ZG116" s="252"/>
      <c r="ZH116" s="252"/>
      <c r="ZI116" s="252"/>
      <c r="ZJ116" s="252"/>
      <c r="ZK116" s="252"/>
      <c r="ZL116" s="252"/>
      <c r="ZM116" s="252"/>
      <c r="ZN116" s="252"/>
      <c r="ZO116" s="252"/>
      <c r="ZP116" s="252"/>
      <c r="ZQ116" s="252"/>
      <c r="ZR116" s="252"/>
      <c r="ZS116" s="252"/>
      <c r="ZT116" s="252"/>
      <c r="ZU116" s="252"/>
      <c r="ZV116" s="252"/>
      <c r="ZW116" s="252"/>
      <c r="ZX116" s="252"/>
      <c r="ZY116" s="252"/>
      <c r="ZZ116" s="252"/>
      <c r="AAA116" s="252"/>
      <c r="AAB116" s="252"/>
      <c r="AAC116" s="252"/>
      <c r="AAD116" s="252"/>
      <c r="AAE116" s="252"/>
      <c r="AAF116" s="252"/>
      <c r="AAG116" s="252"/>
      <c r="AAH116" s="252"/>
      <c r="AAI116" s="252"/>
      <c r="AAJ116" s="252"/>
      <c r="AAK116" s="252"/>
      <c r="AAL116" s="252"/>
      <c r="AAM116" s="252"/>
      <c r="AAN116" s="252"/>
      <c r="AAO116" s="252"/>
      <c r="AAP116" s="252"/>
      <c r="AAQ116" s="252"/>
      <c r="AAR116" s="252"/>
      <c r="AAS116" s="252"/>
      <c r="AAT116" s="252"/>
      <c r="AAU116" s="252"/>
      <c r="AAV116" s="252"/>
      <c r="AAW116" s="252"/>
      <c r="AAX116" s="252"/>
      <c r="AAY116" s="252"/>
      <c r="AAZ116" s="252"/>
      <c r="ABA116" s="252"/>
      <c r="ABB116" s="252"/>
      <c r="ABC116" s="252"/>
      <c r="ABD116" s="252"/>
      <c r="ABE116" s="252"/>
      <c r="ABF116" s="252"/>
      <c r="ABG116" s="252"/>
      <c r="ABH116" s="252"/>
      <c r="ABI116" s="252"/>
      <c r="ABJ116" s="252"/>
      <c r="ABK116" s="252"/>
      <c r="ABL116" s="252"/>
      <c r="ABM116" s="252"/>
      <c r="ABN116" s="252"/>
      <c r="ABO116" s="252"/>
      <c r="ABP116" s="252"/>
      <c r="ABQ116" s="252"/>
      <c r="ABR116" s="252"/>
      <c r="ABS116" s="252"/>
      <c r="ABT116" s="252"/>
      <c r="ABU116" s="252"/>
      <c r="ABV116" s="252"/>
      <c r="ABW116" s="252"/>
      <c r="ABX116" s="252"/>
      <c r="ABY116" s="252"/>
      <c r="ABZ116" s="252"/>
      <c r="ACA116" s="252"/>
      <c r="ACB116" s="252"/>
      <c r="ACC116" s="252"/>
      <c r="ACD116" s="252"/>
      <c r="ACE116" s="252"/>
      <c r="ACF116" s="252"/>
      <c r="ACG116" s="252"/>
      <c r="ACH116" s="252"/>
      <c r="ACI116" s="252"/>
      <c r="ACJ116" s="252"/>
      <c r="ACK116" s="252"/>
      <c r="ACL116" s="252"/>
      <c r="ACM116" s="252"/>
      <c r="ACN116" s="252"/>
      <c r="ACO116" s="252"/>
      <c r="ACP116" s="252"/>
      <c r="ACQ116" s="252"/>
      <c r="ACR116" s="252"/>
      <c r="ACS116" s="252"/>
      <c r="ACT116" s="252"/>
      <c r="ACU116" s="252"/>
      <c r="ACV116" s="252"/>
      <c r="ACW116" s="252"/>
      <c r="ACX116" s="252"/>
      <c r="ACY116" s="252"/>
      <c r="ACZ116" s="252"/>
      <c r="ADA116" s="252"/>
      <c r="ADB116" s="252"/>
      <c r="ADC116" s="252"/>
      <c r="ADD116" s="252"/>
      <c r="ADE116" s="252"/>
      <c r="ADF116" s="252"/>
      <c r="ADG116" s="252"/>
      <c r="ADH116" s="252"/>
      <c r="ADI116" s="252"/>
      <c r="ADJ116" s="252"/>
      <c r="ADK116" s="252"/>
      <c r="ADL116" s="252"/>
      <c r="ADM116" s="252"/>
      <c r="ADN116" s="252"/>
      <c r="ADO116" s="252"/>
      <c r="ADP116" s="252"/>
      <c r="ADQ116" s="252"/>
      <c r="ADR116" s="252"/>
      <c r="ADS116" s="252"/>
      <c r="ADT116" s="252"/>
      <c r="ADU116" s="252"/>
      <c r="ADV116" s="252"/>
      <c r="ADW116" s="252"/>
      <c r="ADX116" s="252"/>
      <c r="ADY116" s="252"/>
      <c r="ADZ116" s="252"/>
      <c r="AEA116" s="252"/>
      <c r="AEB116" s="252"/>
      <c r="AEC116" s="252"/>
      <c r="AED116" s="252"/>
      <c r="AEE116" s="252"/>
      <c r="AEF116" s="252"/>
      <c r="AEG116" s="252"/>
      <c r="AEH116" s="252"/>
      <c r="AEI116" s="252"/>
      <c r="AEJ116" s="252"/>
      <c r="AEK116" s="252"/>
      <c r="AEL116" s="252"/>
      <c r="AEM116" s="252"/>
      <c r="AEN116" s="252"/>
      <c r="AEO116" s="252"/>
      <c r="AEP116" s="252"/>
      <c r="AEQ116" s="252"/>
      <c r="AER116" s="252"/>
      <c r="AES116" s="252"/>
      <c r="AET116" s="252"/>
      <c r="AEU116" s="252"/>
      <c r="AEV116" s="252"/>
      <c r="AEW116" s="252"/>
      <c r="AEX116" s="252"/>
      <c r="AEY116" s="252"/>
      <c r="AEZ116" s="252"/>
      <c r="AFA116" s="252"/>
      <c r="AFB116" s="252"/>
      <c r="AFC116" s="252"/>
      <c r="AFD116" s="252"/>
      <c r="AFE116" s="252"/>
      <c r="AFF116" s="252"/>
      <c r="AFG116" s="252"/>
      <c r="AFH116" s="252"/>
      <c r="AFI116" s="252"/>
      <c r="AFJ116" s="252"/>
      <c r="AFK116" s="252"/>
      <c r="AFL116" s="252"/>
      <c r="AFM116" s="252"/>
      <c r="AFN116" s="252"/>
      <c r="AFO116" s="252"/>
      <c r="AFP116" s="252"/>
      <c r="AFQ116" s="252"/>
      <c r="AFR116" s="252"/>
      <c r="AFS116" s="252"/>
      <c r="AFT116" s="252"/>
      <c r="AFU116" s="252"/>
      <c r="AFV116" s="252"/>
      <c r="AFW116" s="252"/>
      <c r="AFX116" s="252"/>
      <c r="AFY116" s="252"/>
      <c r="AFZ116" s="252"/>
      <c r="AGA116" s="252"/>
      <c r="AGB116" s="252"/>
      <c r="AGC116" s="252"/>
      <c r="AGD116" s="252"/>
      <c r="AGE116" s="252"/>
      <c r="AGF116" s="252"/>
      <c r="AGG116" s="252"/>
      <c r="AGH116" s="252"/>
      <c r="AGI116" s="252"/>
      <c r="AGJ116" s="252"/>
      <c r="AGK116" s="252"/>
      <c r="AGL116" s="252"/>
      <c r="AGM116" s="252"/>
      <c r="AGN116" s="252"/>
      <c r="AGO116" s="252"/>
      <c r="AGP116" s="252"/>
      <c r="AGQ116" s="252"/>
      <c r="AGR116" s="252"/>
      <c r="AGS116" s="252"/>
      <c r="AGT116" s="252"/>
      <c r="AGU116" s="252"/>
      <c r="AGV116" s="252"/>
      <c r="AGW116" s="252"/>
      <c r="AGX116" s="252"/>
      <c r="AGY116" s="252"/>
      <c r="AGZ116" s="252"/>
      <c r="AHA116" s="252"/>
      <c r="AHB116" s="252"/>
      <c r="AHC116" s="252"/>
      <c r="AHD116" s="252"/>
      <c r="AHE116" s="252"/>
      <c r="AHF116" s="252"/>
      <c r="AHG116" s="252"/>
      <c r="AHH116" s="252"/>
      <c r="AHI116" s="252"/>
      <c r="AHJ116" s="252"/>
      <c r="AHK116" s="252"/>
      <c r="AHL116" s="252"/>
      <c r="AHM116" s="252"/>
      <c r="AHN116" s="252"/>
      <c r="AHO116" s="252"/>
      <c r="AHP116" s="252"/>
      <c r="AHQ116" s="252"/>
      <c r="AHR116" s="252"/>
      <c r="AHS116" s="252"/>
      <c r="AHT116" s="252"/>
      <c r="AHU116" s="252"/>
      <c r="AHV116" s="252"/>
      <c r="AHW116" s="252"/>
      <c r="AHX116" s="252"/>
      <c r="AHY116" s="252"/>
      <c r="AHZ116" s="252"/>
      <c r="AIA116" s="252"/>
      <c r="AIB116" s="252"/>
      <c r="AIC116" s="252"/>
      <c r="AID116" s="252"/>
      <c r="AIE116" s="252"/>
      <c r="AIF116" s="252"/>
      <c r="AIG116" s="252"/>
      <c r="AIH116" s="252"/>
      <c r="AII116" s="252"/>
      <c r="AIJ116" s="252"/>
      <c r="AIK116" s="252"/>
      <c r="AIL116" s="252"/>
      <c r="AIM116" s="252"/>
      <c r="AIN116" s="252"/>
      <c r="AIO116" s="252"/>
      <c r="AIP116" s="252"/>
      <c r="AIQ116" s="252"/>
      <c r="AIR116" s="252"/>
      <c r="AIS116" s="252"/>
      <c r="AIT116" s="252"/>
      <c r="AIU116" s="252"/>
      <c r="AIV116" s="252"/>
      <c r="AIW116" s="252"/>
      <c r="AIX116" s="252"/>
      <c r="AIY116" s="252"/>
      <c r="AIZ116" s="252"/>
      <c r="AJA116" s="252"/>
      <c r="AJB116" s="252"/>
      <c r="AJC116" s="252"/>
      <c r="AJD116" s="252"/>
      <c r="AJE116" s="252"/>
      <c r="AJF116" s="252"/>
      <c r="AJG116" s="252"/>
      <c r="AJH116" s="252"/>
      <c r="AJI116" s="252"/>
      <c r="AJJ116" s="252"/>
      <c r="AJK116" s="252"/>
      <c r="AJL116" s="252"/>
      <c r="AJM116" s="252"/>
      <c r="AJN116" s="252"/>
      <c r="AJO116" s="252"/>
      <c r="AJP116" s="252"/>
      <c r="AJQ116" s="252"/>
      <c r="AJR116" s="252"/>
      <c r="AJS116" s="252"/>
      <c r="AJT116" s="252"/>
      <c r="AJU116" s="252"/>
      <c r="AJV116" s="252"/>
      <c r="AJW116" s="252"/>
      <c r="AJX116" s="252"/>
      <c r="AJY116" s="252"/>
      <c r="AJZ116" s="252"/>
      <c r="AKA116" s="252"/>
      <c r="AKB116" s="252"/>
      <c r="AKC116" s="252"/>
      <c r="AKD116" s="252"/>
      <c r="AKE116" s="252"/>
      <c r="AKF116" s="252"/>
      <c r="AKG116" s="252"/>
      <c r="AKH116" s="252"/>
      <c r="AKI116" s="252"/>
      <c r="AKJ116" s="252"/>
      <c r="AKK116" s="252"/>
      <c r="AKL116" s="252"/>
      <c r="AKM116" s="252"/>
      <c r="AKN116" s="252"/>
      <c r="AKO116" s="252"/>
      <c r="AKP116" s="252"/>
      <c r="AKQ116" s="252"/>
      <c r="AKR116" s="252"/>
      <c r="AKS116" s="252"/>
      <c r="AKT116" s="252"/>
      <c r="AKU116" s="252"/>
      <c r="AKV116" s="252"/>
      <c r="AKW116" s="252"/>
      <c r="AKX116" s="252"/>
      <c r="AKY116" s="252"/>
      <c r="AKZ116" s="252"/>
      <c r="ALA116" s="252"/>
      <c r="ALB116" s="252"/>
      <c r="ALC116" s="252"/>
      <c r="ALD116" s="252"/>
      <c r="ALE116" s="252"/>
      <c r="ALF116" s="252"/>
      <c r="ALG116" s="252"/>
      <c r="ALH116" s="252"/>
      <c r="ALI116" s="252"/>
      <c r="ALJ116" s="252"/>
      <c r="ALK116" s="252"/>
      <c r="ALL116" s="252"/>
      <c r="ALM116" s="252"/>
      <c r="ALN116" s="252"/>
      <c r="ALO116" s="252"/>
      <c r="ALP116" s="252"/>
      <c r="ALQ116" s="252"/>
      <c r="ALR116" s="252"/>
      <c r="ALS116" s="252"/>
    </row>
    <row r="117" spans="1:1007" x14ac:dyDescent="0.2">
      <c r="A117" s="369" t="s">
        <v>299</v>
      </c>
      <c r="B117" s="356"/>
      <c r="C117" s="356"/>
    </row>
    <row r="118" spans="1:1007" s="3" customFormat="1" x14ac:dyDescent="0.2">
      <c r="A118" s="369" t="s">
        <v>300</v>
      </c>
      <c r="B118" s="356"/>
      <c r="C118" s="356"/>
      <c r="D118" s="252"/>
      <c r="E118" s="252"/>
      <c r="F118" s="252"/>
      <c r="G118" s="252"/>
      <c r="H118" s="252"/>
      <c r="I118" s="252"/>
      <c r="J118" s="252"/>
      <c r="K118" s="252"/>
      <c r="L118" s="252"/>
      <c r="M118" s="252"/>
      <c r="N118" s="252"/>
      <c r="O118" s="252"/>
      <c r="P118" s="252"/>
      <c r="Q118" s="252"/>
      <c r="R118" s="252"/>
      <c r="S118" s="252"/>
      <c r="T118" s="252"/>
      <c r="U118" s="252"/>
      <c r="V118" s="252"/>
      <c r="W118" s="252"/>
      <c r="X118" s="252"/>
      <c r="Y118" s="252"/>
      <c r="Z118" s="252"/>
      <c r="AA118" s="252"/>
      <c r="AB118" s="252"/>
      <c r="AC118" s="252"/>
      <c r="AD118" s="252"/>
      <c r="AE118" s="252"/>
      <c r="AF118" s="252"/>
      <c r="AG118" s="252"/>
      <c r="AH118" s="252"/>
      <c r="AI118" s="252"/>
      <c r="AJ118" s="252"/>
      <c r="AK118" s="252"/>
      <c r="AL118" s="252"/>
      <c r="AM118" s="252"/>
      <c r="AN118" s="252"/>
      <c r="AO118" s="252"/>
      <c r="AP118" s="252"/>
      <c r="AQ118" s="252"/>
      <c r="AR118" s="252"/>
      <c r="AS118" s="252"/>
      <c r="AT118" s="252"/>
      <c r="AU118" s="252"/>
      <c r="AV118" s="252"/>
      <c r="AW118" s="252"/>
      <c r="AX118" s="252"/>
      <c r="AY118" s="252"/>
      <c r="AZ118" s="252"/>
      <c r="BA118" s="252"/>
      <c r="BB118" s="252"/>
      <c r="BC118" s="252"/>
      <c r="BD118" s="252"/>
      <c r="BE118" s="252"/>
      <c r="BF118" s="252"/>
      <c r="BG118" s="252"/>
      <c r="BH118" s="252"/>
      <c r="BI118" s="252"/>
      <c r="BJ118" s="252"/>
      <c r="BK118" s="252"/>
      <c r="BL118" s="252"/>
      <c r="BM118" s="252"/>
      <c r="BN118" s="252"/>
      <c r="BO118" s="252"/>
      <c r="BP118" s="252"/>
      <c r="BQ118" s="252"/>
      <c r="BR118" s="252"/>
      <c r="BS118" s="252"/>
      <c r="BT118" s="252"/>
      <c r="BU118" s="252"/>
      <c r="BV118" s="252"/>
      <c r="BW118" s="252"/>
      <c r="BX118" s="252"/>
      <c r="BY118" s="252"/>
      <c r="BZ118" s="252"/>
      <c r="CA118" s="252"/>
      <c r="CB118" s="252"/>
      <c r="CC118" s="252"/>
      <c r="CD118" s="252"/>
      <c r="CE118" s="252"/>
      <c r="CF118" s="252"/>
      <c r="CG118" s="252"/>
      <c r="CH118" s="252"/>
      <c r="CI118" s="252"/>
      <c r="CJ118" s="252"/>
      <c r="CK118" s="252"/>
      <c r="CL118" s="252"/>
      <c r="CM118" s="252"/>
      <c r="CN118" s="252"/>
      <c r="CO118" s="252"/>
      <c r="CP118" s="252"/>
      <c r="CQ118" s="252"/>
      <c r="CR118" s="252"/>
      <c r="CS118" s="252"/>
      <c r="CT118" s="252"/>
      <c r="CU118" s="252"/>
      <c r="CV118" s="252"/>
      <c r="CW118" s="252"/>
      <c r="CX118" s="252"/>
      <c r="CY118" s="252"/>
      <c r="CZ118" s="252"/>
      <c r="DA118" s="252"/>
      <c r="DB118" s="252"/>
      <c r="DC118" s="252"/>
      <c r="DD118" s="252"/>
      <c r="DE118" s="252"/>
      <c r="DF118" s="252"/>
      <c r="DG118" s="252"/>
      <c r="DH118" s="252"/>
      <c r="DI118" s="252"/>
      <c r="DJ118" s="252"/>
      <c r="DK118" s="252"/>
      <c r="DL118" s="252"/>
      <c r="DM118" s="252"/>
      <c r="DN118" s="252"/>
      <c r="DO118" s="252"/>
      <c r="DP118" s="252"/>
      <c r="DQ118" s="252"/>
      <c r="DR118" s="252"/>
      <c r="DS118" s="252"/>
      <c r="DT118" s="252"/>
      <c r="DU118" s="252"/>
      <c r="DV118" s="252"/>
      <c r="DW118" s="252"/>
      <c r="DX118" s="252"/>
      <c r="DY118" s="252"/>
      <c r="DZ118" s="252"/>
      <c r="EA118" s="252"/>
      <c r="EB118" s="252"/>
      <c r="EC118" s="252"/>
      <c r="ED118" s="252"/>
      <c r="EE118" s="252"/>
      <c r="EF118" s="252"/>
      <c r="EG118" s="252"/>
      <c r="EH118" s="252"/>
      <c r="EI118" s="252"/>
      <c r="EJ118" s="252"/>
      <c r="EK118" s="252"/>
      <c r="EL118" s="252"/>
      <c r="EM118" s="252"/>
      <c r="EN118" s="252"/>
      <c r="EO118" s="252"/>
      <c r="EP118" s="252"/>
      <c r="EQ118" s="252"/>
      <c r="ER118" s="252"/>
      <c r="ES118" s="252"/>
      <c r="ET118" s="252"/>
      <c r="EU118" s="252"/>
      <c r="EV118" s="252"/>
      <c r="EW118" s="252"/>
      <c r="EX118" s="252"/>
      <c r="EY118" s="252"/>
      <c r="EZ118" s="252"/>
      <c r="FA118" s="252"/>
      <c r="FB118" s="252"/>
      <c r="FC118" s="252"/>
      <c r="FD118" s="252"/>
      <c r="FE118" s="252"/>
      <c r="FF118" s="252"/>
      <c r="FG118" s="252"/>
      <c r="FH118" s="252"/>
      <c r="FI118" s="252"/>
      <c r="FJ118" s="252"/>
      <c r="FK118" s="252"/>
      <c r="FL118" s="252"/>
      <c r="FM118" s="252"/>
      <c r="FN118" s="252"/>
      <c r="FO118" s="252"/>
      <c r="FP118" s="252"/>
      <c r="FQ118" s="252"/>
      <c r="FR118" s="252"/>
      <c r="FS118" s="252"/>
      <c r="FT118" s="252"/>
      <c r="FU118" s="252"/>
      <c r="FV118" s="252"/>
      <c r="FW118" s="252"/>
      <c r="FX118" s="252"/>
      <c r="FY118" s="252"/>
      <c r="FZ118" s="252"/>
      <c r="GA118" s="252"/>
      <c r="GB118" s="252"/>
      <c r="GC118" s="252"/>
      <c r="GD118" s="252"/>
      <c r="GE118" s="252"/>
      <c r="GF118" s="252"/>
      <c r="GG118" s="252"/>
      <c r="GH118" s="252"/>
      <c r="GI118" s="252"/>
      <c r="GJ118" s="252"/>
      <c r="GK118" s="252"/>
      <c r="GL118" s="252"/>
      <c r="GM118" s="252"/>
      <c r="GN118" s="252"/>
      <c r="GO118" s="252"/>
      <c r="GP118" s="252"/>
      <c r="GQ118" s="252"/>
      <c r="GR118" s="252"/>
      <c r="GS118" s="252"/>
      <c r="GT118" s="252"/>
      <c r="GU118" s="252"/>
      <c r="GV118" s="252"/>
      <c r="GW118" s="252"/>
      <c r="GX118" s="252"/>
      <c r="GY118" s="252"/>
      <c r="GZ118" s="252"/>
      <c r="HA118" s="252"/>
      <c r="HB118" s="252"/>
      <c r="HC118" s="252"/>
      <c r="HD118" s="252"/>
      <c r="HE118" s="252"/>
      <c r="HF118" s="252"/>
      <c r="HG118" s="252"/>
      <c r="HH118" s="252"/>
      <c r="HI118" s="252"/>
      <c r="HJ118" s="252"/>
      <c r="HK118" s="252"/>
      <c r="HL118" s="252"/>
      <c r="HM118" s="252"/>
      <c r="HN118" s="252"/>
      <c r="HO118" s="252"/>
      <c r="HP118" s="252"/>
      <c r="HQ118" s="252"/>
      <c r="HR118" s="252"/>
      <c r="HS118" s="252"/>
      <c r="HT118" s="252"/>
      <c r="HU118" s="252"/>
      <c r="HV118" s="252"/>
      <c r="HW118" s="252"/>
      <c r="HX118" s="252"/>
      <c r="HY118" s="252"/>
      <c r="HZ118" s="252"/>
      <c r="IA118" s="252"/>
      <c r="IB118" s="252"/>
      <c r="IC118" s="252"/>
      <c r="ID118" s="252"/>
      <c r="IE118" s="252"/>
      <c r="IF118" s="252"/>
      <c r="IG118" s="252"/>
      <c r="IH118" s="252"/>
      <c r="II118" s="252"/>
      <c r="IJ118" s="252"/>
      <c r="IK118" s="252"/>
      <c r="IL118" s="252"/>
      <c r="IM118" s="252"/>
      <c r="IN118" s="252"/>
      <c r="IO118" s="252"/>
      <c r="IP118" s="252"/>
      <c r="IQ118" s="252"/>
      <c r="IR118" s="252"/>
      <c r="IS118" s="252"/>
      <c r="IT118" s="252"/>
      <c r="IU118" s="252"/>
      <c r="IV118" s="252"/>
      <c r="IW118" s="252"/>
      <c r="IX118" s="252"/>
      <c r="IY118" s="252"/>
      <c r="IZ118" s="252"/>
      <c r="JA118" s="252"/>
      <c r="JB118" s="252"/>
      <c r="JC118" s="252"/>
      <c r="JD118" s="252"/>
      <c r="JE118" s="252"/>
      <c r="JF118" s="252"/>
      <c r="JG118" s="252"/>
      <c r="JH118" s="252"/>
      <c r="JI118" s="252"/>
      <c r="JJ118" s="252"/>
      <c r="JK118" s="252"/>
      <c r="JL118" s="252"/>
      <c r="JM118" s="252"/>
      <c r="JN118" s="252"/>
      <c r="JO118" s="252"/>
      <c r="JP118" s="252"/>
      <c r="JQ118" s="252"/>
      <c r="JR118" s="252"/>
      <c r="JS118" s="252"/>
      <c r="JT118" s="252"/>
      <c r="JU118" s="252"/>
      <c r="JV118" s="252"/>
      <c r="JW118" s="252"/>
      <c r="JX118" s="252"/>
      <c r="JY118" s="252"/>
      <c r="JZ118" s="252"/>
      <c r="KA118" s="252"/>
      <c r="KB118" s="252"/>
      <c r="KC118" s="252"/>
      <c r="KD118" s="252"/>
      <c r="KE118" s="252"/>
      <c r="KF118" s="252"/>
      <c r="KG118" s="252"/>
      <c r="KH118" s="252"/>
      <c r="KI118" s="252"/>
      <c r="KJ118" s="252"/>
      <c r="KK118" s="252"/>
      <c r="KL118" s="252"/>
      <c r="KM118" s="252"/>
      <c r="KN118" s="252"/>
      <c r="KO118" s="252"/>
      <c r="KP118" s="252"/>
      <c r="KQ118" s="252"/>
      <c r="KR118" s="252"/>
      <c r="KS118" s="252"/>
      <c r="KT118" s="252"/>
      <c r="KU118" s="252"/>
      <c r="KV118" s="252"/>
      <c r="KW118" s="252"/>
      <c r="KX118" s="252"/>
      <c r="KY118" s="252"/>
      <c r="KZ118" s="252"/>
      <c r="LA118" s="252"/>
      <c r="LB118" s="252"/>
      <c r="LC118" s="252"/>
      <c r="LD118" s="252"/>
      <c r="LE118" s="252"/>
      <c r="LF118" s="252"/>
      <c r="LG118" s="252"/>
      <c r="LH118" s="252"/>
      <c r="LI118" s="252"/>
      <c r="LJ118" s="252"/>
      <c r="LK118" s="252"/>
      <c r="LL118" s="252"/>
      <c r="LM118" s="252"/>
      <c r="LN118" s="252"/>
      <c r="LO118" s="252"/>
      <c r="LP118" s="252"/>
      <c r="LQ118" s="252"/>
      <c r="LR118" s="252"/>
      <c r="LS118" s="252"/>
      <c r="LT118" s="252"/>
      <c r="LU118" s="252"/>
      <c r="LV118" s="252"/>
      <c r="LW118" s="252"/>
      <c r="LX118" s="252"/>
      <c r="LY118" s="252"/>
      <c r="LZ118" s="252"/>
      <c r="MA118" s="252"/>
      <c r="MB118" s="252"/>
      <c r="MC118" s="252"/>
      <c r="MD118" s="252"/>
      <c r="ME118" s="252"/>
      <c r="MF118" s="252"/>
      <c r="MG118" s="252"/>
      <c r="MH118" s="252"/>
      <c r="MI118" s="252"/>
      <c r="MJ118" s="252"/>
      <c r="MK118" s="252"/>
      <c r="ML118" s="252"/>
      <c r="MM118" s="252"/>
      <c r="MN118" s="252"/>
      <c r="MO118" s="252"/>
      <c r="MP118" s="252"/>
      <c r="MQ118" s="252"/>
      <c r="MR118" s="252"/>
      <c r="MS118" s="252"/>
      <c r="MT118" s="252"/>
      <c r="MU118" s="252"/>
      <c r="MV118" s="252"/>
      <c r="MW118" s="252"/>
      <c r="MX118" s="252"/>
      <c r="MY118" s="252"/>
      <c r="MZ118" s="252"/>
      <c r="NA118" s="252"/>
      <c r="NB118" s="252"/>
      <c r="NC118" s="252"/>
      <c r="ND118" s="252"/>
      <c r="NE118" s="252"/>
      <c r="NF118" s="252"/>
      <c r="NG118" s="252"/>
      <c r="NH118" s="252"/>
      <c r="NI118" s="252"/>
      <c r="NJ118" s="252"/>
      <c r="NK118" s="252"/>
      <c r="NL118" s="252"/>
      <c r="NM118" s="252"/>
      <c r="NN118" s="252"/>
      <c r="NO118" s="252"/>
      <c r="NP118" s="252"/>
      <c r="NQ118" s="252"/>
      <c r="NR118" s="252"/>
      <c r="NS118" s="252"/>
      <c r="NT118" s="252"/>
      <c r="NU118" s="252"/>
      <c r="NV118" s="252"/>
      <c r="NW118" s="252"/>
      <c r="NX118" s="252"/>
      <c r="NY118" s="252"/>
      <c r="NZ118" s="252"/>
      <c r="OA118" s="252"/>
      <c r="OB118" s="252"/>
      <c r="OC118" s="252"/>
      <c r="OD118" s="252"/>
      <c r="OE118" s="252"/>
      <c r="OF118" s="252"/>
      <c r="OG118" s="252"/>
      <c r="OH118" s="252"/>
      <c r="OI118" s="252"/>
      <c r="OJ118" s="252"/>
      <c r="OK118" s="252"/>
      <c r="OL118" s="252"/>
      <c r="OM118" s="252"/>
      <c r="ON118" s="252"/>
      <c r="OO118" s="252"/>
      <c r="OP118" s="252"/>
      <c r="OQ118" s="252"/>
      <c r="OR118" s="252"/>
      <c r="OS118" s="252"/>
      <c r="OT118" s="252"/>
      <c r="OU118" s="252"/>
      <c r="OV118" s="252"/>
      <c r="OW118" s="252"/>
      <c r="OX118" s="252"/>
      <c r="OY118" s="252"/>
      <c r="OZ118" s="252"/>
      <c r="PA118" s="252"/>
      <c r="PB118" s="252"/>
      <c r="PC118" s="252"/>
      <c r="PD118" s="252"/>
      <c r="PE118" s="252"/>
      <c r="PF118" s="252"/>
      <c r="PG118" s="252"/>
      <c r="PH118" s="252"/>
      <c r="PI118" s="252"/>
      <c r="PJ118" s="252"/>
      <c r="PK118" s="252"/>
      <c r="PL118" s="252"/>
      <c r="PM118" s="252"/>
      <c r="PN118" s="252"/>
      <c r="PO118" s="252"/>
      <c r="PP118" s="252"/>
      <c r="PQ118" s="252"/>
      <c r="PR118" s="252"/>
      <c r="PS118" s="252"/>
      <c r="PT118" s="252"/>
      <c r="PU118" s="252"/>
      <c r="PV118" s="252"/>
      <c r="PW118" s="252"/>
      <c r="PX118" s="252"/>
      <c r="PY118" s="252"/>
      <c r="PZ118" s="252"/>
      <c r="QA118" s="252"/>
      <c r="QB118" s="252"/>
      <c r="QC118" s="252"/>
      <c r="QD118" s="252"/>
      <c r="QE118" s="252"/>
      <c r="QF118" s="252"/>
      <c r="QG118" s="252"/>
      <c r="QH118" s="252"/>
      <c r="QI118" s="252"/>
      <c r="QJ118" s="252"/>
      <c r="QK118" s="252"/>
      <c r="QL118" s="252"/>
      <c r="QM118" s="252"/>
      <c r="QN118" s="252"/>
      <c r="QO118" s="252"/>
      <c r="QP118" s="252"/>
      <c r="QQ118" s="252"/>
      <c r="QR118" s="252"/>
      <c r="QS118" s="252"/>
      <c r="QT118" s="252"/>
      <c r="QU118" s="252"/>
      <c r="QV118" s="252"/>
      <c r="QW118" s="252"/>
      <c r="QX118" s="252"/>
      <c r="QY118" s="252"/>
      <c r="QZ118" s="252"/>
      <c r="RA118" s="252"/>
      <c r="RB118" s="252"/>
      <c r="RC118" s="252"/>
      <c r="RD118" s="252"/>
      <c r="RE118" s="252"/>
      <c r="RF118" s="252"/>
      <c r="RG118" s="252"/>
      <c r="RH118" s="252"/>
      <c r="RI118" s="252"/>
      <c r="RJ118" s="252"/>
      <c r="RK118" s="252"/>
      <c r="RL118" s="252"/>
      <c r="RM118" s="252"/>
      <c r="RN118" s="252"/>
      <c r="RO118" s="252"/>
      <c r="RP118" s="252"/>
      <c r="RQ118" s="252"/>
      <c r="RR118" s="252"/>
      <c r="RS118" s="252"/>
      <c r="RT118" s="252"/>
      <c r="RU118" s="252"/>
      <c r="RV118" s="252"/>
      <c r="RW118" s="252"/>
      <c r="RX118" s="252"/>
      <c r="RY118" s="252"/>
      <c r="RZ118" s="252"/>
      <c r="SA118" s="252"/>
      <c r="SB118" s="252"/>
      <c r="SC118" s="252"/>
      <c r="SD118" s="252"/>
      <c r="SE118" s="252"/>
      <c r="SF118" s="252"/>
      <c r="SG118" s="252"/>
      <c r="SH118" s="252"/>
      <c r="SI118" s="252"/>
      <c r="SJ118" s="252"/>
      <c r="SK118" s="252"/>
      <c r="SL118" s="252"/>
      <c r="SM118" s="252"/>
      <c r="SN118" s="252"/>
      <c r="SO118" s="252"/>
      <c r="SP118" s="252"/>
      <c r="SQ118" s="252"/>
      <c r="SR118" s="252"/>
      <c r="SS118" s="252"/>
      <c r="ST118" s="252"/>
      <c r="SU118" s="252"/>
      <c r="SV118" s="252"/>
      <c r="SW118" s="252"/>
      <c r="SX118" s="252"/>
      <c r="SY118" s="252"/>
      <c r="SZ118" s="252"/>
      <c r="TA118" s="252"/>
      <c r="TB118" s="252"/>
      <c r="TC118" s="252"/>
      <c r="TD118" s="252"/>
      <c r="TE118" s="252"/>
      <c r="TF118" s="252"/>
      <c r="TG118" s="252"/>
      <c r="TH118" s="252"/>
      <c r="TI118" s="252"/>
      <c r="TJ118" s="252"/>
      <c r="TK118" s="252"/>
      <c r="TL118" s="252"/>
      <c r="TM118" s="252"/>
      <c r="TN118" s="252"/>
      <c r="TO118" s="252"/>
      <c r="TP118" s="252"/>
      <c r="TQ118" s="252"/>
      <c r="TR118" s="252"/>
      <c r="TS118" s="252"/>
      <c r="TT118" s="252"/>
      <c r="TU118" s="252"/>
      <c r="TV118" s="252"/>
      <c r="TW118" s="252"/>
      <c r="TX118" s="252"/>
      <c r="TY118" s="252"/>
      <c r="TZ118" s="252"/>
      <c r="UA118" s="252"/>
      <c r="UB118" s="252"/>
      <c r="UC118" s="252"/>
      <c r="UD118" s="252"/>
      <c r="UE118" s="252"/>
      <c r="UF118" s="252"/>
      <c r="UG118" s="252"/>
      <c r="UH118" s="252"/>
      <c r="UI118" s="252"/>
      <c r="UJ118" s="252"/>
      <c r="UK118" s="252"/>
      <c r="UL118" s="252"/>
      <c r="UM118" s="252"/>
      <c r="UN118" s="252"/>
      <c r="UO118" s="252"/>
      <c r="UP118" s="252"/>
      <c r="UQ118" s="252"/>
      <c r="UR118" s="252"/>
      <c r="US118" s="252"/>
      <c r="UT118" s="252"/>
      <c r="UU118" s="252"/>
      <c r="UV118" s="252"/>
      <c r="UW118" s="252"/>
      <c r="UX118" s="252"/>
      <c r="UY118" s="252"/>
      <c r="UZ118" s="252"/>
      <c r="VA118" s="252"/>
      <c r="VB118" s="252"/>
      <c r="VC118" s="252"/>
      <c r="VD118" s="252"/>
      <c r="VE118" s="252"/>
      <c r="VF118" s="252"/>
      <c r="VG118" s="252"/>
      <c r="VH118" s="252"/>
      <c r="VI118" s="252"/>
      <c r="VJ118" s="252"/>
      <c r="VK118" s="252"/>
      <c r="VL118" s="252"/>
      <c r="VM118" s="252"/>
      <c r="VN118" s="252"/>
      <c r="VO118" s="252"/>
      <c r="VP118" s="252"/>
      <c r="VQ118" s="252"/>
      <c r="VR118" s="252"/>
      <c r="VS118" s="252"/>
      <c r="VT118" s="252"/>
      <c r="VU118" s="252"/>
      <c r="VV118" s="252"/>
      <c r="VW118" s="252"/>
      <c r="VX118" s="252"/>
      <c r="VY118" s="252"/>
      <c r="VZ118" s="252"/>
      <c r="WA118" s="252"/>
      <c r="WB118" s="252"/>
      <c r="WC118" s="252"/>
      <c r="WD118" s="252"/>
      <c r="WE118" s="252"/>
      <c r="WF118" s="252"/>
      <c r="WG118" s="252"/>
      <c r="WH118" s="252"/>
      <c r="WI118" s="252"/>
      <c r="WJ118" s="252"/>
      <c r="WK118" s="252"/>
      <c r="WL118" s="252"/>
      <c r="WM118" s="252"/>
      <c r="WN118" s="252"/>
      <c r="WO118" s="252"/>
      <c r="WP118" s="252"/>
      <c r="WQ118" s="252"/>
      <c r="WR118" s="252"/>
      <c r="WS118" s="252"/>
      <c r="WT118" s="252"/>
      <c r="WU118" s="252"/>
      <c r="WV118" s="252"/>
      <c r="WW118" s="252"/>
      <c r="WX118" s="252"/>
      <c r="WY118" s="252"/>
      <c r="WZ118" s="252"/>
      <c r="XA118" s="252"/>
      <c r="XB118" s="252"/>
      <c r="XC118" s="252"/>
      <c r="XD118" s="252"/>
      <c r="XE118" s="252"/>
      <c r="XF118" s="252"/>
      <c r="XG118" s="252"/>
      <c r="XH118" s="252"/>
      <c r="XI118" s="252"/>
      <c r="XJ118" s="252"/>
      <c r="XK118" s="252"/>
      <c r="XL118" s="252"/>
      <c r="XM118" s="252"/>
      <c r="XN118" s="252"/>
      <c r="XO118" s="252"/>
      <c r="XP118" s="252"/>
      <c r="XQ118" s="252"/>
      <c r="XR118" s="252"/>
      <c r="XS118" s="252"/>
      <c r="XT118" s="252"/>
      <c r="XU118" s="252"/>
      <c r="XV118" s="252"/>
      <c r="XW118" s="252"/>
      <c r="XX118" s="252"/>
      <c r="XY118" s="252"/>
      <c r="XZ118" s="252"/>
      <c r="YA118" s="252"/>
      <c r="YB118" s="252"/>
      <c r="YC118" s="252"/>
      <c r="YD118" s="252"/>
      <c r="YE118" s="252"/>
      <c r="YF118" s="252"/>
      <c r="YG118" s="252"/>
      <c r="YH118" s="252"/>
      <c r="YI118" s="252"/>
      <c r="YJ118" s="252"/>
      <c r="YK118" s="252"/>
      <c r="YL118" s="252"/>
      <c r="YM118" s="252"/>
      <c r="YN118" s="252"/>
      <c r="YO118" s="252"/>
      <c r="YP118" s="252"/>
      <c r="YQ118" s="252"/>
      <c r="YR118" s="252"/>
      <c r="YS118" s="252"/>
      <c r="YT118" s="252"/>
      <c r="YU118" s="252"/>
      <c r="YV118" s="252"/>
      <c r="YW118" s="252"/>
      <c r="YX118" s="252"/>
      <c r="YY118" s="252"/>
      <c r="YZ118" s="252"/>
      <c r="ZA118" s="252"/>
      <c r="ZB118" s="252"/>
      <c r="ZC118" s="252"/>
      <c r="ZD118" s="252"/>
      <c r="ZE118" s="252"/>
      <c r="ZF118" s="252"/>
      <c r="ZG118" s="252"/>
      <c r="ZH118" s="252"/>
      <c r="ZI118" s="252"/>
      <c r="ZJ118" s="252"/>
      <c r="ZK118" s="252"/>
      <c r="ZL118" s="252"/>
      <c r="ZM118" s="252"/>
      <c r="ZN118" s="252"/>
      <c r="ZO118" s="252"/>
      <c r="ZP118" s="252"/>
      <c r="ZQ118" s="252"/>
      <c r="ZR118" s="252"/>
      <c r="ZS118" s="252"/>
      <c r="ZT118" s="252"/>
      <c r="ZU118" s="252"/>
      <c r="ZV118" s="252"/>
      <c r="ZW118" s="252"/>
      <c r="ZX118" s="252"/>
      <c r="ZY118" s="252"/>
      <c r="ZZ118" s="252"/>
      <c r="AAA118" s="252"/>
      <c r="AAB118" s="252"/>
      <c r="AAC118" s="252"/>
      <c r="AAD118" s="252"/>
      <c r="AAE118" s="252"/>
      <c r="AAF118" s="252"/>
      <c r="AAG118" s="252"/>
      <c r="AAH118" s="252"/>
      <c r="AAI118" s="252"/>
      <c r="AAJ118" s="252"/>
      <c r="AAK118" s="252"/>
      <c r="AAL118" s="252"/>
      <c r="AAM118" s="252"/>
      <c r="AAN118" s="252"/>
      <c r="AAO118" s="252"/>
      <c r="AAP118" s="252"/>
      <c r="AAQ118" s="252"/>
      <c r="AAR118" s="252"/>
      <c r="AAS118" s="252"/>
      <c r="AAT118" s="252"/>
      <c r="AAU118" s="252"/>
      <c r="AAV118" s="252"/>
      <c r="AAW118" s="252"/>
      <c r="AAX118" s="252"/>
      <c r="AAY118" s="252"/>
      <c r="AAZ118" s="252"/>
      <c r="ABA118" s="252"/>
      <c r="ABB118" s="252"/>
      <c r="ABC118" s="252"/>
      <c r="ABD118" s="252"/>
      <c r="ABE118" s="252"/>
      <c r="ABF118" s="252"/>
      <c r="ABG118" s="252"/>
      <c r="ABH118" s="252"/>
      <c r="ABI118" s="252"/>
      <c r="ABJ118" s="252"/>
      <c r="ABK118" s="252"/>
      <c r="ABL118" s="252"/>
      <c r="ABM118" s="252"/>
      <c r="ABN118" s="252"/>
      <c r="ABO118" s="252"/>
      <c r="ABP118" s="252"/>
      <c r="ABQ118" s="252"/>
      <c r="ABR118" s="252"/>
      <c r="ABS118" s="252"/>
      <c r="ABT118" s="252"/>
      <c r="ABU118" s="252"/>
      <c r="ABV118" s="252"/>
      <c r="ABW118" s="252"/>
      <c r="ABX118" s="252"/>
      <c r="ABY118" s="252"/>
      <c r="ABZ118" s="252"/>
      <c r="ACA118" s="252"/>
      <c r="ACB118" s="252"/>
      <c r="ACC118" s="252"/>
      <c r="ACD118" s="252"/>
      <c r="ACE118" s="252"/>
      <c r="ACF118" s="252"/>
      <c r="ACG118" s="252"/>
      <c r="ACH118" s="252"/>
      <c r="ACI118" s="252"/>
      <c r="ACJ118" s="252"/>
      <c r="ACK118" s="252"/>
      <c r="ACL118" s="252"/>
      <c r="ACM118" s="252"/>
      <c r="ACN118" s="252"/>
      <c r="ACO118" s="252"/>
      <c r="ACP118" s="252"/>
      <c r="ACQ118" s="252"/>
      <c r="ACR118" s="252"/>
      <c r="ACS118" s="252"/>
      <c r="ACT118" s="252"/>
      <c r="ACU118" s="252"/>
      <c r="ACV118" s="252"/>
      <c r="ACW118" s="252"/>
      <c r="ACX118" s="252"/>
      <c r="ACY118" s="252"/>
      <c r="ACZ118" s="252"/>
      <c r="ADA118" s="252"/>
      <c r="ADB118" s="252"/>
      <c r="ADC118" s="252"/>
      <c r="ADD118" s="252"/>
      <c r="ADE118" s="252"/>
      <c r="ADF118" s="252"/>
      <c r="ADG118" s="252"/>
      <c r="ADH118" s="252"/>
      <c r="ADI118" s="252"/>
      <c r="ADJ118" s="252"/>
      <c r="ADK118" s="252"/>
      <c r="ADL118" s="252"/>
      <c r="ADM118" s="252"/>
      <c r="ADN118" s="252"/>
      <c r="ADO118" s="252"/>
      <c r="ADP118" s="252"/>
      <c r="ADQ118" s="252"/>
      <c r="ADR118" s="252"/>
      <c r="ADS118" s="252"/>
      <c r="ADT118" s="252"/>
      <c r="ADU118" s="252"/>
      <c r="ADV118" s="252"/>
      <c r="ADW118" s="252"/>
      <c r="ADX118" s="252"/>
      <c r="ADY118" s="252"/>
      <c r="ADZ118" s="252"/>
      <c r="AEA118" s="252"/>
      <c r="AEB118" s="252"/>
      <c r="AEC118" s="252"/>
      <c r="AED118" s="252"/>
      <c r="AEE118" s="252"/>
      <c r="AEF118" s="252"/>
      <c r="AEG118" s="252"/>
      <c r="AEH118" s="252"/>
      <c r="AEI118" s="252"/>
      <c r="AEJ118" s="252"/>
      <c r="AEK118" s="252"/>
      <c r="AEL118" s="252"/>
      <c r="AEM118" s="252"/>
      <c r="AEN118" s="252"/>
      <c r="AEO118" s="252"/>
      <c r="AEP118" s="252"/>
      <c r="AEQ118" s="252"/>
      <c r="AER118" s="252"/>
      <c r="AES118" s="252"/>
      <c r="AET118" s="252"/>
      <c r="AEU118" s="252"/>
      <c r="AEV118" s="252"/>
      <c r="AEW118" s="252"/>
      <c r="AEX118" s="252"/>
      <c r="AEY118" s="252"/>
      <c r="AEZ118" s="252"/>
      <c r="AFA118" s="252"/>
      <c r="AFB118" s="252"/>
      <c r="AFC118" s="252"/>
      <c r="AFD118" s="252"/>
      <c r="AFE118" s="252"/>
      <c r="AFF118" s="252"/>
      <c r="AFG118" s="252"/>
      <c r="AFH118" s="252"/>
      <c r="AFI118" s="252"/>
      <c r="AFJ118" s="252"/>
      <c r="AFK118" s="252"/>
      <c r="AFL118" s="252"/>
      <c r="AFM118" s="252"/>
      <c r="AFN118" s="252"/>
      <c r="AFO118" s="252"/>
      <c r="AFP118" s="252"/>
      <c r="AFQ118" s="252"/>
      <c r="AFR118" s="252"/>
      <c r="AFS118" s="252"/>
      <c r="AFT118" s="252"/>
      <c r="AFU118" s="252"/>
      <c r="AFV118" s="252"/>
      <c r="AFW118" s="252"/>
      <c r="AFX118" s="252"/>
      <c r="AFY118" s="252"/>
      <c r="AFZ118" s="252"/>
      <c r="AGA118" s="252"/>
      <c r="AGB118" s="252"/>
      <c r="AGC118" s="252"/>
      <c r="AGD118" s="252"/>
      <c r="AGE118" s="252"/>
      <c r="AGF118" s="252"/>
      <c r="AGG118" s="252"/>
      <c r="AGH118" s="252"/>
      <c r="AGI118" s="252"/>
      <c r="AGJ118" s="252"/>
      <c r="AGK118" s="252"/>
      <c r="AGL118" s="252"/>
      <c r="AGM118" s="252"/>
      <c r="AGN118" s="252"/>
      <c r="AGO118" s="252"/>
      <c r="AGP118" s="252"/>
      <c r="AGQ118" s="252"/>
      <c r="AGR118" s="252"/>
      <c r="AGS118" s="252"/>
      <c r="AGT118" s="252"/>
      <c r="AGU118" s="252"/>
      <c r="AGV118" s="252"/>
      <c r="AGW118" s="252"/>
      <c r="AGX118" s="252"/>
      <c r="AGY118" s="252"/>
      <c r="AGZ118" s="252"/>
      <c r="AHA118" s="252"/>
      <c r="AHB118" s="252"/>
      <c r="AHC118" s="252"/>
      <c r="AHD118" s="252"/>
      <c r="AHE118" s="252"/>
      <c r="AHF118" s="252"/>
      <c r="AHG118" s="252"/>
      <c r="AHH118" s="252"/>
      <c r="AHI118" s="252"/>
      <c r="AHJ118" s="252"/>
      <c r="AHK118" s="252"/>
      <c r="AHL118" s="252"/>
      <c r="AHM118" s="252"/>
      <c r="AHN118" s="252"/>
      <c r="AHO118" s="252"/>
      <c r="AHP118" s="252"/>
      <c r="AHQ118" s="252"/>
      <c r="AHR118" s="252"/>
      <c r="AHS118" s="252"/>
      <c r="AHT118" s="252"/>
      <c r="AHU118" s="252"/>
      <c r="AHV118" s="252"/>
      <c r="AHW118" s="252"/>
      <c r="AHX118" s="252"/>
      <c r="AHY118" s="252"/>
      <c r="AHZ118" s="252"/>
      <c r="AIA118" s="252"/>
      <c r="AIB118" s="252"/>
      <c r="AIC118" s="252"/>
      <c r="AID118" s="252"/>
      <c r="AIE118" s="252"/>
      <c r="AIF118" s="252"/>
      <c r="AIG118" s="252"/>
      <c r="AIH118" s="252"/>
      <c r="AII118" s="252"/>
      <c r="AIJ118" s="252"/>
      <c r="AIK118" s="252"/>
      <c r="AIL118" s="252"/>
      <c r="AIM118" s="252"/>
      <c r="AIN118" s="252"/>
      <c r="AIO118" s="252"/>
      <c r="AIP118" s="252"/>
      <c r="AIQ118" s="252"/>
      <c r="AIR118" s="252"/>
      <c r="AIS118" s="252"/>
      <c r="AIT118" s="252"/>
      <c r="AIU118" s="252"/>
      <c r="AIV118" s="252"/>
      <c r="AIW118" s="252"/>
      <c r="AIX118" s="252"/>
      <c r="AIY118" s="252"/>
      <c r="AIZ118" s="252"/>
      <c r="AJA118" s="252"/>
      <c r="AJB118" s="252"/>
      <c r="AJC118" s="252"/>
      <c r="AJD118" s="252"/>
      <c r="AJE118" s="252"/>
      <c r="AJF118" s="252"/>
      <c r="AJG118" s="252"/>
      <c r="AJH118" s="252"/>
      <c r="AJI118" s="252"/>
      <c r="AJJ118" s="252"/>
      <c r="AJK118" s="252"/>
      <c r="AJL118" s="252"/>
      <c r="AJM118" s="252"/>
      <c r="AJN118" s="252"/>
      <c r="AJO118" s="252"/>
      <c r="AJP118" s="252"/>
      <c r="AJQ118" s="252"/>
      <c r="AJR118" s="252"/>
      <c r="AJS118" s="252"/>
      <c r="AJT118" s="252"/>
      <c r="AJU118" s="252"/>
      <c r="AJV118" s="252"/>
      <c r="AJW118" s="252"/>
      <c r="AJX118" s="252"/>
      <c r="AJY118" s="252"/>
      <c r="AJZ118" s="252"/>
      <c r="AKA118" s="252"/>
      <c r="AKB118" s="252"/>
      <c r="AKC118" s="252"/>
      <c r="AKD118" s="252"/>
      <c r="AKE118" s="252"/>
      <c r="AKF118" s="252"/>
      <c r="AKG118" s="252"/>
      <c r="AKH118" s="252"/>
      <c r="AKI118" s="252"/>
      <c r="AKJ118" s="252"/>
      <c r="AKK118" s="252"/>
      <c r="AKL118" s="252"/>
      <c r="AKM118" s="252"/>
      <c r="AKN118" s="252"/>
      <c r="AKO118" s="252"/>
      <c r="AKP118" s="252"/>
      <c r="AKQ118" s="252"/>
      <c r="AKR118" s="252"/>
      <c r="AKS118" s="252"/>
      <c r="AKT118" s="252"/>
      <c r="AKU118" s="252"/>
      <c r="AKV118" s="252"/>
      <c r="AKW118" s="252"/>
      <c r="AKX118" s="252"/>
      <c r="AKY118" s="252"/>
      <c r="AKZ118" s="252"/>
      <c r="ALA118" s="252"/>
      <c r="ALB118" s="252"/>
      <c r="ALC118" s="252"/>
      <c r="ALD118" s="252"/>
      <c r="ALE118" s="252"/>
      <c r="ALF118" s="252"/>
      <c r="ALG118" s="252"/>
      <c r="ALH118" s="252"/>
      <c r="ALI118" s="252"/>
      <c r="ALJ118" s="252"/>
      <c r="ALK118" s="252"/>
      <c r="ALL118" s="252"/>
      <c r="ALM118" s="252"/>
      <c r="ALN118" s="252"/>
      <c r="ALO118" s="252"/>
      <c r="ALP118" s="252"/>
      <c r="ALQ118" s="252"/>
      <c r="ALR118" s="252"/>
      <c r="ALS118" s="252"/>
    </row>
    <row r="119" spans="1:1007" x14ac:dyDescent="0.2">
      <c r="A119" s="369" t="s">
        <v>292</v>
      </c>
      <c r="B119" s="356"/>
      <c r="C119" s="356"/>
    </row>
    <row r="120" spans="1:1007" s="3" customFormat="1" x14ac:dyDescent="0.2">
      <c r="A120" s="360"/>
      <c r="B120" s="252"/>
      <c r="C120" s="252"/>
      <c r="D120" s="252"/>
      <c r="E120" s="252"/>
      <c r="F120" s="252"/>
      <c r="G120" s="252"/>
      <c r="H120" s="252"/>
      <c r="I120" s="252"/>
      <c r="J120" s="252"/>
      <c r="K120" s="252"/>
      <c r="L120" s="252"/>
      <c r="M120" s="252"/>
      <c r="N120" s="252"/>
      <c r="O120" s="252"/>
      <c r="P120" s="252"/>
      <c r="Q120" s="252"/>
      <c r="R120" s="252"/>
      <c r="S120" s="252"/>
      <c r="T120" s="252"/>
      <c r="U120" s="252"/>
      <c r="V120" s="252"/>
      <c r="W120" s="252"/>
      <c r="X120" s="252"/>
      <c r="Y120" s="252"/>
      <c r="Z120" s="252"/>
      <c r="AA120" s="252"/>
      <c r="AB120" s="252"/>
      <c r="AC120" s="252"/>
      <c r="AD120" s="252"/>
      <c r="AE120" s="252"/>
      <c r="AF120" s="252"/>
      <c r="AG120" s="252"/>
      <c r="AH120" s="252"/>
      <c r="AI120" s="252"/>
      <c r="AJ120" s="252"/>
      <c r="AK120" s="252"/>
      <c r="AL120" s="252"/>
      <c r="AM120" s="252"/>
      <c r="AN120" s="252"/>
      <c r="AO120" s="252"/>
      <c r="AP120" s="252"/>
      <c r="AQ120" s="252"/>
      <c r="AR120" s="252"/>
      <c r="AS120" s="252"/>
      <c r="AT120" s="252"/>
      <c r="AU120" s="252"/>
      <c r="AV120" s="252"/>
      <c r="AW120" s="252"/>
      <c r="AX120" s="252"/>
      <c r="AY120" s="252"/>
      <c r="AZ120" s="252"/>
      <c r="BA120" s="252"/>
      <c r="BB120" s="252"/>
      <c r="BC120" s="252"/>
      <c r="BD120" s="252"/>
      <c r="BE120" s="252"/>
      <c r="BF120" s="252"/>
      <c r="BG120" s="252"/>
      <c r="BH120" s="252"/>
      <c r="BI120" s="252"/>
      <c r="BJ120" s="252"/>
      <c r="BK120" s="252"/>
      <c r="BL120" s="252"/>
      <c r="BM120" s="252"/>
      <c r="BN120" s="252"/>
      <c r="BO120" s="252"/>
      <c r="BP120" s="252"/>
      <c r="BQ120" s="252"/>
      <c r="BR120" s="252"/>
      <c r="BS120" s="252"/>
      <c r="BT120" s="252"/>
      <c r="BU120" s="252"/>
      <c r="BV120" s="252"/>
      <c r="BW120" s="252"/>
      <c r="BX120" s="252"/>
      <c r="BY120" s="252"/>
      <c r="BZ120" s="252"/>
      <c r="CA120" s="252"/>
      <c r="CB120" s="252"/>
      <c r="CC120" s="252"/>
      <c r="CD120" s="252"/>
      <c r="CE120" s="252"/>
      <c r="CF120" s="252"/>
      <c r="CG120" s="252"/>
      <c r="CH120" s="252"/>
      <c r="CI120" s="252"/>
      <c r="CJ120" s="252"/>
      <c r="CK120" s="252"/>
      <c r="CL120" s="252"/>
      <c r="CM120" s="252"/>
      <c r="CN120" s="252"/>
      <c r="CO120" s="252"/>
      <c r="CP120" s="252"/>
      <c r="CQ120" s="252"/>
      <c r="CR120" s="252"/>
      <c r="CS120" s="252"/>
      <c r="CT120" s="252"/>
      <c r="CU120" s="252"/>
      <c r="CV120" s="252"/>
      <c r="CW120" s="252"/>
      <c r="CX120" s="252"/>
      <c r="CY120" s="252"/>
      <c r="CZ120" s="252"/>
      <c r="DA120" s="252"/>
      <c r="DB120" s="252"/>
      <c r="DC120" s="252"/>
      <c r="DD120" s="252"/>
      <c r="DE120" s="252"/>
      <c r="DF120" s="252"/>
      <c r="DG120" s="252"/>
      <c r="DH120" s="252"/>
      <c r="DI120" s="252"/>
      <c r="DJ120" s="252"/>
      <c r="DK120" s="252"/>
      <c r="DL120" s="252"/>
      <c r="DM120" s="252"/>
      <c r="DN120" s="252"/>
      <c r="DO120" s="252"/>
      <c r="DP120" s="252"/>
      <c r="DQ120" s="252"/>
      <c r="DR120" s="252"/>
      <c r="DS120" s="252"/>
      <c r="DT120" s="252"/>
      <c r="DU120" s="252"/>
      <c r="DV120" s="252"/>
      <c r="DW120" s="252"/>
      <c r="DX120" s="252"/>
      <c r="DY120" s="252"/>
      <c r="DZ120" s="252"/>
      <c r="EA120" s="252"/>
      <c r="EB120" s="252"/>
      <c r="EC120" s="252"/>
      <c r="ED120" s="252"/>
      <c r="EE120" s="252"/>
      <c r="EF120" s="252"/>
      <c r="EG120" s="252"/>
      <c r="EH120" s="252"/>
      <c r="EI120" s="252"/>
      <c r="EJ120" s="252"/>
      <c r="EK120" s="252"/>
      <c r="EL120" s="252"/>
      <c r="EM120" s="252"/>
      <c r="EN120" s="252"/>
      <c r="EO120" s="252"/>
      <c r="EP120" s="252"/>
      <c r="EQ120" s="252"/>
      <c r="ER120" s="252"/>
      <c r="ES120" s="252"/>
      <c r="ET120" s="252"/>
      <c r="EU120" s="252"/>
      <c r="EV120" s="252"/>
      <c r="EW120" s="252"/>
      <c r="EX120" s="252"/>
      <c r="EY120" s="252"/>
      <c r="EZ120" s="252"/>
      <c r="FA120" s="252"/>
      <c r="FB120" s="252"/>
      <c r="FC120" s="252"/>
      <c r="FD120" s="252"/>
      <c r="FE120" s="252"/>
      <c r="FF120" s="252"/>
      <c r="FG120" s="252"/>
      <c r="FH120" s="252"/>
      <c r="FI120" s="252"/>
      <c r="FJ120" s="252"/>
      <c r="FK120" s="252"/>
      <c r="FL120" s="252"/>
      <c r="FM120" s="252"/>
      <c r="FN120" s="252"/>
      <c r="FO120" s="252"/>
      <c r="FP120" s="252"/>
      <c r="FQ120" s="252"/>
      <c r="FR120" s="252"/>
      <c r="FS120" s="252"/>
      <c r="FT120" s="252"/>
      <c r="FU120" s="252"/>
      <c r="FV120" s="252"/>
      <c r="FW120" s="252"/>
      <c r="FX120" s="252"/>
      <c r="FY120" s="252"/>
      <c r="FZ120" s="252"/>
      <c r="GA120" s="252"/>
      <c r="GB120" s="252"/>
      <c r="GC120" s="252"/>
      <c r="GD120" s="252"/>
      <c r="GE120" s="252"/>
      <c r="GF120" s="252"/>
      <c r="GG120" s="252"/>
      <c r="GH120" s="252"/>
      <c r="GI120" s="252"/>
      <c r="GJ120" s="252"/>
      <c r="GK120" s="252"/>
      <c r="GL120" s="252"/>
      <c r="GM120" s="252"/>
      <c r="GN120" s="252"/>
      <c r="GO120" s="252"/>
      <c r="GP120" s="252"/>
      <c r="GQ120" s="252"/>
      <c r="GR120" s="252"/>
      <c r="GS120" s="252"/>
      <c r="GT120" s="252"/>
      <c r="GU120" s="252"/>
      <c r="GV120" s="252"/>
      <c r="GW120" s="252"/>
      <c r="GX120" s="252"/>
      <c r="GY120" s="252"/>
      <c r="GZ120" s="252"/>
      <c r="HA120" s="252"/>
      <c r="HB120" s="252"/>
      <c r="HC120" s="252"/>
      <c r="HD120" s="252"/>
      <c r="HE120" s="252"/>
      <c r="HF120" s="252"/>
      <c r="HG120" s="252"/>
      <c r="HH120" s="252"/>
      <c r="HI120" s="252"/>
      <c r="HJ120" s="252"/>
      <c r="HK120" s="252"/>
      <c r="HL120" s="252"/>
      <c r="HM120" s="252"/>
      <c r="HN120" s="252"/>
      <c r="HO120" s="252"/>
      <c r="HP120" s="252"/>
      <c r="HQ120" s="252"/>
      <c r="HR120" s="252"/>
      <c r="HS120" s="252"/>
      <c r="HT120" s="252"/>
      <c r="HU120" s="252"/>
      <c r="HV120" s="252"/>
      <c r="HW120" s="252"/>
      <c r="HX120" s="252"/>
      <c r="HY120" s="252"/>
      <c r="HZ120" s="252"/>
      <c r="IA120" s="252"/>
      <c r="IB120" s="252"/>
      <c r="IC120" s="252"/>
      <c r="ID120" s="252"/>
      <c r="IE120" s="252"/>
      <c r="IF120" s="252"/>
      <c r="IG120" s="252"/>
      <c r="IH120" s="252"/>
      <c r="II120" s="252"/>
      <c r="IJ120" s="252"/>
      <c r="IK120" s="252"/>
      <c r="IL120" s="252"/>
      <c r="IM120" s="252"/>
      <c r="IN120" s="252"/>
      <c r="IO120" s="252"/>
      <c r="IP120" s="252"/>
      <c r="IQ120" s="252"/>
      <c r="IR120" s="252"/>
      <c r="IS120" s="252"/>
      <c r="IT120" s="252"/>
      <c r="IU120" s="252"/>
      <c r="IV120" s="252"/>
      <c r="IW120" s="252"/>
      <c r="IX120" s="252"/>
      <c r="IY120" s="252"/>
      <c r="IZ120" s="252"/>
      <c r="JA120" s="252"/>
      <c r="JB120" s="252"/>
      <c r="JC120" s="252"/>
      <c r="JD120" s="252"/>
      <c r="JE120" s="252"/>
      <c r="JF120" s="252"/>
      <c r="JG120" s="252"/>
      <c r="JH120" s="252"/>
      <c r="JI120" s="252"/>
      <c r="JJ120" s="252"/>
      <c r="JK120" s="252"/>
      <c r="JL120" s="252"/>
      <c r="JM120" s="252"/>
      <c r="JN120" s="252"/>
      <c r="JO120" s="252"/>
      <c r="JP120" s="252"/>
      <c r="JQ120" s="252"/>
      <c r="JR120" s="252"/>
      <c r="JS120" s="252"/>
      <c r="JT120" s="252"/>
      <c r="JU120" s="252"/>
      <c r="JV120" s="252"/>
      <c r="JW120" s="252"/>
      <c r="JX120" s="252"/>
      <c r="JY120" s="252"/>
      <c r="JZ120" s="252"/>
      <c r="KA120" s="252"/>
      <c r="KB120" s="252"/>
      <c r="KC120" s="252"/>
      <c r="KD120" s="252"/>
      <c r="KE120" s="252"/>
      <c r="KF120" s="252"/>
      <c r="KG120" s="252"/>
      <c r="KH120" s="252"/>
      <c r="KI120" s="252"/>
      <c r="KJ120" s="252"/>
      <c r="KK120" s="252"/>
      <c r="KL120" s="252"/>
      <c r="KM120" s="252"/>
      <c r="KN120" s="252"/>
      <c r="KO120" s="252"/>
      <c r="KP120" s="252"/>
      <c r="KQ120" s="252"/>
      <c r="KR120" s="252"/>
      <c r="KS120" s="252"/>
      <c r="KT120" s="252"/>
      <c r="KU120" s="252"/>
      <c r="KV120" s="252"/>
      <c r="KW120" s="252"/>
      <c r="KX120" s="252"/>
      <c r="KY120" s="252"/>
      <c r="KZ120" s="252"/>
      <c r="LA120" s="252"/>
      <c r="LB120" s="252"/>
      <c r="LC120" s="252"/>
      <c r="LD120" s="252"/>
      <c r="LE120" s="252"/>
      <c r="LF120" s="252"/>
      <c r="LG120" s="252"/>
      <c r="LH120" s="252"/>
      <c r="LI120" s="252"/>
      <c r="LJ120" s="252"/>
      <c r="LK120" s="252"/>
      <c r="LL120" s="252"/>
      <c r="LM120" s="252"/>
      <c r="LN120" s="252"/>
      <c r="LO120" s="252"/>
      <c r="LP120" s="252"/>
      <c r="LQ120" s="252"/>
      <c r="LR120" s="252"/>
      <c r="LS120" s="252"/>
      <c r="LT120" s="252"/>
      <c r="LU120" s="252"/>
      <c r="LV120" s="252"/>
      <c r="LW120" s="252"/>
      <c r="LX120" s="252"/>
      <c r="LY120" s="252"/>
      <c r="LZ120" s="252"/>
      <c r="MA120" s="252"/>
      <c r="MB120" s="252"/>
      <c r="MC120" s="252"/>
      <c r="MD120" s="252"/>
      <c r="ME120" s="252"/>
      <c r="MF120" s="252"/>
      <c r="MG120" s="252"/>
      <c r="MH120" s="252"/>
      <c r="MI120" s="252"/>
      <c r="MJ120" s="252"/>
      <c r="MK120" s="252"/>
      <c r="ML120" s="252"/>
      <c r="MM120" s="252"/>
      <c r="MN120" s="252"/>
      <c r="MO120" s="252"/>
      <c r="MP120" s="252"/>
      <c r="MQ120" s="252"/>
      <c r="MR120" s="252"/>
      <c r="MS120" s="252"/>
      <c r="MT120" s="252"/>
      <c r="MU120" s="252"/>
      <c r="MV120" s="252"/>
      <c r="MW120" s="252"/>
      <c r="MX120" s="252"/>
      <c r="MY120" s="252"/>
      <c r="MZ120" s="252"/>
      <c r="NA120" s="252"/>
      <c r="NB120" s="252"/>
      <c r="NC120" s="252"/>
      <c r="ND120" s="252"/>
      <c r="NE120" s="252"/>
      <c r="NF120" s="252"/>
      <c r="NG120" s="252"/>
      <c r="NH120" s="252"/>
      <c r="NI120" s="252"/>
      <c r="NJ120" s="252"/>
      <c r="NK120" s="252"/>
      <c r="NL120" s="252"/>
      <c r="NM120" s="252"/>
      <c r="NN120" s="252"/>
      <c r="NO120" s="252"/>
      <c r="NP120" s="252"/>
      <c r="NQ120" s="252"/>
      <c r="NR120" s="252"/>
      <c r="NS120" s="252"/>
      <c r="NT120" s="252"/>
      <c r="NU120" s="252"/>
      <c r="NV120" s="252"/>
      <c r="NW120" s="252"/>
      <c r="NX120" s="252"/>
      <c r="NY120" s="252"/>
      <c r="NZ120" s="252"/>
      <c r="OA120" s="252"/>
      <c r="OB120" s="252"/>
      <c r="OC120" s="252"/>
      <c r="OD120" s="252"/>
      <c r="OE120" s="252"/>
      <c r="OF120" s="252"/>
      <c r="OG120" s="252"/>
      <c r="OH120" s="252"/>
      <c r="OI120" s="252"/>
      <c r="OJ120" s="252"/>
      <c r="OK120" s="252"/>
      <c r="OL120" s="252"/>
      <c r="OM120" s="252"/>
      <c r="ON120" s="252"/>
      <c r="OO120" s="252"/>
      <c r="OP120" s="252"/>
      <c r="OQ120" s="252"/>
      <c r="OR120" s="252"/>
      <c r="OS120" s="252"/>
      <c r="OT120" s="252"/>
      <c r="OU120" s="252"/>
      <c r="OV120" s="252"/>
      <c r="OW120" s="252"/>
      <c r="OX120" s="252"/>
      <c r="OY120" s="252"/>
      <c r="OZ120" s="252"/>
      <c r="PA120" s="252"/>
      <c r="PB120" s="252"/>
      <c r="PC120" s="252"/>
      <c r="PD120" s="252"/>
      <c r="PE120" s="252"/>
      <c r="PF120" s="252"/>
      <c r="PG120" s="252"/>
      <c r="PH120" s="252"/>
      <c r="PI120" s="252"/>
      <c r="PJ120" s="252"/>
      <c r="PK120" s="252"/>
      <c r="PL120" s="252"/>
      <c r="PM120" s="252"/>
      <c r="PN120" s="252"/>
      <c r="PO120" s="252"/>
      <c r="PP120" s="252"/>
      <c r="PQ120" s="252"/>
      <c r="PR120" s="252"/>
      <c r="PS120" s="252"/>
      <c r="PT120" s="252"/>
      <c r="PU120" s="252"/>
      <c r="PV120" s="252"/>
      <c r="PW120" s="252"/>
      <c r="PX120" s="252"/>
      <c r="PY120" s="252"/>
      <c r="PZ120" s="252"/>
      <c r="QA120" s="252"/>
      <c r="QB120" s="252"/>
      <c r="QC120" s="252"/>
      <c r="QD120" s="252"/>
      <c r="QE120" s="252"/>
      <c r="QF120" s="252"/>
      <c r="QG120" s="252"/>
      <c r="QH120" s="252"/>
      <c r="QI120" s="252"/>
      <c r="QJ120" s="252"/>
      <c r="QK120" s="252"/>
      <c r="QL120" s="252"/>
      <c r="QM120" s="252"/>
      <c r="QN120" s="252"/>
      <c r="QO120" s="252"/>
      <c r="QP120" s="252"/>
      <c r="QQ120" s="252"/>
      <c r="QR120" s="252"/>
      <c r="QS120" s="252"/>
      <c r="QT120" s="252"/>
      <c r="QU120" s="252"/>
      <c r="QV120" s="252"/>
      <c r="QW120" s="252"/>
      <c r="QX120" s="252"/>
      <c r="QY120" s="252"/>
      <c r="QZ120" s="252"/>
      <c r="RA120" s="252"/>
      <c r="RB120" s="252"/>
      <c r="RC120" s="252"/>
      <c r="RD120" s="252"/>
      <c r="RE120" s="252"/>
      <c r="RF120" s="252"/>
      <c r="RG120" s="252"/>
      <c r="RH120" s="252"/>
      <c r="RI120" s="252"/>
      <c r="RJ120" s="252"/>
      <c r="RK120" s="252"/>
      <c r="RL120" s="252"/>
      <c r="RM120" s="252"/>
      <c r="RN120" s="252"/>
      <c r="RO120" s="252"/>
      <c r="RP120" s="252"/>
      <c r="RQ120" s="252"/>
      <c r="RR120" s="252"/>
      <c r="RS120" s="252"/>
      <c r="RT120" s="252"/>
      <c r="RU120" s="252"/>
      <c r="RV120" s="252"/>
      <c r="RW120" s="252"/>
      <c r="RX120" s="252"/>
      <c r="RY120" s="252"/>
      <c r="RZ120" s="252"/>
      <c r="SA120" s="252"/>
      <c r="SB120" s="252"/>
      <c r="SC120" s="252"/>
      <c r="SD120" s="252"/>
      <c r="SE120" s="252"/>
      <c r="SF120" s="252"/>
      <c r="SG120" s="252"/>
      <c r="SH120" s="252"/>
      <c r="SI120" s="252"/>
      <c r="SJ120" s="252"/>
      <c r="SK120" s="252"/>
      <c r="SL120" s="252"/>
      <c r="SM120" s="252"/>
      <c r="SN120" s="252"/>
      <c r="SO120" s="252"/>
      <c r="SP120" s="252"/>
      <c r="SQ120" s="252"/>
      <c r="SR120" s="252"/>
      <c r="SS120" s="252"/>
      <c r="ST120" s="252"/>
      <c r="SU120" s="252"/>
      <c r="SV120" s="252"/>
      <c r="SW120" s="252"/>
      <c r="SX120" s="252"/>
      <c r="SY120" s="252"/>
      <c r="SZ120" s="252"/>
      <c r="TA120" s="252"/>
      <c r="TB120" s="252"/>
      <c r="TC120" s="252"/>
      <c r="TD120" s="252"/>
      <c r="TE120" s="252"/>
      <c r="TF120" s="252"/>
      <c r="TG120" s="252"/>
      <c r="TH120" s="252"/>
      <c r="TI120" s="252"/>
      <c r="TJ120" s="252"/>
      <c r="TK120" s="252"/>
      <c r="TL120" s="252"/>
      <c r="TM120" s="252"/>
      <c r="TN120" s="252"/>
      <c r="TO120" s="252"/>
      <c r="TP120" s="252"/>
      <c r="TQ120" s="252"/>
      <c r="TR120" s="252"/>
      <c r="TS120" s="252"/>
      <c r="TT120" s="252"/>
      <c r="TU120" s="252"/>
      <c r="TV120" s="252"/>
      <c r="TW120" s="252"/>
      <c r="TX120" s="252"/>
      <c r="TY120" s="252"/>
      <c r="TZ120" s="252"/>
      <c r="UA120" s="252"/>
      <c r="UB120" s="252"/>
      <c r="UC120" s="252"/>
      <c r="UD120" s="252"/>
      <c r="UE120" s="252"/>
      <c r="UF120" s="252"/>
      <c r="UG120" s="252"/>
      <c r="UH120" s="252"/>
      <c r="UI120" s="252"/>
      <c r="UJ120" s="252"/>
      <c r="UK120" s="252"/>
      <c r="UL120" s="252"/>
      <c r="UM120" s="252"/>
      <c r="UN120" s="252"/>
      <c r="UO120" s="252"/>
      <c r="UP120" s="252"/>
      <c r="UQ120" s="252"/>
      <c r="UR120" s="252"/>
      <c r="US120" s="252"/>
      <c r="UT120" s="252"/>
      <c r="UU120" s="252"/>
      <c r="UV120" s="252"/>
      <c r="UW120" s="252"/>
      <c r="UX120" s="252"/>
      <c r="UY120" s="252"/>
      <c r="UZ120" s="252"/>
      <c r="VA120" s="252"/>
      <c r="VB120" s="252"/>
      <c r="VC120" s="252"/>
      <c r="VD120" s="252"/>
      <c r="VE120" s="252"/>
      <c r="VF120" s="252"/>
      <c r="VG120" s="252"/>
      <c r="VH120" s="252"/>
      <c r="VI120" s="252"/>
      <c r="VJ120" s="252"/>
      <c r="VK120" s="252"/>
      <c r="VL120" s="252"/>
      <c r="VM120" s="252"/>
      <c r="VN120" s="252"/>
      <c r="VO120" s="252"/>
      <c r="VP120" s="252"/>
      <c r="VQ120" s="252"/>
      <c r="VR120" s="252"/>
      <c r="VS120" s="252"/>
      <c r="VT120" s="252"/>
      <c r="VU120" s="252"/>
      <c r="VV120" s="252"/>
      <c r="VW120" s="252"/>
      <c r="VX120" s="252"/>
      <c r="VY120" s="252"/>
      <c r="VZ120" s="252"/>
      <c r="WA120" s="252"/>
      <c r="WB120" s="252"/>
      <c r="WC120" s="252"/>
      <c r="WD120" s="252"/>
      <c r="WE120" s="252"/>
      <c r="WF120" s="252"/>
      <c r="WG120" s="252"/>
      <c r="WH120" s="252"/>
      <c r="WI120" s="252"/>
      <c r="WJ120" s="252"/>
      <c r="WK120" s="252"/>
      <c r="WL120" s="252"/>
      <c r="WM120" s="252"/>
      <c r="WN120" s="252"/>
      <c r="WO120" s="252"/>
      <c r="WP120" s="252"/>
      <c r="WQ120" s="252"/>
      <c r="WR120" s="252"/>
      <c r="WS120" s="252"/>
      <c r="WT120" s="252"/>
      <c r="WU120" s="252"/>
      <c r="WV120" s="252"/>
      <c r="WW120" s="252"/>
      <c r="WX120" s="252"/>
      <c r="WY120" s="252"/>
      <c r="WZ120" s="252"/>
      <c r="XA120" s="252"/>
      <c r="XB120" s="252"/>
      <c r="XC120" s="252"/>
      <c r="XD120" s="252"/>
      <c r="XE120" s="252"/>
      <c r="XF120" s="252"/>
      <c r="XG120" s="252"/>
      <c r="XH120" s="252"/>
      <c r="XI120" s="252"/>
      <c r="XJ120" s="252"/>
      <c r="XK120" s="252"/>
      <c r="XL120" s="252"/>
      <c r="XM120" s="252"/>
      <c r="XN120" s="252"/>
      <c r="XO120" s="252"/>
      <c r="XP120" s="252"/>
      <c r="XQ120" s="252"/>
      <c r="XR120" s="252"/>
      <c r="XS120" s="252"/>
      <c r="XT120" s="252"/>
      <c r="XU120" s="252"/>
      <c r="XV120" s="252"/>
      <c r="XW120" s="252"/>
      <c r="XX120" s="252"/>
      <c r="XY120" s="252"/>
      <c r="XZ120" s="252"/>
      <c r="YA120" s="252"/>
      <c r="YB120" s="252"/>
      <c r="YC120" s="252"/>
      <c r="YD120" s="252"/>
      <c r="YE120" s="252"/>
      <c r="YF120" s="252"/>
      <c r="YG120" s="252"/>
      <c r="YH120" s="252"/>
      <c r="YI120" s="252"/>
      <c r="YJ120" s="252"/>
      <c r="YK120" s="252"/>
      <c r="YL120" s="252"/>
      <c r="YM120" s="252"/>
      <c r="YN120" s="252"/>
      <c r="YO120" s="252"/>
      <c r="YP120" s="252"/>
      <c r="YQ120" s="252"/>
      <c r="YR120" s="252"/>
      <c r="YS120" s="252"/>
      <c r="YT120" s="252"/>
      <c r="YU120" s="252"/>
      <c r="YV120" s="252"/>
      <c r="YW120" s="252"/>
      <c r="YX120" s="252"/>
      <c r="YY120" s="252"/>
      <c r="YZ120" s="252"/>
      <c r="ZA120" s="252"/>
      <c r="ZB120" s="252"/>
      <c r="ZC120" s="252"/>
      <c r="ZD120" s="252"/>
      <c r="ZE120" s="252"/>
      <c r="ZF120" s="252"/>
      <c r="ZG120" s="252"/>
      <c r="ZH120" s="252"/>
      <c r="ZI120" s="252"/>
      <c r="ZJ120" s="252"/>
      <c r="ZK120" s="252"/>
      <c r="ZL120" s="252"/>
      <c r="ZM120" s="252"/>
      <c r="ZN120" s="252"/>
      <c r="ZO120" s="252"/>
      <c r="ZP120" s="252"/>
      <c r="ZQ120" s="252"/>
      <c r="ZR120" s="252"/>
      <c r="ZS120" s="252"/>
      <c r="ZT120" s="252"/>
      <c r="ZU120" s="252"/>
      <c r="ZV120" s="252"/>
      <c r="ZW120" s="252"/>
      <c r="ZX120" s="252"/>
      <c r="ZY120" s="252"/>
      <c r="ZZ120" s="252"/>
      <c r="AAA120" s="252"/>
      <c r="AAB120" s="252"/>
      <c r="AAC120" s="252"/>
      <c r="AAD120" s="252"/>
      <c r="AAE120" s="252"/>
      <c r="AAF120" s="252"/>
      <c r="AAG120" s="252"/>
      <c r="AAH120" s="252"/>
      <c r="AAI120" s="252"/>
      <c r="AAJ120" s="252"/>
      <c r="AAK120" s="252"/>
      <c r="AAL120" s="252"/>
      <c r="AAM120" s="252"/>
      <c r="AAN120" s="252"/>
      <c r="AAO120" s="252"/>
      <c r="AAP120" s="252"/>
      <c r="AAQ120" s="252"/>
      <c r="AAR120" s="252"/>
      <c r="AAS120" s="252"/>
      <c r="AAT120" s="252"/>
      <c r="AAU120" s="252"/>
      <c r="AAV120" s="252"/>
      <c r="AAW120" s="252"/>
      <c r="AAX120" s="252"/>
      <c r="AAY120" s="252"/>
      <c r="AAZ120" s="252"/>
      <c r="ABA120" s="252"/>
      <c r="ABB120" s="252"/>
      <c r="ABC120" s="252"/>
      <c r="ABD120" s="252"/>
      <c r="ABE120" s="252"/>
      <c r="ABF120" s="252"/>
      <c r="ABG120" s="252"/>
      <c r="ABH120" s="252"/>
      <c r="ABI120" s="252"/>
      <c r="ABJ120" s="252"/>
      <c r="ABK120" s="252"/>
      <c r="ABL120" s="252"/>
      <c r="ABM120" s="252"/>
      <c r="ABN120" s="252"/>
      <c r="ABO120" s="252"/>
      <c r="ABP120" s="252"/>
      <c r="ABQ120" s="252"/>
      <c r="ABR120" s="252"/>
      <c r="ABS120" s="252"/>
      <c r="ABT120" s="252"/>
      <c r="ABU120" s="252"/>
      <c r="ABV120" s="252"/>
      <c r="ABW120" s="252"/>
      <c r="ABX120" s="252"/>
      <c r="ABY120" s="252"/>
      <c r="ABZ120" s="252"/>
      <c r="ACA120" s="252"/>
      <c r="ACB120" s="252"/>
      <c r="ACC120" s="252"/>
      <c r="ACD120" s="252"/>
      <c r="ACE120" s="252"/>
      <c r="ACF120" s="252"/>
      <c r="ACG120" s="252"/>
      <c r="ACH120" s="252"/>
      <c r="ACI120" s="252"/>
      <c r="ACJ120" s="252"/>
      <c r="ACK120" s="252"/>
      <c r="ACL120" s="252"/>
      <c r="ACM120" s="252"/>
      <c r="ACN120" s="252"/>
      <c r="ACO120" s="252"/>
      <c r="ACP120" s="252"/>
      <c r="ACQ120" s="252"/>
      <c r="ACR120" s="252"/>
      <c r="ACS120" s="252"/>
      <c r="ACT120" s="252"/>
      <c r="ACU120" s="252"/>
      <c r="ACV120" s="252"/>
      <c r="ACW120" s="252"/>
      <c r="ACX120" s="252"/>
      <c r="ACY120" s="252"/>
      <c r="ACZ120" s="252"/>
      <c r="ADA120" s="252"/>
      <c r="ADB120" s="252"/>
      <c r="ADC120" s="252"/>
      <c r="ADD120" s="252"/>
      <c r="ADE120" s="252"/>
      <c r="ADF120" s="252"/>
      <c r="ADG120" s="252"/>
      <c r="ADH120" s="252"/>
      <c r="ADI120" s="252"/>
      <c r="ADJ120" s="252"/>
      <c r="ADK120" s="252"/>
      <c r="ADL120" s="252"/>
      <c r="ADM120" s="252"/>
      <c r="ADN120" s="252"/>
      <c r="ADO120" s="252"/>
      <c r="ADP120" s="252"/>
      <c r="ADQ120" s="252"/>
      <c r="ADR120" s="252"/>
      <c r="ADS120" s="252"/>
      <c r="ADT120" s="252"/>
      <c r="ADU120" s="252"/>
      <c r="ADV120" s="252"/>
      <c r="ADW120" s="252"/>
      <c r="ADX120" s="252"/>
      <c r="ADY120" s="252"/>
      <c r="ADZ120" s="252"/>
      <c r="AEA120" s="252"/>
      <c r="AEB120" s="252"/>
      <c r="AEC120" s="252"/>
      <c r="AED120" s="252"/>
      <c r="AEE120" s="252"/>
      <c r="AEF120" s="252"/>
      <c r="AEG120" s="252"/>
      <c r="AEH120" s="252"/>
      <c r="AEI120" s="252"/>
      <c r="AEJ120" s="252"/>
      <c r="AEK120" s="252"/>
      <c r="AEL120" s="252"/>
      <c r="AEM120" s="252"/>
      <c r="AEN120" s="252"/>
      <c r="AEO120" s="252"/>
      <c r="AEP120" s="252"/>
      <c r="AEQ120" s="252"/>
      <c r="AER120" s="252"/>
      <c r="AES120" s="252"/>
      <c r="AET120" s="252"/>
      <c r="AEU120" s="252"/>
      <c r="AEV120" s="252"/>
      <c r="AEW120" s="252"/>
      <c r="AEX120" s="252"/>
      <c r="AEY120" s="252"/>
      <c r="AEZ120" s="252"/>
      <c r="AFA120" s="252"/>
      <c r="AFB120" s="252"/>
      <c r="AFC120" s="252"/>
      <c r="AFD120" s="252"/>
      <c r="AFE120" s="252"/>
      <c r="AFF120" s="252"/>
      <c r="AFG120" s="252"/>
      <c r="AFH120" s="252"/>
      <c r="AFI120" s="252"/>
      <c r="AFJ120" s="252"/>
      <c r="AFK120" s="252"/>
      <c r="AFL120" s="252"/>
      <c r="AFM120" s="252"/>
      <c r="AFN120" s="252"/>
      <c r="AFO120" s="252"/>
      <c r="AFP120" s="252"/>
      <c r="AFQ120" s="252"/>
      <c r="AFR120" s="252"/>
      <c r="AFS120" s="252"/>
      <c r="AFT120" s="252"/>
      <c r="AFU120" s="252"/>
      <c r="AFV120" s="252"/>
      <c r="AFW120" s="252"/>
      <c r="AFX120" s="252"/>
      <c r="AFY120" s="252"/>
      <c r="AFZ120" s="252"/>
      <c r="AGA120" s="252"/>
      <c r="AGB120" s="252"/>
      <c r="AGC120" s="252"/>
      <c r="AGD120" s="252"/>
      <c r="AGE120" s="252"/>
      <c r="AGF120" s="252"/>
      <c r="AGG120" s="252"/>
      <c r="AGH120" s="252"/>
      <c r="AGI120" s="252"/>
      <c r="AGJ120" s="252"/>
      <c r="AGK120" s="252"/>
      <c r="AGL120" s="252"/>
      <c r="AGM120" s="252"/>
      <c r="AGN120" s="252"/>
      <c r="AGO120" s="252"/>
      <c r="AGP120" s="252"/>
      <c r="AGQ120" s="252"/>
      <c r="AGR120" s="252"/>
      <c r="AGS120" s="252"/>
      <c r="AGT120" s="252"/>
      <c r="AGU120" s="252"/>
      <c r="AGV120" s="252"/>
      <c r="AGW120" s="252"/>
      <c r="AGX120" s="252"/>
      <c r="AGY120" s="252"/>
      <c r="AGZ120" s="252"/>
      <c r="AHA120" s="252"/>
      <c r="AHB120" s="252"/>
      <c r="AHC120" s="252"/>
      <c r="AHD120" s="252"/>
      <c r="AHE120" s="252"/>
      <c r="AHF120" s="252"/>
      <c r="AHG120" s="252"/>
      <c r="AHH120" s="252"/>
      <c r="AHI120" s="252"/>
      <c r="AHJ120" s="252"/>
      <c r="AHK120" s="252"/>
      <c r="AHL120" s="252"/>
      <c r="AHM120" s="252"/>
      <c r="AHN120" s="252"/>
      <c r="AHO120" s="252"/>
      <c r="AHP120" s="252"/>
      <c r="AHQ120" s="252"/>
      <c r="AHR120" s="252"/>
      <c r="AHS120" s="252"/>
      <c r="AHT120" s="252"/>
      <c r="AHU120" s="252"/>
      <c r="AHV120" s="252"/>
      <c r="AHW120" s="252"/>
      <c r="AHX120" s="252"/>
      <c r="AHY120" s="252"/>
      <c r="AHZ120" s="252"/>
      <c r="AIA120" s="252"/>
      <c r="AIB120" s="252"/>
      <c r="AIC120" s="252"/>
      <c r="AID120" s="252"/>
      <c r="AIE120" s="252"/>
      <c r="AIF120" s="252"/>
      <c r="AIG120" s="252"/>
      <c r="AIH120" s="252"/>
      <c r="AII120" s="252"/>
      <c r="AIJ120" s="252"/>
      <c r="AIK120" s="252"/>
      <c r="AIL120" s="252"/>
      <c r="AIM120" s="252"/>
      <c r="AIN120" s="252"/>
      <c r="AIO120" s="252"/>
      <c r="AIP120" s="252"/>
      <c r="AIQ120" s="252"/>
      <c r="AIR120" s="252"/>
      <c r="AIS120" s="252"/>
      <c r="AIT120" s="252"/>
      <c r="AIU120" s="252"/>
      <c r="AIV120" s="252"/>
      <c r="AIW120" s="252"/>
      <c r="AIX120" s="252"/>
      <c r="AIY120" s="252"/>
      <c r="AIZ120" s="252"/>
      <c r="AJA120" s="252"/>
      <c r="AJB120" s="252"/>
      <c r="AJC120" s="252"/>
      <c r="AJD120" s="252"/>
      <c r="AJE120" s="252"/>
      <c r="AJF120" s="252"/>
      <c r="AJG120" s="252"/>
      <c r="AJH120" s="252"/>
      <c r="AJI120" s="252"/>
      <c r="AJJ120" s="252"/>
      <c r="AJK120" s="252"/>
      <c r="AJL120" s="252"/>
      <c r="AJM120" s="252"/>
      <c r="AJN120" s="252"/>
      <c r="AJO120" s="252"/>
      <c r="AJP120" s="252"/>
      <c r="AJQ120" s="252"/>
      <c r="AJR120" s="252"/>
      <c r="AJS120" s="252"/>
      <c r="AJT120" s="252"/>
      <c r="AJU120" s="252"/>
      <c r="AJV120" s="252"/>
      <c r="AJW120" s="252"/>
      <c r="AJX120" s="252"/>
      <c r="AJY120" s="252"/>
      <c r="AJZ120" s="252"/>
      <c r="AKA120" s="252"/>
      <c r="AKB120" s="252"/>
      <c r="AKC120" s="252"/>
      <c r="AKD120" s="252"/>
      <c r="AKE120" s="252"/>
      <c r="AKF120" s="252"/>
      <c r="AKG120" s="252"/>
      <c r="AKH120" s="252"/>
      <c r="AKI120" s="252"/>
      <c r="AKJ120" s="252"/>
      <c r="AKK120" s="252"/>
      <c r="AKL120" s="252"/>
      <c r="AKM120" s="252"/>
      <c r="AKN120" s="252"/>
      <c r="AKO120" s="252"/>
      <c r="AKP120" s="252"/>
      <c r="AKQ120" s="252"/>
      <c r="AKR120" s="252"/>
      <c r="AKS120" s="252"/>
      <c r="AKT120" s="252"/>
      <c r="AKU120" s="252"/>
      <c r="AKV120" s="252"/>
      <c r="AKW120" s="252"/>
      <c r="AKX120" s="252"/>
      <c r="AKY120" s="252"/>
      <c r="AKZ120" s="252"/>
      <c r="ALA120" s="252"/>
      <c r="ALB120" s="252"/>
      <c r="ALC120" s="252"/>
      <c r="ALD120" s="252"/>
      <c r="ALE120" s="252"/>
      <c r="ALF120" s="252"/>
      <c r="ALG120" s="252"/>
      <c r="ALH120" s="252"/>
      <c r="ALI120" s="252"/>
      <c r="ALJ120" s="252"/>
      <c r="ALK120" s="252"/>
      <c r="ALL120" s="252"/>
      <c r="ALM120" s="252"/>
      <c r="ALN120" s="252"/>
      <c r="ALO120" s="252"/>
      <c r="ALP120" s="252"/>
      <c r="ALQ120" s="252"/>
      <c r="ALR120" s="252"/>
      <c r="ALS120" s="252"/>
    </row>
    <row r="121" spans="1:1007" ht="14.25" x14ac:dyDescent="0.2">
      <c r="A121" s="359" t="s">
        <v>527</v>
      </c>
    </row>
    <row r="122" spans="1:1007" x14ac:dyDescent="0.2">
      <c r="A122" s="369" t="s">
        <v>293</v>
      </c>
      <c r="B122" s="356"/>
      <c r="C122" s="356"/>
      <c r="D122" s="356"/>
      <c r="E122" s="373"/>
      <c r="F122" s="356"/>
      <c r="G122" s="356"/>
      <c r="H122" s="356"/>
    </row>
    <row r="123" spans="1:1007" x14ac:dyDescent="0.2">
      <c r="A123" s="369" t="s">
        <v>289</v>
      </c>
      <c r="B123" s="374"/>
      <c r="C123" s="374"/>
      <c r="D123" s="374"/>
      <c r="E123" s="356"/>
      <c r="F123" s="356"/>
      <c r="G123" s="356"/>
      <c r="H123" s="356"/>
    </row>
    <row r="124" spans="1:1007" x14ac:dyDescent="0.2">
      <c r="A124" s="369" t="s">
        <v>296</v>
      </c>
      <c r="B124" s="374"/>
      <c r="C124" s="374"/>
      <c r="D124" s="374"/>
      <c r="E124" s="356"/>
      <c r="F124" s="356"/>
      <c r="G124" s="356"/>
      <c r="H124" s="356"/>
    </row>
    <row r="125" spans="1:1007" x14ac:dyDescent="0.2">
      <c r="A125" s="369" t="s">
        <v>287</v>
      </c>
      <c r="B125" s="374"/>
      <c r="C125" s="374"/>
      <c r="D125" s="374"/>
      <c r="E125" s="356"/>
      <c r="F125" s="356"/>
      <c r="G125" s="356"/>
      <c r="H125" s="356"/>
    </row>
    <row r="126" spans="1:1007" s="3" customFormat="1" x14ac:dyDescent="0.2">
      <c r="A126" s="369" t="s">
        <v>295</v>
      </c>
      <c r="B126" s="374"/>
      <c r="C126" s="374"/>
      <c r="D126" s="374"/>
      <c r="E126" s="356"/>
      <c r="F126" s="356"/>
      <c r="G126" s="356"/>
      <c r="H126" s="356"/>
      <c r="I126" s="252"/>
      <c r="J126" s="252"/>
      <c r="K126" s="252"/>
      <c r="L126" s="252"/>
      <c r="M126" s="252"/>
      <c r="N126" s="252"/>
      <c r="O126" s="252"/>
      <c r="P126" s="252"/>
      <c r="Q126" s="252"/>
      <c r="R126" s="252"/>
      <c r="S126" s="252"/>
      <c r="T126" s="252"/>
      <c r="U126" s="252"/>
      <c r="V126" s="252"/>
      <c r="W126" s="252"/>
      <c r="X126" s="252"/>
      <c r="Y126" s="252"/>
      <c r="Z126" s="252"/>
      <c r="AA126" s="252"/>
      <c r="AB126" s="252"/>
      <c r="AC126" s="252"/>
      <c r="AD126" s="252"/>
      <c r="AE126" s="252"/>
      <c r="AF126" s="252"/>
      <c r="AG126" s="252"/>
      <c r="AH126" s="252"/>
      <c r="AI126" s="252"/>
      <c r="AJ126" s="252"/>
      <c r="AK126" s="252"/>
      <c r="AL126" s="252"/>
      <c r="AM126" s="252"/>
      <c r="AN126" s="252"/>
      <c r="AO126" s="252"/>
      <c r="AP126" s="252"/>
      <c r="AQ126" s="252"/>
      <c r="AR126" s="252"/>
      <c r="AS126" s="252"/>
      <c r="AT126" s="252"/>
      <c r="AU126" s="252"/>
      <c r="AV126" s="252"/>
      <c r="AW126" s="252"/>
      <c r="AX126" s="252"/>
      <c r="AY126" s="252"/>
      <c r="AZ126" s="252"/>
      <c r="BA126" s="252"/>
      <c r="BB126" s="252"/>
      <c r="BC126" s="252"/>
      <c r="BD126" s="252"/>
      <c r="BE126" s="252"/>
      <c r="BF126" s="252"/>
      <c r="BG126" s="252"/>
      <c r="BH126" s="252"/>
      <c r="BI126" s="252"/>
      <c r="BJ126" s="252"/>
      <c r="BK126" s="252"/>
      <c r="BL126" s="252"/>
      <c r="BM126" s="252"/>
      <c r="BN126" s="252"/>
      <c r="BO126" s="252"/>
      <c r="BP126" s="252"/>
      <c r="BQ126" s="252"/>
      <c r="BR126" s="252"/>
      <c r="BS126" s="252"/>
      <c r="BT126" s="252"/>
      <c r="BU126" s="252"/>
      <c r="BV126" s="252"/>
      <c r="BW126" s="252"/>
      <c r="BX126" s="252"/>
      <c r="BY126" s="252"/>
      <c r="BZ126" s="252"/>
      <c r="CA126" s="252"/>
      <c r="CB126" s="252"/>
      <c r="CC126" s="252"/>
      <c r="CD126" s="252"/>
      <c r="CE126" s="252"/>
      <c r="CF126" s="252"/>
      <c r="CG126" s="252"/>
      <c r="CH126" s="252"/>
      <c r="CI126" s="252"/>
      <c r="CJ126" s="252"/>
      <c r="CK126" s="252"/>
      <c r="CL126" s="252"/>
      <c r="CM126" s="252"/>
      <c r="CN126" s="252"/>
      <c r="CO126" s="252"/>
      <c r="CP126" s="252"/>
      <c r="CQ126" s="252"/>
      <c r="CR126" s="252"/>
      <c r="CS126" s="252"/>
      <c r="CT126" s="252"/>
      <c r="CU126" s="252"/>
      <c r="CV126" s="252"/>
      <c r="CW126" s="252"/>
      <c r="CX126" s="252"/>
      <c r="CY126" s="252"/>
      <c r="CZ126" s="252"/>
      <c r="DA126" s="252"/>
      <c r="DB126" s="252"/>
      <c r="DC126" s="252"/>
      <c r="DD126" s="252"/>
      <c r="DE126" s="252"/>
      <c r="DF126" s="252"/>
      <c r="DG126" s="252"/>
      <c r="DH126" s="252"/>
      <c r="DI126" s="252"/>
      <c r="DJ126" s="252"/>
      <c r="DK126" s="252"/>
      <c r="DL126" s="252"/>
      <c r="DM126" s="252"/>
      <c r="DN126" s="252"/>
      <c r="DO126" s="252"/>
      <c r="DP126" s="252"/>
      <c r="DQ126" s="252"/>
      <c r="DR126" s="252"/>
      <c r="DS126" s="252"/>
      <c r="DT126" s="252"/>
      <c r="DU126" s="252"/>
      <c r="DV126" s="252"/>
      <c r="DW126" s="252"/>
      <c r="DX126" s="252"/>
      <c r="DY126" s="252"/>
      <c r="DZ126" s="252"/>
      <c r="EA126" s="252"/>
      <c r="EB126" s="252"/>
      <c r="EC126" s="252"/>
      <c r="ED126" s="252"/>
      <c r="EE126" s="252"/>
      <c r="EF126" s="252"/>
      <c r="EG126" s="252"/>
      <c r="EH126" s="252"/>
      <c r="EI126" s="252"/>
      <c r="EJ126" s="252"/>
      <c r="EK126" s="252"/>
      <c r="EL126" s="252"/>
      <c r="EM126" s="252"/>
      <c r="EN126" s="252"/>
      <c r="EO126" s="252"/>
      <c r="EP126" s="252"/>
      <c r="EQ126" s="252"/>
      <c r="ER126" s="252"/>
      <c r="ES126" s="252"/>
      <c r="ET126" s="252"/>
      <c r="EU126" s="252"/>
      <c r="EV126" s="252"/>
      <c r="EW126" s="252"/>
      <c r="EX126" s="252"/>
      <c r="EY126" s="252"/>
      <c r="EZ126" s="252"/>
      <c r="FA126" s="252"/>
      <c r="FB126" s="252"/>
      <c r="FC126" s="252"/>
      <c r="FD126" s="252"/>
      <c r="FE126" s="252"/>
      <c r="FF126" s="252"/>
      <c r="FG126" s="252"/>
      <c r="FH126" s="252"/>
      <c r="FI126" s="252"/>
      <c r="FJ126" s="252"/>
      <c r="FK126" s="252"/>
      <c r="FL126" s="252"/>
      <c r="FM126" s="252"/>
      <c r="FN126" s="252"/>
      <c r="FO126" s="252"/>
      <c r="FP126" s="252"/>
      <c r="FQ126" s="252"/>
      <c r="FR126" s="252"/>
      <c r="FS126" s="252"/>
      <c r="FT126" s="252"/>
      <c r="FU126" s="252"/>
      <c r="FV126" s="252"/>
      <c r="FW126" s="252"/>
      <c r="FX126" s="252"/>
      <c r="FY126" s="252"/>
      <c r="FZ126" s="252"/>
      <c r="GA126" s="252"/>
      <c r="GB126" s="252"/>
      <c r="GC126" s="252"/>
      <c r="GD126" s="252"/>
      <c r="GE126" s="252"/>
      <c r="GF126" s="252"/>
      <c r="GG126" s="252"/>
      <c r="GH126" s="252"/>
      <c r="GI126" s="252"/>
      <c r="GJ126" s="252"/>
      <c r="GK126" s="252"/>
      <c r="GL126" s="252"/>
      <c r="GM126" s="252"/>
      <c r="GN126" s="252"/>
      <c r="GO126" s="252"/>
      <c r="GP126" s="252"/>
      <c r="GQ126" s="252"/>
      <c r="GR126" s="252"/>
      <c r="GS126" s="252"/>
      <c r="GT126" s="252"/>
      <c r="GU126" s="252"/>
      <c r="GV126" s="252"/>
      <c r="GW126" s="252"/>
      <c r="GX126" s="252"/>
      <c r="GY126" s="252"/>
      <c r="GZ126" s="252"/>
      <c r="HA126" s="252"/>
      <c r="HB126" s="252"/>
      <c r="HC126" s="252"/>
      <c r="HD126" s="252"/>
      <c r="HE126" s="252"/>
      <c r="HF126" s="252"/>
      <c r="HG126" s="252"/>
      <c r="HH126" s="252"/>
      <c r="HI126" s="252"/>
      <c r="HJ126" s="252"/>
      <c r="HK126" s="252"/>
      <c r="HL126" s="252"/>
      <c r="HM126" s="252"/>
      <c r="HN126" s="252"/>
      <c r="HO126" s="252"/>
      <c r="HP126" s="252"/>
      <c r="HQ126" s="252"/>
      <c r="HR126" s="252"/>
      <c r="HS126" s="252"/>
      <c r="HT126" s="252"/>
      <c r="HU126" s="252"/>
      <c r="HV126" s="252"/>
      <c r="HW126" s="252"/>
      <c r="HX126" s="252"/>
      <c r="HY126" s="252"/>
      <c r="HZ126" s="252"/>
      <c r="IA126" s="252"/>
      <c r="IB126" s="252"/>
      <c r="IC126" s="252"/>
      <c r="ID126" s="252"/>
      <c r="IE126" s="252"/>
      <c r="IF126" s="252"/>
      <c r="IG126" s="252"/>
      <c r="IH126" s="252"/>
      <c r="II126" s="252"/>
      <c r="IJ126" s="252"/>
      <c r="IK126" s="252"/>
      <c r="IL126" s="252"/>
      <c r="IM126" s="252"/>
      <c r="IN126" s="252"/>
      <c r="IO126" s="252"/>
      <c r="IP126" s="252"/>
      <c r="IQ126" s="252"/>
      <c r="IR126" s="252"/>
      <c r="IS126" s="252"/>
      <c r="IT126" s="252"/>
      <c r="IU126" s="252"/>
      <c r="IV126" s="252"/>
      <c r="IW126" s="252"/>
      <c r="IX126" s="252"/>
      <c r="IY126" s="252"/>
      <c r="IZ126" s="252"/>
      <c r="JA126" s="252"/>
      <c r="JB126" s="252"/>
      <c r="JC126" s="252"/>
      <c r="JD126" s="252"/>
      <c r="JE126" s="252"/>
      <c r="JF126" s="252"/>
      <c r="JG126" s="252"/>
      <c r="JH126" s="252"/>
      <c r="JI126" s="252"/>
      <c r="JJ126" s="252"/>
      <c r="JK126" s="252"/>
      <c r="JL126" s="252"/>
      <c r="JM126" s="252"/>
      <c r="JN126" s="252"/>
      <c r="JO126" s="252"/>
      <c r="JP126" s="252"/>
      <c r="JQ126" s="252"/>
      <c r="JR126" s="252"/>
      <c r="JS126" s="252"/>
      <c r="JT126" s="252"/>
      <c r="JU126" s="252"/>
      <c r="JV126" s="252"/>
      <c r="JW126" s="252"/>
      <c r="JX126" s="252"/>
      <c r="JY126" s="252"/>
      <c r="JZ126" s="252"/>
      <c r="KA126" s="252"/>
      <c r="KB126" s="252"/>
      <c r="KC126" s="252"/>
      <c r="KD126" s="252"/>
      <c r="KE126" s="252"/>
      <c r="KF126" s="252"/>
      <c r="KG126" s="252"/>
      <c r="KH126" s="252"/>
      <c r="KI126" s="252"/>
      <c r="KJ126" s="252"/>
      <c r="KK126" s="252"/>
      <c r="KL126" s="252"/>
      <c r="KM126" s="252"/>
      <c r="KN126" s="252"/>
      <c r="KO126" s="252"/>
      <c r="KP126" s="252"/>
      <c r="KQ126" s="252"/>
      <c r="KR126" s="252"/>
      <c r="KS126" s="252"/>
      <c r="KT126" s="252"/>
      <c r="KU126" s="252"/>
      <c r="KV126" s="252"/>
      <c r="KW126" s="252"/>
      <c r="KX126" s="252"/>
      <c r="KY126" s="252"/>
      <c r="KZ126" s="252"/>
      <c r="LA126" s="252"/>
      <c r="LB126" s="252"/>
      <c r="LC126" s="252"/>
      <c r="LD126" s="252"/>
      <c r="LE126" s="252"/>
      <c r="LF126" s="252"/>
      <c r="LG126" s="252"/>
      <c r="LH126" s="252"/>
      <c r="LI126" s="252"/>
      <c r="LJ126" s="252"/>
      <c r="LK126" s="252"/>
      <c r="LL126" s="252"/>
      <c r="LM126" s="252"/>
      <c r="LN126" s="252"/>
      <c r="LO126" s="252"/>
      <c r="LP126" s="252"/>
      <c r="LQ126" s="252"/>
      <c r="LR126" s="252"/>
      <c r="LS126" s="252"/>
      <c r="LT126" s="252"/>
      <c r="LU126" s="252"/>
      <c r="LV126" s="252"/>
      <c r="LW126" s="252"/>
      <c r="LX126" s="252"/>
      <c r="LY126" s="252"/>
      <c r="LZ126" s="252"/>
      <c r="MA126" s="252"/>
      <c r="MB126" s="252"/>
      <c r="MC126" s="252"/>
      <c r="MD126" s="252"/>
      <c r="ME126" s="252"/>
      <c r="MF126" s="252"/>
      <c r="MG126" s="252"/>
      <c r="MH126" s="252"/>
      <c r="MI126" s="252"/>
      <c r="MJ126" s="252"/>
      <c r="MK126" s="252"/>
      <c r="ML126" s="252"/>
      <c r="MM126" s="252"/>
      <c r="MN126" s="252"/>
      <c r="MO126" s="252"/>
      <c r="MP126" s="252"/>
      <c r="MQ126" s="252"/>
      <c r="MR126" s="252"/>
      <c r="MS126" s="252"/>
      <c r="MT126" s="252"/>
      <c r="MU126" s="252"/>
      <c r="MV126" s="252"/>
      <c r="MW126" s="252"/>
      <c r="MX126" s="252"/>
      <c r="MY126" s="252"/>
      <c r="MZ126" s="252"/>
      <c r="NA126" s="252"/>
      <c r="NB126" s="252"/>
      <c r="NC126" s="252"/>
      <c r="ND126" s="252"/>
      <c r="NE126" s="252"/>
      <c r="NF126" s="252"/>
      <c r="NG126" s="252"/>
      <c r="NH126" s="252"/>
      <c r="NI126" s="252"/>
      <c r="NJ126" s="252"/>
      <c r="NK126" s="252"/>
      <c r="NL126" s="252"/>
      <c r="NM126" s="252"/>
      <c r="NN126" s="252"/>
      <c r="NO126" s="252"/>
      <c r="NP126" s="252"/>
      <c r="NQ126" s="252"/>
      <c r="NR126" s="252"/>
      <c r="NS126" s="252"/>
      <c r="NT126" s="252"/>
      <c r="NU126" s="252"/>
      <c r="NV126" s="252"/>
      <c r="NW126" s="252"/>
      <c r="NX126" s="252"/>
      <c r="NY126" s="252"/>
      <c r="NZ126" s="252"/>
      <c r="OA126" s="252"/>
      <c r="OB126" s="252"/>
      <c r="OC126" s="252"/>
      <c r="OD126" s="252"/>
      <c r="OE126" s="252"/>
      <c r="OF126" s="252"/>
      <c r="OG126" s="252"/>
      <c r="OH126" s="252"/>
      <c r="OI126" s="252"/>
      <c r="OJ126" s="252"/>
      <c r="OK126" s="252"/>
      <c r="OL126" s="252"/>
      <c r="OM126" s="252"/>
      <c r="ON126" s="252"/>
      <c r="OO126" s="252"/>
      <c r="OP126" s="252"/>
      <c r="OQ126" s="252"/>
      <c r="OR126" s="252"/>
      <c r="OS126" s="252"/>
      <c r="OT126" s="252"/>
      <c r="OU126" s="252"/>
      <c r="OV126" s="252"/>
      <c r="OW126" s="252"/>
      <c r="OX126" s="252"/>
      <c r="OY126" s="252"/>
      <c r="OZ126" s="252"/>
      <c r="PA126" s="252"/>
      <c r="PB126" s="252"/>
      <c r="PC126" s="252"/>
      <c r="PD126" s="252"/>
      <c r="PE126" s="252"/>
      <c r="PF126" s="252"/>
      <c r="PG126" s="252"/>
      <c r="PH126" s="252"/>
      <c r="PI126" s="252"/>
      <c r="PJ126" s="252"/>
      <c r="PK126" s="252"/>
      <c r="PL126" s="252"/>
      <c r="PM126" s="252"/>
      <c r="PN126" s="252"/>
      <c r="PO126" s="252"/>
      <c r="PP126" s="252"/>
      <c r="PQ126" s="252"/>
      <c r="PR126" s="252"/>
      <c r="PS126" s="252"/>
      <c r="PT126" s="252"/>
      <c r="PU126" s="252"/>
      <c r="PV126" s="252"/>
      <c r="PW126" s="252"/>
      <c r="PX126" s="252"/>
      <c r="PY126" s="252"/>
      <c r="PZ126" s="252"/>
      <c r="QA126" s="252"/>
      <c r="QB126" s="252"/>
      <c r="QC126" s="252"/>
      <c r="QD126" s="252"/>
      <c r="QE126" s="252"/>
      <c r="QF126" s="252"/>
      <c r="QG126" s="252"/>
      <c r="QH126" s="252"/>
      <c r="QI126" s="252"/>
      <c r="QJ126" s="252"/>
      <c r="QK126" s="252"/>
      <c r="QL126" s="252"/>
      <c r="QM126" s="252"/>
      <c r="QN126" s="252"/>
      <c r="QO126" s="252"/>
      <c r="QP126" s="252"/>
      <c r="QQ126" s="252"/>
      <c r="QR126" s="252"/>
      <c r="QS126" s="252"/>
      <c r="QT126" s="252"/>
      <c r="QU126" s="252"/>
      <c r="QV126" s="252"/>
      <c r="QW126" s="252"/>
      <c r="QX126" s="252"/>
      <c r="QY126" s="252"/>
      <c r="QZ126" s="252"/>
      <c r="RA126" s="252"/>
      <c r="RB126" s="252"/>
      <c r="RC126" s="252"/>
      <c r="RD126" s="252"/>
      <c r="RE126" s="252"/>
      <c r="RF126" s="252"/>
      <c r="RG126" s="252"/>
      <c r="RH126" s="252"/>
      <c r="RI126" s="252"/>
      <c r="RJ126" s="252"/>
      <c r="RK126" s="252"/>
      <c r="RL126" s="252"/>
      <c r="RM126" s="252"/>
      <c r="RN126" s="252"/>
      <c r="RO126" s="252"/>
      <c r="RP126" s="252"/>
      <c r="RQ126" s="252"/>
      <c r="RR126" s="252"/>
      <c r="RS126" s="252"/>
      <c r="RT126" s="252"/>
      <c r="RU126" s="252"/>
      <c r="RV126" s="252"/>
      <c r="RW126" s="252"/>
      <c r="RX126" s="252"/>
      <c r="RY126" s="252"/>
      <c r="RZ126" s="252"/>
      <c r="SA126" s="252"/>
      <c r="SB126" s="252"/>
      <c r="SC126" s="252"/>
      <c r="SD126" s="252"/>
      <c r="SE126" s="252"/>
      <c r="SF126" s="252"/>
      <c r="SG126" s="252"/>
      <c r="SH126" s="252"/>
      <c r="SI126" s="252"/>
      <c r="SJ126" s="252"/>
      <c r="SK126" s="252"/>
      <c r="SL126" s="252"/>
      <c r="SM126" s="252"/>
      <c r="SN126" s="252"/>
      <c r="SO126" s="252"/>
      <c r="SP126" s="252"/>
      <c r="SQ126" s="252"/>
      <c r="SR126" s="252"/>
      <c r="SS126" s="252"/>
      <c r="ST126" s="252"/>
      <c r="SU126" s="252"/>
      <c r="SV126" s="252"/>
      <c r="SW126" s="252"/>
      <c r="SX126" s="252"/>
      <c r="SY126" s="252"/>
      <c r="SZ126" s="252"/>
      <c r="TA126" s="252"/>
      <c r="TB126" s="252"/>
      <c r="TC126" s="252"/>
      <c r="TD126" s="252"/>
      <c r="TE126" s="252"/>
      <c r="TF126" s="252"/>
      <c r="TG126" s="252"/>
      <c r="TH126" s="252"/>
      <c r="TI126" s="252"/>
      <c r="TJ126" s="252"/>
      <c r="TK126" s="252"/>
      <c r="TL126" s="252"/>
      <c r="TM126" s="252"/>
      <c r="TN126" s="252"/>
      <c r="TO126" s="252"/>
      <c r="TP126" s="252"/>
      <c r="TQ126" s="252"/>
      <c r="TR126" s="252"/>
      <c r="TS126" s="252"/>
      <c r="TT126" s="252"/>
      <c r="TU126" s="252"/>
      <c r="TV126" s="252"/>
      <c r="TW126" s="252"/>
      <c r="TX126" s="252"/>
      <c r="TY126" s="252"/>
      <c r="TZ126" s="252"/>
      <c r="UA126" s="252"/>
      <c r="UB126" s="252"/>
      <c r="UC126" s="252"/>
      <c r="UD126" s="252"/>
      <c r="UE126" s="252"/>
      <c r="UF126" s="252"/>
      <c r="UG126" s="252"/>
      <c r="UH126" s="252"/>
      <c r="UI126" s="252"/>
      <c r="UJ126" s="252"/>
      <c r="UK126" s="252"/>
      <c r="UL126" s="252"/>
      <c r="UM126" s="252"/>
      <c r="UN126" s="252"/>
      <c r="UO126" s="252"/>
      <c r="UP126" s="252"/>
      <c r="UQ126" s="252"/>
      <c r="UR126" s="252"/>
      <c r="US126" s="252"/>
      <c r="UT126" s="252"/>
      <c r="UU126" s="252"/>
      <c r="UV126" s="252"/>
      <c r="UW126" s="252"/>
      <c r="UX126" s="252"/>
      <c r="UY126" s="252"/>
      <c r="UZ126" s="252"/>
      <c r="VA126" s="252"/>
      <c r="VB126" s="252"/>
      <c r="VC126" s="252"/>
      <c r="VD126" s="252"/>
      <c r="VE126" s="252"/>
      <c r="VF126" s="252"/>
      <c r="VG126" s="252"/>
      <c r="VH126" s="252"/>
      <c r="VI126" s="252"/>
      <c r="VJ126" s="252"/>
      <c r="VK126" s="252"/>
      <c r="VL126" s="252"/>
      <c r="VM126" s="252"/>
      <c r="VN126" s="252"/>
      <c r="VO126" s="252"/>
      <c r="VP126" s="252"/>
      <c r="VQ126" s="252"/>
      <c r="VR126" s="252"/>
      <c r="VS126" s="252"/>
      <c r="VT126" s="252"/>
      <c r="VU126" s="252"/>
      <c r="VV126" s="252"/>
      <c r="VW126" s="252"/>
      <c r="VX126" s="252"/>
      <c r="VY126" s="252"/>
      <c r="VZ126" s="252"/>
      <c r="WA126" s="252"/>
      <c r="WB126" s="252"/>
      <c r="WC126" s="252"/>
      <c r="WD126" s="252"/>
      <c r="WE126" s="252"/>
      <c r="WF126" s="252"/>
      <c r="WG126" s="252"/>
      <c r="WH126" s="252"/>
      <c r="WI126" s="252"/>
      <c r="WJ126" s="252"/>
      <c r="WK126" s="252"/>
      <c r="WL126" s="252"/>
      <c r="WM126" s="252"/>
      <c r="WN126" s="252"/>
      <c r="WO126" s="252"/>
      <c r="WP126" s="252"/>
      <c r="WQ126" s="252"/>
      <c r="WR126" s="252"/>
      <c r="WS126" s="252"/>
      <c r="WT126" s="252"/>
      <c r="WU126" s="252"/>
      <c r="WV126" s="252"/>
      <c r="WW126" s="252"/>
      <c r="WX126" s="252"/>
      <c r="WY126" s="252"/>
      <c r="WZ126" s="252"/>
      <c r="XA126" s="252"/>
      <c r="XB126" s="252"/>
      <c r="XC126" s="252"/>
      <c r="XD126" s="252"/>
      <c r="XE126" s="252"/>
      <c r="XF126" s="252"/>
      <c r="XG126" s="252"/>
      <c r="XH126" s="252"/>
      <c r="XI126" s="252"/>
      <c r="XJ126" s="252"/>
      <c r="XK126" s="252"/>
      <c r="XL126" s="252"/>
      <c r="XM126" s="252"/>
      <c r="XN126" s="252"/>
      <c r="XO126" s="252"/>
      <c r="XP126" s="252"/>
      <c r="XQ126" s="252"/>
      <c r="XR126" s="252"/>
      <c r="XS126" s="252"/>
      <c r="XT126" s="252"/>
      <c r="XU126" s="252"/>
      <c r="XV126" s="252"/>
      <c r="XW126" s="252"/>
      <c r="XX126" s="252"/>
      <c r="XY126" s="252"/>
      <c r="XZ126" s="252"/>
      <c r="YA126" s="252"/>
      <c r="YB126" s="252"/>
      <c r="YC126" s="252"/>
      <c r="YD126" s="252"/>
      <c r="YE126" s="252"/>
      <c r="YF126" s="252"/>
      <c r="YG126" s="252"/>
      <c r="YH126" s="252"/>
      <c r="YI126" s="252"/>
      <c r="YJ126" s="252"/>
      <c r="YK126" s="252"/>
      <c r="YL126" s="252"/>
      <c r="YM126" s="252"/>
      <c r="YN126" s="252"/>
      <c r="YO126" s="252"/>
      <c r="YP126" s="252"/>
      <c r="YQ126" s="252"/>
      <c r="YR126" s="252"/>
      <c r="YS126" s="252"/>
      <c r="YT126" s="252"/>
      <c r="YU126" s="252"/>
      <c r="YV126" s="252"/>
      <c r="YW126" s="252"/>
      <c r="YX126" s="252"/>
      <c r="YY126" s="252"/>
      <c r="YZ126" s="252"/>
      <c r="ZA126" s="252"/>
      <c r="ZB126" s="252"/>
      <c r="ZC126" s="252"/>
      <c r="ZD126" s="252"/>
      <c r="ZE126" s="252"/>
      <c r="ZF126" s="252"/>
      <c r="ZG126" s="252"/>
      <c r="ZH126" s="252"/>
      <c r="ZI126" s="252"/>
      <c r="ZJ126" s="252"/>
      <c r="ZK126" s="252"/>
      <c r="ZL126" s="252"/>
      <c r="ZM126" s="252"/>
      <c r="ZN126" s="252"/>
      <c r="ZO126" s="252"/>
      <c r="ZP126" s="252"/>
      <c r="ZQ126" s="252"/>
      <c r="ZR126" s="252"/>
      <c r="ZS126" s="252"/>
      <c r="ZT126" s="252"/>
      <c r="ZU126" s="252"/>
      <c r="ZV126" s="252"/>
      <c r="ZW126" s="252"/>
      <c r="ZX126" s="252"/>
      <c r="ZY126" s="252"/>
      <c r="ZZ126" s="252"/>
      <c r="AAA126" s="252"/>
      <c r="AAB126" s="252"/>
      <c r="AAC126" s="252"/>
      <c r="AAD126" s="252"/>
      <c r="AAE126" s="252"/>
      <c r="AAF126" s="252"/>
      <c r="AAG126" s="252"/>
      <c r="AAH126" s="252"/>
      <c r="AAI126" s="252"/>
      <c r="AAJ126" s="252"/>
      <c r="AAK126" s="252"/>
      <c r="AAL126" s="252"/>
      <c r="AAM126" s="252"/>
      <c r="AAN126" s="252"/>
      <c r="AAO126" s="252"/>
      <c r="AAP126" s="252"/>
      <c r="AAQ126" s="252"/>
      <c r="AAR126" s="252"/>
      <c r="AAS126" s="252"/>
      <c r="AAT126" s="252"/>
      <c r="AAU126" s="252"/>
      <c r="AAV126" s="252"/>
      <c r="AAW126" s="252"/>
      <c r="AAX126" s="252"/>
      <c r="AAY126" s="252"/>
      <c r="AAZ126" s="252"/>
      <c r="ABA126" s="252"/>
      <c r="ABB126" s="252"/>
      <c r="ABC126" s="252"/>
      <c r="ABD126" s="252"/>
      <c r="ABE126" s="252"/>
      <c r="ABF126" s="252"/>
      <c r="ABG126" s="252"/>
      <c r="ABH126" s="252"/>
      <c r="ABI126" s="252"/>
      <c r="ABJ126" s="252"/>
      <c r="ABK126" s="252"/>
      <c r="ABL126" s="252"/>
      <c r="ABM126" s="252"/>
      <c r="ABN126" s="252"/>
      <c r="ABO126" s="252"/>
      <c r="ABP126" s="252"/>
      <c r="ABQ126" s="252"/>
      <c r="ABR126" s="252"/>
      <c r="ABS126" s="252"/>
      <c r="ABT126" s="252"/>
      <c r="ABU126" s="252"/>
      <c r="ABV126" s="252"/>
      <c r="ABW126" s="252"/>
      <c r="ABX126" s="252"/>
      <c r="ABY126" s="252"/>
      <c r="ABZ126" s="252"/>
      <c r="ACA126" s="252"/>
      <c r="ACB126" s="252"/>
      <c r="ACC126" s="252"/>
      <c r="ACD126" s="252"/>
      <c r="ACE126" s="252"/>
      <c r="ACF126" s="252"/>
      <c r="ACG126" s="252"/>
      <c r="ACH126" s="252"/>
      <c r="ACI126" s="252"/>
      <c r="ACJ126" s="252"/>
      <c r="ACK126" s="252"/>
      <c r="ACL126" s="252"/>
      <c r="ACM126" s="252"/>
      <c r="ACN126" s="252"/>
      <c r="ACO126" s="252"/>
      <c r="ACP126" s="252"/>
      <c r="ACQ126" s="252"/>
      <c r="ACR126" s="252"/>
      <c r="ACS126" s="252"/>
      <c r="ACT126" s="252"/>
      <c r="ACU126" s="252"/>
      <c r="ACV126" s="252"/>
      <c r="ACW126" s="252"/>
      <c r="ACX126" s="252"/>
      <c r="ACY126" s="252"/>
      <c r="ACZ126" s="252"/>
      <c r="ADA126" s="252"/>
      <c r="ADB126" s="252"/>
      <c r="ADC126" s="252"/>
      <c r="ADD126" s="252"/>
      <c r="ADE126" s="252"/>
      <c r="ADF126" s="252"/>
      <c r="ADG126" s="252"/>
      <c r="ADH126" s="252"/>
      <c r="ADI126" s="252"/>
      <c r="ADJ126" s="252"/>
      <c r="ADK126" s="252"/>
      <c r="ADL126" s="252"/>
      <c r="ADM126" s="252"/>
      <c r="ADN126" s="252"/>
      <c r="ADO126" s="252"/>
      <c r="ADP126" s="252"/>
      <c r="ADQ126" s="252"/>
      <c r="ADR126" s="252"/>
      <c r="ADS126" s="252"/>
      <c r="ADT126" s="252"/>
      <c r="ADU126" s="252"/>
      <c r="ADV126" s="252"/>
      <c r="ADW126" s="252"/>
      <c r="ADX126" s="252"/>
      <c r="ADY126" s="252"/>
      <c r="ADZ126" s="252"/>
      <c r="AEA126" s="252"/>
      <c r="AEB126" s="252"/>
      <c r="AEC126" s="252"/>
      <c r="AED126" s="252"/>
      <c r="AEE126" s="252"/>
      <c r="AEF126" s="252"/>
      <c r="AEG126" s="252"/>
      <c r="AEH126" s="252"/>
      <c r="AEI126" s="252"/>
      <c r="AEJ126" s="252"/>
      <c r="AEK126" s="252"/>
      <c r="AEL126" s="252"/>
      <c r="AEM126" s="252"/>
      <c r="AEN126" s="252"/>
      <c r="AEO126" s="252"/>
      <c r="AEP126" s="252"/>
      <c r="AEQ126" s="252"/>
      <c r="AER126" s="252"/>
      <c r="AES126" s="252"/>
      <c r="AET126" s="252"/>
      <c r="AEU126" s="252"/>
      <c r="AEV126" s="252"/>
      <c r="AEW126" s="252"/>
      <c r="AEX126" s="252"/>
      <c r="AEY126" s="252"/>
      <c r="AEZ126" s="252"/>
      <c r="AFA126" s="252"/>
      <c r="AFB126" s="252"/>
      <c r="AFC126" s="252"/>
      <c r="AFD126" s="252"/>
      <c r="AFE126" s="252"/>
      <c r="AFF126" s="252"/>
      <c r="AFG126" s="252"/>
      <c r="AFH126" s="252"/>
      <c r="AFI126" s="252"/>
      <c r="AFJ126" s="252"/>
      <c r="AFK126" s="252"/>
      <c r="AFL126" s="252"/>
      <c r="AFM126" s="252"/>
      <c r="AFN126" s="252"/>
      <c r="AFO126" s="252"/>
      <c r="AFP126" s="252"/>
      <c r="AFQ126" s="252"/>
      <c r="AFR126" s="252"/>
      <c r="AFS126" s="252"/>
      <c r="AFT126" s="252"/>
      <c r="AFU126" s="252"/>
      <c r="AFV126" s="252"/>
      <c r="AFW126" s="252"/>
      <c r="AFX126" s="252"/>
      <c r="AFY126" s="252"/>
      <c r="AFZ126" s="252"/>
      <c r="AGA126" s="252"/>
      <c r="AGB126" s="252"/>
      <c r="AGC126" s="252"/>
      <c r="AGD126" s="252"/>
      <c r="AGE126" s="252"/>
      <c r="AGF126" s="252"/>
      <c r="AGG126" s="252"/>
      <c r="AGH126" s="252"/>
      <c r="AGI126" s="252"/>
      <c r="AGJ126" s="252"/>
      <c r="AGK126" s="252"/>
      <c r="AGL126" s="252"/>
      <c r="AGM126" s="252"/>
      <c r="AGN126" s="252"/>
      <c r="AGO126" s="252"/>
      <c r="AGP126" s="252"/>
      <c r="AGQ126" s="252"/>
      <c r="AGR126" s="252"/>
      <c r="AGS126" s="252"/>
      <c r="AGT126" s="252"/>
      <c r="AGU126" s="252"/>
      <c r="AGV126" s="252"/>
      <c r="AGW126" s="252"/>
      <c r="AGX126" s="252"/>
      <c r="AGY126" s="252"/>
      <c r="AGZ126" s="252"/>
      <c r="AHA126" s="252"/>
      <c r="AHB126" s="252"/>
      <c r="AHC126" s="252"/>
      <c r="AHD126" s="252"/>
      <c r="AHE126" s="252"/>
      <c r="AHF126" s="252"/>
      <c r="AHG126" s="252"/>
      <c r="AHH126" s="252"/>
      <c r="AHI126" s="252"/>
      <c r="AHJ126" s="252"/>
      <c r="AHK126" s="252"/>
      <c r="AHL126" s="252"/>
      <c r="AHM126" s="252"/>
      <c r="AHN126" s="252"/>
      <c r="AHO126" s="252"/>
      <c r="AHP126" s="252"/>
      <c r="AHQ126" s="252"/>
      <c r="AHR126" s="252"/>
      <c r="AHS126" s="252"/>
      <c r="AHT126" s="252"/>
      <c r="AHU126" s="252"/>
      <c r="AHV126" s="252"/>
      <c r="AHW126" s="252"/>
      <c r="AHX126" s="252"/>
      <c r="AHY126" s="252"/>
      <c r="AHZ126" s="252"/>
      <c r="AIA126" s="252"/>
      <c r="AIB126" s="252"/>
      <c r="AIC126" s="252"/>
      <c r="AID126" s="252"/>
      <c r="AIE126" s="252"/>
      <c r="AIF126" s="252"/>
      <c r="AIG126" s="252"/>
      <c r="AIH126" s="252"/>
      <c r="AII126" s="252"/>
      <c r="AIJ126" s="252"/>
      <c r="AIK126" s="252"/>
      <c r="AIL126" s="252"/>
      <c r="AIM126" s="252"/>
      <c r="AIN126" s="252"/>
      <c r="AIO126" s="252"/>
      <c r="AIP126" s="252"/>
      <c r="AIQ126" s="252"/>
      <c r="AIR126" s="252"/>
      <c r="AIS126" s="252"/>
      <c r="AIT126" s="252"/>
      <c r="AIU126" s="252"/>
      <c r="AIV126" s="252"/>
      <c r="AIW126" s="252"/>
      <c r="AIX126" s="252"/>
      <c r="AIY126" s="252"/>
      <c r="AIZ126" s="252"/>
      <c r="AJA126" s="252"/>
      <c r="AJB126" s="252"/>
      <c r="AJC126" s="252"/>
      <c r="AJD126" s="252"/>
      <c r="AJE126" s="252"/>
      <c r="AJF126" s="252"/>
      <c r="AJG126" s="252"/>
      <c r="AJH126" s="252"/>
      <c r="AJI126" s="252"/>
      <c r="AJJ126" s="252"/>
      <c r="AJK126" s="252"/>
      <c r="AJL126" s="252"/>
      <c r="AJM126" s="252"/>
      <c r="AJN126" s="252"/>
      <c r="AJO126" s="252"/>
      <c r="AJP126" s="252"/>
      <c r="AJQ126" s="252"/>
      <c r="AJR126" s="252"/>
      <c r="AJS126" s="252"/>
      <c r="AJT126" s="252"/>
      <c r="AJU126" s="252"/>
      <c r="AJV126" s="252"/>
      <c r="AJW126" s="252"/>
      <c r="AJX126" s="252"/>
      <c r="AJY126" s="252"/>
      <c r="AJZ126" s="252"/>
      <c r="AKA126" s="252"/>
      <c r="AKB126" s="252"/>
      <c r="AKC126" s="252"/>
      <c r="AKD126" s="252"/>
      <c r="AKE126" s="252"/>
      <c r="AKF126" s="252"/>
      <c r="AKG126" s="252"/>
      <c r="AKH126" s="252"/>
      <c r="AKI126" s="252"/>
      <c r="AKJ126" s="252"/>
      <c r="AKK126" s="252"/>
      <c r="AKL126" s="252"/>
      <c r="AKM126" s="252"/>
      <c r="AKN126" s="252"/>
      <c r="AKO126" s="252"/>
      <c r="AKP126" s="252"/>
      <c r="AKQ126" s="252"/>
      <c r="AKR126" s="252"/>
      <c r="AKS126" s="252"/>
      <c r="AKT126" s="252"/>
      <c r="AKU126" s="252"/>
      <c r="AKV126" s="252"/>
      <c r="AKW126" s="252"/>
      <c r="AKX126" s="252"/>
      <c r="AKY126" s="252"/>
      <c r="AKZ126" s="252"/>
      <c r="ALA126" s="252"/>
      <c r="ALB126" s="252"/>
      <c r="ALC126" s="252"/>
      <c r="ALD126" s="252"/>
      <c r="ALE126" s="252"/>
      <c r="ALF126" s="252"/>
      <c r="ALG126" s="252"/>
      <c r="ALH126" s="252"/>
      <c r="ALI126" s="252"/>
      <c r="ALJ126" s="252"/>
      <c r="ALK126" s="252"/>
      <c r="ALL126" s="252"/>
      <c r="ALM126" s="252"/>
      <c r="ALN126" s="252"/>
      <c r="ALO126" s="252"/>
      <c r="ALP126" s="252"/>
      <c r="ALQ126" s="252"/>
      <c r="ALR126" s="252"/>
      <c r="ALS126" s="252"/>
    </row>
    <row r="127" spans="1:1007" x14ac:dyDescent="0.2">
      <c r="A127" s="369" t="s">
        <v>528</v>
      </c>
      <c r="B127" s="374"/>
      <c r="C127" s="374"/>
      <c r="D127" s="374"/>
      <c r="E127" s="356"/>
      <c r="F127" s="356"/>
      <c r="G127" s="356"/>
      <c r="H127" s="356"/>
    </row>
    <row r="128" spans="1:1007" x14ac:dyDescent="0.2">
      <c r="A128" s="369" t="s">
        <v>531</v>
      </c>
      <c r="B128" s="374"/>
      <c r="C128" s="374"/>
      <c r="D128" s="374"/>
      <c r="E128" s="356"/>
      <c r="F128" s="356"/>
      <c r="G128" s="356"/>
      <c r="H128" s="356"/>
    </row>
    <row r="129" spans="1:8" x14ac:dyDescent="0.2">
      <c r="A129" s="369" t="s">
        <v>529</v>
      </c>
      <c r="B129" s="374"/>
      <c r="C129" s="374"/>
      <c r="D129" s="374"/>
      <c r="E129" s="356"/>
      <c r="F129" s="356"/>
      <c r="G129" s="356"/>
      <c r="H129" s="356"/>
    </row>
    <row r="130" spans="1:8" x14ac:dyDescent="0.2">
      <c r="A130" s="369" t="s">
        <v>530</v>
      </c>
      <c r="B130" s="374"/>
      <c r="C130" s="374"/>
      <c r="D130" s="374"/>
      <c r="E130" s="356"/>
      <c r="F130" s="356"/>
      <c r="G130" s="356"/>
      <c r="H130" s="356"/>
    </row>
    <row r="131" spans="1:8" x14ac:dyDescent="0.2">
      <c r="A131" s="369" t="s">
        <v>292</v>
      </c>
      <c r="B131" s="374"/>
      <c r="C131" s="374"/>
      <c r="D131" s="374"/>
      <c r="E131" s="356"/>
      <c r="F131" s="356"/>
      <c r="G131" s="356"/>
      <c r="H131" s="356"/>
    </row>
    <row r="132" spans="1:8" x14ac:dyDescent="0.2">
      <c r="A132" s="360"/>
      <c r="B132" s="374"/>
      <c r="C132" s="374"/>
      <c r="D132" s="374"/>
      <c r="E132" s="356"/>
      <c r="F132" s="356"/>
      <c r="G132" s="356"/>
      <c r="H132" s="356"/>
    </row>
    <row r="133" spans="1:8" x14ac:dyDescent="0.2">
      <c r="A133" s="360"/>
      <c r="B133" s="374"/>
      <c r="C133" s="374"/>
      <c r="D133" s="374"/>
      <c r="E133" s="356"/>
      <c r="F133" s="356"/>
      <c r="G133" s="356"/>
      <c r="H133" s="356"/>
    </row>
    <row r="134" spans="1:8" x14ac:dyDescent="0.2">
      <c r="A134" s="360"/>
      <c r="B134" s="374"/>
      <c r="C134" s="374"/>
      <c r="D134" s="374"/>
      <c r="E134" s="356"/>
      <c r="F134" s="356"/>
      <c r="G134" s="356"/>
      <c r="H134" s="356"/>
    </row>
    <row r="135" spans="1:8" x14ac:dyDescent="0.2">
      <c r="A135" s="360"/>
      <c r="B135" s="374"/>
      <c r="C135" s="374"/>
      <c r="D135" s="374"/>
      <c r="E135" s="356"/>
      <c r="F135" s="356"/>
      <c r="G135" s="356"/>
      <c r="H135" s="356"/>
    </row>
    <row r="136" spans="1:8" x14ac:dyDescent="0.2">
      <c r="A136" s="360"/>
      <c r="B136" s="374"/>
      <c r="C136" s="374"/>
      <c r="D136" s="374"/>
      <c r="E136" s="356"/>
      <c r="F136" s="356"/>
      <c r="G136" s="356"/>
      <c r="H136" s="356"/>
    </row>
    <row r="137" spans="1:8" x14ac:dyDescent="0.2">
      <c r="A137" s="375"/>
      <c r="B137" s="356"/>
      <c r="C137" s="356"/>
      <c r="D137" s="356"/>
      <c r="E137" s="356"/>
      <c r="F137" s="356"/>
      <c r="G137" s="356"/>
      <c r="H137" s="356"/>
    </row>
    <row r="138" spans="1:8" x14ac:dyDescent="0.2">
      <c r="A138" s="356"/>
    </row>
  </sheetData>
  <phoneticPr fontId="51" type="noConversion"/>
  <pageMargins left="0.7" right="0.7" top="0.75" bottom="0.75" header="0.51180555555555496" footer="0.51180555555555496"/>
  <pageSetup paperSize="9" firstPageNumber="0" orientation="portrait" horizontalDpi="300" verticalDpi="300" r:id="rId1"/>
  <headerFooter>
    <oddHeader>&amp;L&amp;"Calibri"&amp;10&amp;K000000 Vertrouwelijk&amp;1#_x000D_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D9BBE-1443-4238-8E48-C082A78AA296}">
  <dimension ref="A1:U6"/>
  <sheetViews>
    <sheetView workbookViewId="0">
      <selection activeCell="B4" sqref="B4"/>
    </sheetView>
  </sheetViews>
  <sheetFormatPr defaultRowHeight="12.75" x14ac:dyDescent="0.2"/>
  <cols>
    <col min="1" max="1" width="72.1640625" customWidth="1"/>
    <col min="2" max="25" width="15.83203125" customWidth="1"/>
  </cols>
  <sheetData>
    <row r="1" spans="1:21" ht="15.75" x14ac:dyDescent="0.25">
      <c r="A1" s="728" t="s">
        <v>521</v>
      </c>
    </row>
    <row r="2" spans="1:21" x14ac:dyDescent="0.2">
      <c r="C2" s="686">
        <f>Invoerblad!K99</f>
        <v>1900</v>
      </c>
      <c r="D2" s="686">
        <f>Invoerblad!L99</f>
        <v>1901</v>
      </c>
      <c r="E2" s="686">
        <f>Invoerblad!M99</f>
        <v>1902</v>
      </c>
      <c r="F2" s="686">
        <f>Invoerblad!N99</f>
        <v>1903</v>
      </c>
      <c r="G2" s="686">
        <f>Invoerblad!O99</f>
        <v>1904</v>
      </c>
      <c r="H2" s="686">
        <f>Invoerblad!P99</f>
        <v>1905</v>
      </c>
      <c r="I2" s="686">
        <f>Invoerblad!Q99</f>
        <v>1906</v>
      </c>
      <c r="J2" s="686">
        <f>Invoerblad!R99</f>
        <v>1907</v>
      </c>
      <c r="K2" s="686">
        <f>Invoerblad!S99</f>
        <v>1908</v>
      </c>
      <c r="L2" s="686">
        <f>Invoerblad!T99</f>
        <v>1909</v>
      </c>
      <c r="M2" s="686">
        <f>Invoerblad!U99</f>
        <v>1910</v>
      </c>
      <c r="N2" s="686">
        <f>Invoerblad!V99</f>
        <v>1911</v>
      </c>
      <c r="O2" s="686">
        <f>Invoerblad!W99</f>
        <v>1912</v>
      </c>
      <c r="P2" s="686">
        <f>Invoerblad!X99</f>
        <v>1913</v>
      </c>
      <c r="Q2" s="686">
        <f>Invoerblad!Y99</f>
        <v>1914</v>
      </c>
      <c r="R2" s="686">
        <f>Invoerblad!Z99</f>
        <v>1915</v>
      </c>
      <c r="S2" s="686">
        <f>Invoerblad!AA99</f>
        <v>1916</v>
      </c>
      <c r="T2" s="686">
        <f>Invoerblad!AB99</f>
        <v>1917</v>
      </c>
      <c r="U2" s="3"/>
    </row>
    <row r="3" spans="1:21" x14ac:dyDescent="0.2">
      <c r="A3" s="323" t="s">
        <v>522</v>
      </c>
      <c r="C3">
        <f>Invoerblad!K127+Invoerblad!K137</f>
        <v>0</v>
      </c>
      <c r="D3" s="3">
        <f>Invoerblad!L127+Invoerblad!L137</f>
        <v>0</v>
      </c>
      <c r="E3" s="3">
        <f>Invoerblad!M127+Invoerblad!M137</f>
        <v>0</v>
      </c>
      <c r="F3" s="3">
        <f>Invoerblad!N127+Invoerblad!N137</f>
        <v>0</v>
      </c>
      <c r="G3" s="3">
        <f>Invoerblad!O127+Invoerblad!O137</f>
        <v>0</v>
      </c>
      <c r="H3" s="3">
        <f>Invoerblad!P127+Invoerblad!P137</f>
        <v>0</v>
      </c>
      <c r="I3" s="3">
        <f>Invoerblad!Q127+Invoerblad!Q137</f>
        <v>0</v>
      </c>
      <c r="J3" s="3">
        <f>Invoerblad!R127+Invoerblad!R137</f>
        <v>0</v>
      </c>
      <c r="K3" s="3">
        <f>Invoerblad!S127+Invoerblad!S137</f>
        <v>0</v>
      </c>
      <c r="L3" s="3">
        <f>Invoerblad!T127+Invoerblad!T137</f>
        <v>0</v>
      </c>
      <c r="M3" s="3">
        <f>Invoerblad!U127+Invoerblad!U137</f>
        <v>0</v>
      </c>
      <c r="N3" s="3">
        <f>Invoerblad!V127+Invoerblad!V137</f>
        <v>0</v>
      </c>
      <c r="O3" s="3">
        <f>Invoerblad!W127+Invoerblad!W137</f>
        <v>0</v>
      </c>
      <c r="P3" s="3">
        <f>Invoerblad!X127+Invoerblad!X137</f>
        <v>0</v>
      </c>
      <c r="Q3" s="3">
        <f>Invoerblad!Y127+Invoerblad!Y137</f>
        <v>0</v>
      </c>
      <c r="R3" s="3">
        <f>Invoerblad!Z127+Invoerblad!Z137</f>
        <v>0</v>
      </c>
      <c r="S3" s="3">
        <f>Invoerblad!AA127+Invoerblad!AA137</f>
        <v>0</v>
      </c>
      <c r="T3" s="3">
        <f>Invoerblad!AB127+Invoerblad!AB137</f>
        <v>0</v>
      </c>
    </row>
    <row r="4" spans="1:21" x14ac:dyDescent="0.2">
      <c r="A4" s="323" t="s">
        <v>523</v>
      </c>
      <c r="B4" s="686">
        <f>NPV(Invoerblad!E96,C3:T3)*'Hulpberekeningen 1'!P32</f>
        <v>0</v>
      </c>
    </row>
    <row r="5" spans="1:21" x14ac:dyDescent="0.2">
      <c r="A5" s="3"/>
    </row>
    <row r="6" spans="1:21" x14ac:dyDescent="0.2">
      <c r="A6" s="3" t="s">
        <v>524</v>
      </c>
      <c r="C6">
        <f>NPV(Invoerblad!$E$96,$C$3:C$3)*'Hulpberekeningen 1'!$P$32</f>
        <v>0</v>
      </c>
      <c r="D6" s="3">
        <f>NPV(Invoerblad!$E$96,$C$3:D$3)*'Hulpberekeningen 1'!$P$32</f>
        <v>0</v>
      </c>
      <c r="E6" s="3">
        <f>NPV(Invoerblad!$E$96,$C$3:E$3)*'Hulpberekeningen 1'!$P$32</f>
        <v>0</v>
      </c>
      <c r="F6" s="3">
        <f>NPV(Invoerblad!$E$96,$C$3:F$3)*'Hulpberekeningen 1'!$P$32</f>
        <v>0</v>
      </c>
      <c r="G6" s="3">
        <f>NPV(Invoerblad!$E$96,$C$3:G$3)*'Hulpberekeningen 1'!$P$32</f>
        <v>0</v>
      </c>
      <c r="H6" s="3">
        <f>NPV(Invoerblad!$E$96,$C$3:H$3)*'Hulpberekeningen 1'!$P$32</f>
        <v>0</v>
      </c>
      <c r="I6" s="3">
        <f>NPV(Invoerblad!$E$96,$C$3:I$3)*'Hulpberekeningen 1'!$P$32</f>
        <v>0</v>
      </c>
      <c r="J6" s="3">
        <f>NPV(Invoerblad!$E$96,$C$3:J$3)*'Hulpberekeningen 1'!$P$32</f>
        <v>0</v>
      </c>
      <c r="K6" s="3">
        <f>NPV(Invoerblad!$E$96,$C$3:K$3)*'Hulpberekeningen 1'!$P$32</f>
        <v>0</v>
      </c>
      <c r="L6" s="3">
        <f>NPV(Invoerblad!$E$96,$C$3:L$3)*'Hulpberekeningen 1'!$P$32</f>
        <v>0</v>
      </c>
      <c r="M6" s="3">
        <f>NPV(Invoerblad!$E$96,$C$3:M$3)*'Hulpberekeningen 1'!$P$32</f>
        <v>0</v>
      </c>
      <c r="N6" s="3">
        <f>NPV(Invoerblad!$E$96,$C$3:N$3)*'Hulpberekeningen 1'!$P$32</f>
        <v>0</v>
      </c>
      <c r="O6" s="3">
        <f>NPV(Invoerblad!$E$96,$C$3:O$3)*'Hulpberekeningen 1'!$P$32</f>
        <v>0</v>
      </c>
      <c r="P6" s="3">
        <f>NPV(Invoerblad!$E$96,$C$3:P$3)*'Hulpberekeningen 1'!$P$32</f>
        <v>0</v>
      </c>
      <c r="Q6" s="3">
        <f>NPV(Invoerblad!$E$96,$C$3:Q$3)*'Hulpberekeningen 1'!$P$32</f>
        <v>0</v>
      </c>
      <c r="R6" s="3">
        <f>NPV(Invoerblad!$E$96,$C$3:R$3)*'Hulpberekeningen 1'!$P$32</f>
        <v>0</v>
      </c>
      <c r="S6" s="3">
        <f>NPV(Invoerblad!$E$96,$C$3:S$3)*'Hulpberekeningen 1'!$P$32</f>
        <v>0</v>
      </c>
      <c r="T6" s="3">
        <f>NPV(Invoerblad!$E$96,$C$3:T$3)*'Hulpberekeningen 1'!$P$32</f>
        <v>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A60"/>
  <sheetViews>
    <sheetView zoomScaleNormal="100" workbookViewId="0">
      <selection activeCell="C34" sqref="C34"/>
    </sheetView>
  </sheetViews>
  <sheetFormatPr defaultRowHeight="12.75" x14ac:dyDescent="0.2"/>
  <cols>
    <col min="1" max="1" width="43" customWidth="1"/>
    <col min="2" max="19" width="15.83203125" customWidth="1"/>
    <col min="20" max="1025" width="8.6640625" customWidth="1"/>
  </cols>
  <sheetData>
    <row r="1" spans="1:20" ht="13.5" thickBot="1" x14ac:dyDescent="0.25">
      <c r="A1" s="662" t="s">
        <v>207</v>
      </c>
      <c r="B1" s="168"/>
      <c r="C1" s="168"/>
      <c r="D1" s="168"/>
      <c r="E1" s="168"/>
      <c r="F1" s="168"/>
      <c r="G1" s="168"/>
      <c r="H1" s="168"/>
      <c r="I1" s="168"/>
      <c r="J1" s="168"/>
      <c r="K1" s="168"/>
      <c r="L1" s="168"/>
      <c r="M1" s="26"/>
      <c r="N1" s="26"/>
      <c r="O1" s="26"/>
      <c r="P1" s="26"/>
      <c r="Q1" s="26"/>
      <c r="R1" s="332"/>
      <c r="S1" s="332"/>
    </row>
    <row r="2" spans="1:20" ht="13.5" customHeight="1" thickBot="1" x14ac:dyDescent="0.25">
      <c r="A2" s="265" t="s">
        <v>208</v>
      </c>
      <c r="B2" s="266"/>
      <c r="C2" s="267">
        <f>SUM(C3:C5)</f>
        <v>0</v>
      </c>
      <c r="D2" s="268"/>
      <c r="E2" s="268"/>
      <c r="F2" s="268"/>
      <c r="G2" s="268"/>
      <c r="H2" s="268"/>
      <c r="I2" s="268"/>
      <c r="J2" s="268"/>
      <c r="K2" s="268"/>
      <c r="L2" s="268"/>
      <c r="M2" s="268"/>
      <c r="N2" s="268"/>
      <c r="O2" s="268"/>
      <c r="P2" s="268"/>
      <c r="Q2" s="268"/>
      <c r="R2" s="704"/>
      <c r="S2" s="705"/>
      <c r="T2" s="323"/>
    </row>
    <row r="3" spans="1:20" ht="13.5" thickTop="1" x14ac:dyDescent="0.2">
      <c r="A3" s="269" t="s">
        <v>209</v>
      </c>
      <c r="B3" s="270">
        <f>+Invoerblad!E86</f>
        <v>0</v>
      </c>
      <c r="C3" s="271">
        <f>B3*Invoerblad!$E$85</f>
        <v>0</v>
      </c>
      <c r="D3" s="272"/>
      <c r="E3" s="272"/>
      <c r="F3" s="272"/>
      <c r="G3" s="272"/>
      <c r="H3" s="272"/>
      <c r="I3" s="272"/>
      <c r="J3" s="272"/>
      <c r="K3" s="272"/>
      <c r="L3" s="272"/>
      <c r="M3" s="272"/>
      <c r="N3" s="272"/>
      <c r="O3" s="272"/>
      <c r="P3" s="272"/>
      <c r="Q3" s="272"/>
      <c r="R3" s="706"/>
      <c r="S3" s="707"/>
      <c r="T3" s="323"/>
    </row>
    <row r="4" spans="1:20" ht="12.75" customHeight="1" x14ac:dyDescent="0.2">
      <c r="A4" s="273"/>
      <c r="B4" s="270"/>
      <c r="C4" s="271"/>
      <c r="D4" s="274"/>
      <c r="E4" s="272"/>
      <c r="F4" s="272"/>
      <c r="G4" s="272"/>
      <c r="H4" s="272"/>
      <c r="I4" s="272"/>
      <c r="J4" s="272"/>
      <c r="K4" s="272"/>
      <c r="L4" s="272"/>
      <c r="M4" s="272"/>
      <c r="N4" s="272"/>
      <c r="O4" s="272"/>
      <c r="P4" s="272"/>
      <c r="Q4" s="272"/>
      <c r="R4" s="706"/>
      <c r="S4" s="707"/>
      <c r="T4" s="323"/>
    </row>
    <row r="5" spans="1:20" x14ac:dyDescent="0.2">
      <c r="A5" s="269" t="s">
        <v>210</v>
      </c>
      <c r="B5" s="270">
        <f>+Invoerblad!E87</f>
        <v>1</v>
      </c>
      <c r="C5" s="271">
        <f>B5*Invoerblad!$E$85</f>
        <v>0</v>
      </c>
      <c r="D5" s="272"/>
      <c r="E5" s="272"/>
      <c r="F5" s="272"/>
      <c r="G5" s="272"/>
      <c r="H5" s="272"/>
      <c r="I5" s="272"/>
      <c r="J5" s="272"/>
      <c r="K5" s="272"/>
      <c r="L5" s="272"/>
      <c r="M5" s="272"/>
      <c r="N5" s="272"/>
      <c r="O5" s="272"/>
      <c r="P5" s="272"/>
      <c r="Q5" s="272"/>
      <c r="R5" s="706"/>
      <c r="S5" s="707"/>
      <c r="T5" s="323"/>
    </row>
    <row r="6" spans="1:20" x14ac:dyDescent="0.2">
      <c r="A6" s="693"/>
      <c r="B6" s="190"/>
      <c r="C6" s="432"/>
      <c r="D6" s="432"/>
      <c r="E6" s="432"/>
      <c r="F6" s="432"/>
      <c r="G6" s="432"/>
      <c r="H6" s="432"/>
      <c r="I6" s="432"/>
      <c r="J6" s="432"/>
      <c r="K6" s="432"/>
      <c r="L6" s="432"/>
      <c r="M6" s="432"/>
      <c r="N6" s="432"/>
      <c r="O6" s="432"/>
      <c r="P6" s="432"/>
      <c r="Q6" s="432"/>
      <c r="R6" s="706"/>
      <c r="S6" s="707"/>
      <c r="T6" s="323"/>
    </row>
    <row r="7" spans="1:20" x14ac:dyDescent="0.2">
      <c r="A7" s="269" t="s">
        <v>211</v>
      </c>
      <c r="B7" s="276">
        <f>+Invoerblad!E95</f>
        <v>15</v>
      </c>
      <c r="C7" s="276"/>
      <c r="D7" s="277"/>
      <c r="E7" s="272"/>
      <c r="F7" s="272"/>
      <c r="G7" s="272"/>
      <c r="H7" s="272"/>
      <c r="I7" s="272"/>
      <c r="J7" s="272"/>
      <c r="K7" s="272"/>
      <c r="L7" s="272"/>
      <c r="M7" s="272"/>
      <c r="N7" s="272"/>
      <c r="O7" s="272"/>
      <c r="P7" s="272"/>
      <c r="Q7" s="272"/>
      <c r="R7" s="706"/>
      <c r="S7" s="707"/>
      <c r="T7" s="323"/>
    </row>
    <row r="8" spans="1:20" x14ac:dyDescent="0.2">
      <c r="A8" s="269" t="s">
        <v>310</v>
      </c>
      <c r="B8" s="370">
        <f>Invoerblad!E94</f>
        <v>0.09</v>
      </c>
      <c r="C8" s="276"/>
      <c r="D8" s="272"/>
      <c r="E8" s="272"/>
      <c r="F8" s="272"/>
      <c r="G8" s="272"/>
      <c r="H8" s="272"/>
      <c r="I8" s="272"/>
      <c r="J8" s="272"/>
      <c r="K8" s="272"/>
      <c r="L8" s="272"/>
      <c r="M8" s="272"/>
      <c r="N8" s="272"/>
      <c r="O8" s="272"/>
      <c r="P8" s="272"/>
      <c r="Q8" s="272"/>
      <c r="R8" s="706"/>
      <c r="S8" s="707"/>
      <c r="T8" s="323"/>
    </row>
    <row r="9" spans="1:20" x14ac:dyDescent="0.2">
      <c r="A9" s="269" t="s">
        <v>212</v>
      </c>
      <c r="B9" s="371">
        <f>+Invoerblad!E93</f>
        <v>1.4999999999999999E-2</v>
      </c>
      <c r="C9" s="276"/>
      <c r="D9" s="278"/>
      <c r="E9" s="272"/>
      <c r="F9" s="272"/>
      <c r="G9" s="272"/>
      <c r="H9" s="272"/>
      <c r="I9" s="272"/>
      <c r="J9" s="272"/>
      <c r="K9" s="272"/>
      <c r="L9" s="272"/>
      <c r="M9" s="272"/>
      <c r="N9" s="272"/>
      <c r="O9" s="272"/>
      <c r="P9" s="272"/>
      <c r="Q9" s="272"/>
      <c r="R9" s="706"/>
      <c r="S9" s="707"/>
      <c r="T9" s="323"/>
    </row>
    <row r="10" spans="1:20" x14ac:dyDescent="0.2">
      <c r="A10" s="269"/>
      <c r="B10" s="272"/>
      <c r="C10" s="272"/>
      <c r="D10" s="272"/>
      <c r="E10" s="272"/>
      <c r="F10" s="272"/>
      <c r="G10" s="272"/>
      <c r="H10" s="272"/>
      <c r="I10" s="272"/>
      <c r="J10" s="272"/>
      <c r="K10" s="272"/>
      <c r="L10" s="272"/>
      <c r="M10" s="272"/>
      <c r="N10" s="272"/>
      <c r="O10" s="272"/>
      <c r="P10" s="272"/>
      <c r="Q10" s="272"/>
      <c r="R10" s="706"/>
      <c r="S10" s="707"/>
      <c r="T10" s="323"/>
    </row>
    <row r="11" spans="1:20" x14ac:dyDescent="0.2">
      <c r="A11" s="269" t="s">
        <v>213</v>
      </c>
      <c r="B11" s="279"/>
      <c r="C11" s="279">
        <v>1</v>
      </c>
      <c r="D11" s="279">
        <v>2</v>
      </c>
      <c r="E11" s="279">
        <v>3</v>
      </c>
      <c r="F11" s="279">
        <v>4</v>
      </c>
      <c r="G11" s="279">
        <v>5</v>
      </c>
      <c r="H11" s="279">
        <v>6</v>
      </c>
      <c r="I11" s="279">
        <v>7</v>
      </c>
      <c r="J11" s="279">
        <v>8</v>
      </c>
      <c r="K11" s="279">
        <v>9</v>
      </c>
      <c r="L11" s="279">
        <v>10</v>
      </c>
      <c r="M11" s="279">
        <v>11</v>
      </c>
      <c r="N11" s="279">
        <v>12</v>
      </c>
      <c r="O11" s="279">
        <v>13</v>
      </c>
      <c r="P11" s="279">
        <v>14</v>
      </c>
      <c r="Q11" s="279">
        <v>15</v>
      </c>
      <c r="R11" s="661">
        <v>16</v>
      </c>
      <c r="S11" s="663">
        <v>17</v>
      </c>
      <c r="T11" s="323"/>
    </row>
    <row r="12" spans="1:20" s="3" customFormat="1" x14ac:dyDescent="0.2">
      <c r="A12" s="269"/>
      <c r="B12" s="432"/>
      <c r="C12" s="694">
        <f>Invoerblad!K68</f>
        <v>1900</v>
      </c>
      <c r="D12" s="694">
        <f>Invoerblad!L68</f>
        <v>1901</v>
      </c>
      <c r="E12" s="694">
        <f>Invoerblad!M68</f>
        <v>1902</v>
      </c>
      <c r="F12" s="694">
        <f>Invoerblad!N68</f>
        <v>1903</v>
      </c>
      <c r="G12" s="694">
        <f>Invoerblad!O68</f>
        <v>1904</v>
      </c>
      <c r="H12" s="694">
        <f>Invoerblad!P68</f>
        <v>1905</v>
      </c>
      <c r="I12" s="694">
        <f>Invoerblad!Q68</f>
        <v>1906</v>
      </c>
      <c r="J12" s="694">
        <f>Invoerblad!R68</f>
        <v>1907</v>
      </c>
      <c r="K12" s="694">
        <f>Invoerblad!S68</f>
        <v>1908</v>
      </c>
      <c r="L12" s="694">
        <f>Invoerblad!T68</f>
        <v>1909</v>
      </c>
      <c r="M12" s="694">
        <f>Invoerblad!U68</f>
        <v>1910</v>
      </c>
      <c r="N12" s="694">
        <f>Invoerblad!V68</f>
        <v>1911</v>
      </c>
      <c r="O12" s="694">
        <f>Invoerblad!W68</f>
        <v>1912</v>
      </c>
      <c r="P12" s="694">
        <f>Invoerblad!X68</f>
        <v>1913</v>
      </c>
      <c r="Q12" s="694">
        <f>Invoerblad!Y68</f>
        <v>1914</v>
      </c>
      <c r="R12" s="694">
        <f>Invoerblad!Z68</f>
        <v>1915</v>
      </c>
      <c r="S12" s="708">
        <f>Invoerblad!AA68</f>
        <v>1916</v>
      </c>
      <c r="T12" s="323"/>
    </row>
    <row r="13" spans="1:20" x14ac:dyDescent="0.2">
      <c r="A13" s="269" t="s">
        <v>214</v>
      </c>
      <c r="B13" s="277">
        <f>C5</f>
        <v>0</v>
      </c>
      <c r="C13" s="277">
        <f>IF(YEAR(Invoerblad!$E$43)&gt;C12,0,
IF(B13-($C$5/$B$7)&gt;0,B13-($C$5/$B$7),0))</f>
        <v>0</v>
      </c>
      <c r="D13" s="277" t="b">
        <f>IF(YEAR(Invoerblad!$E$43)&gt;D12,0,
IF(AND(YEAR(Invoerblad!$E$43)=D12,B13-($C$5/$B$7)&gt;0),B13-($C$5/$B$7),
IF(AND(YEAR(Invoerblad!$E$43)=D12,B13-($C$5/$B$7)=0),0,
IF(C13-($C$5/$B$7)&gt;0,C13-($C$5/$B$7)))))</f>
        <v>0</v>
      </c>
      <c r="E13" s="277" t="b">
        <f>IF(AND(YEAR(Invoerblad!$E$43)=E12,B13-($C$5/$B$7)&gt;0),B13-($C$5/$B$7),
IF(AND(YEAR(Invoerblad!$E$43)=E12,B13-($C$5/$B$7)=0),0,
IF(D13-($C$5/$B$7)&gt;0,D13-($C$5/$B$7))))</f>
        <v>0</v>
      </c>
      <c r="F13" s="277">
        <f t="shared" ref="F13:S13" si="0">+IF(E13-($C$5/$B$7)&gt;0,E13-($C$5/$B$7),0)</f>
        <v>0</v>
      </c>
      <c r="G13" s="277">
        <f t="shared" si="0"/>
        <v>0</v>
      </c>
      <c r="H13" s="277">
        <f t="shared" si="0"/>
        <v>0</v>
      </c>
      <c r="I13" s="277">
        <f t="shared" si="0"/>
        <v>0</v>
      </c>
      <c r="J13" s="277">
        <f t="shared" si="0"/>
        <v>0</v>
      </c>
      <c r="K13" s="277">
        <f t="shared" si="0"/>
        <v>0</v>
      </c>
      <c r="L13" s="277">
        <f t="shared" si="0"/>
        <v>0</v>
      </c>
      <c r="M13" s="277">
        <f t="shared" si="0"/>
        <v>0</v>
      </c>
      <c r="N13" s="277">
        <f t="shared" si="0"/>
        <v>0</v>
      </c>
      <c r="O13" s="277">
        <f t="shared" si="0"/>
        <v>0</v>
      </c>
      <c r="P13" s="277">
        <f t="shared" si="0"/>
        <v>0</v>
      </c>
      <c r="Q13" s="277">
        <f t="shared" si="0"/>
        <v>0</v>
      </c>
      <c r="R13" s="277">
        <f t="shared" si="0"/>
        <v>0</v>
      </c>
      <c r="S13" s="709">
        <f t="shared" si="0"/>
        <v>0</v>
      </c>
      <c r="T13" s="323"/>
    </row>
    <row r="14" spans="1:20" x14ac:dyDescent="0.2">
      <c r="A14" s="269" t="s">
        <v>215</v>
      </c>
      <c r="B14" s="277">
        <f>$C$3</f>
        <v>0</v>
      </c>
      <c r="C14" s="277">
        <f>IF(YEAR(Invoerblad!$E$43)&gt;C12,0,
IF(B14-($C$3/$B$7)&gt;0,B14-($C$3/$B$7),0))</f>
        <v>0</v>
      </c>
      <c r="D14" s="277">
        <f>IF(YEAR(Invoerblad!$E$43)&gt;D12,0,
IF(AND(YEAR(Invoerblad!$E$43)=D12,B14-($C$3/$B$7)&gt;0),B14-($C$3/$B$7),
IF(AND(YEAR(Invoerblad!$E$43)=D12,B14-($C$3/$B$7)=0),0,
IF(C14-($C$3/$B$7)&gt;0,C14-($C$3/$B$7),0))))</f>
        <v>0</v>
      </c>
      <c r="E14" s="277">
        <f>IF(AND(YEAR(Invoerblad!$E$43)=E12,B14-($C$3/$B$7)&gt;0),B14-($C$3/$B$7),
IF(AND(YEAR(Invoerblad!$E$43)=E12,B14-($C$3/$B$7)=0),0,
IF(D14-($C$3/$B$7)&gt;0,D14-($C$3/$B$7),0)))</f>
        <v>0</v>
      </c>
      <c r="F14" s="277">
        <f t="shared" ref="F14:S14" si="1">+IF(E14-($C$3/$B$7)&gt;0,E14-($C$3/$B$7),0)</f>
        <v>0</v>
      </c>
      <c r="G14" s="277">
        <f t="shared" si="1"/>
        <v>0</v>
      </c>
      <c r="H14" s="277">
        <f t="shared" si="1"/>
        <v>0</v>
      </c>
      <c r="I14" s="277">
        <f t="shared" si="1"/>
        <v>0</v>
      </c>
      <c r="J14" s="277">
        <f t="shared" si="1"/>
        <v>0</v>
      </c>
      <c r="K14" s="277">
        <f t="shared" si="1"/>
        <v>0</v>
      </c>
      <c r="L14" s="277">
        <f t="shared" si="1"/>
        <v>0</v>
      </c>
      <c r="M14" s="277">
        <f t="shared" si="1"/>
        <v>0</v>
      </c>
      <c r="N14" s="277">
        <f t="shared" si="1"/>
        <v>0</v>
      </c>
      <c r="O14" s="277">
        <f t="shared" si="1"/>
        <v>0</v>
      </c>
      <c r="P14" s="277">
        <f t="shared" si="1"/>
        <v>0</v>
      </c>
      <c r="Q14" s="277">
        <f t="shared" si="1"/>
        <v>0</v>
      </c>
      <c r="R14" s="277">
        <f t="shared" si="1"/>
        <v>0</v>
      </c>
      <c r="S14" s="709">
        <f t="shared" si="1"/>
        <v>0</v>
      </c>
      <c r="T14" s="323"/>
    </row>
    <row r="15" spans="1:20" x14ac:dyDescent="0.2">
      <c r="A15" s="269" t="s">
        <v>216</v>
      </c>
      <c r="B15" s="272"/>
      <c r="C15" s="271">
        <f>IF(YEAR(Invoerblad!$E$43)&gt;C12,0,$B$9*B13)</f>
        <v>0</v>
      </c>
      <c r="D15" s="271">
        <f>IF(YEAR(Invoerblad!$E$43)&gt;D12,0,
IF(YEAR(Invoerblad!$E$43)=D12,$B$9*B13,$B$9*C13))</f>
        <v>0</v>
      </c>
      <c r="E15" s="271">
        <f>IF(YEAR(Invoerblad!$E$43)=E12,$B$9*B13,$B$9*D13)</f>
        <v>0</v>
      </c>
      <c r="F15" s="271">
        <f t="shared" ref="F15:Q15" si="2">$B$9*E13</f>
        <v>0</v>
      </c>
      <c r="G15" s="271">
        <f t="shared" si="2"/>
        <v>0</v>
      </c>
      <c r="H15" s="271">
        <f t="shared" si="2"/>
        <v>0</v>
      </c>
      <c r="I15" s="271">
        <f t="shared" si="2"/>
        <v>0</v>
      </c>
      <c r="J15" s="271">
        <f t="shared" si="2"/>
        <v>0</v>
      </c>
      <c r="K15" s="271">
        <f t="shared" si="2"/>
        <v>0</v>
      </c>
      <c r="L15" s="271">
        <f t="shared" si="2"/>
        <v>0</v>
      </c>
      <c r="M15" s="277">
        <f t="shared" si="2"/>
        <v>0</v>
      </c>
      <c r="N15" s="271">
        <f t="shared" si="2"/>
        <v>0</v>
      </c>
      <c r="O15" s="271">
        <f t="shared" si="2"/>
        <v>0</v>
      </c>
      <c r="P15" s="271">
        <f t="shared" si="2"/>
        <v>0</v>
      </c>
      <c r="Q15" s="271">
        <f t="shared" si="2"/>
        <v>0</v>
      </c>
      <c r="R15" s="271">
        <f t="shared" ref="R15" si="3">$B$9*Q13</f>
        <v>0</v>
      </c>
      <c r="S15" s="664">
        <f t="shared" ref="S15" si="4">$B$9*R13</f>
        <v>0</v>
      </c>
      <c r="T15" s="323"/>
    </row>
    <row r="16" spans="1:20" x14ac:dyDescent="0.2">
      <c r="A16" s="269" t="s">
        <v>217</v>
      </c>
      <c r="B16" s="272"/>
      <c r="C16" s="271">
        <f>IF(YEAR(Invoerblad!$E$43)&gt;C12,0,$B$8*B14)</f>
        <v>0</v>
      </c>
      <c r="D16" s="271">
        <f>IF(YEAR(Invoerblad!$E$43)&gt;D12,0,
IF(YEAR(Invoerblad!$E$43)=D12,$B$8*B14,$B$8*C14))</f>
        <v>0</v>
      </c>
      <c r="E16" s="271">
        <f>IF(YEAR(Invoerblad!$E$43)=E12,$B$8*B14,$B$8*D14)</f>
        <v>0</v>
      </c>
      <c r="F16" s="271">
        <f t="shared" ref="F16:Q16" si="5">$B$8*E14</f>
        <v>0</v>
      </c>
      <c r="G16" s="271">
        <f t="shared" si="5"/>
        <v>0</v>
      </c>
      <c r="H16" s="271">
        <f t="shared" si="5"/>
        <v>0</v>
      </c>
      <c r="I16" s="271">
        <f t="shared" si="5"/>
        <v>0</v>
      </c>
      <c r="J16" s="271">
        <f t="shared" si="5"/>
        <v>0</v>
      </c>
      <c r="K16" s="271">
        <f t="shared" si="5"/>
        <v>0</v>
      </c>
      <c r="L16" s="271">
        <f t="shared" si="5"/>
        <v>0</v>
      </c>
      <c r="M16" s="271">
        <f t="shared" si="5"/>
        <v>0</v>
      </c>
      <c r="N16" s="271">
        <f t="shared" si="5"/>
        <v>0</v>
      </c>
      <c r="O16" s="271">
        <f t="shared" si="5"/>
        <v>0</v>
      </c>
      <c r="P16" s="271">
        <f t="shared" si="5"/>
        <v>0</v>
      </c>
      <c r="Q16" s="271">
        <f t="shared" si="5"/>
        <v>0</v>
      </c>
      <c r="R16" s="271">
        <f t="shared" ref="R16" si="6">$B$8*Q14</f>
        <v>0</v>
      </c>
      <c r="S16" s="664">
        <f t="shared" ref="S16" si="7">$B$8*R14</f>
        <v>0</v>
      </c>
      <c r="T16" s="323"/>
    </row>
    <row r="17" spans="1:27" x14ac:dyDescent="0.2">
      <c r="A17" s="269"/>
      <c r="B17" s="272"/>
      <c r="C17" s="272"/>
      <c r="D17" s="272"/>
      <c r="E17" s="272"/>
      <c r="F17" s="272"/>
      <c r="G17" s="272"/>
      <c r="H17" s="272"/>
      <c r="I17" s="272"/>
      <c r="J17" s="272"/>
      <c r="K17" s="272"/>
      <c r="L17" s="272"/>
      <c r="M17" s="272"/>
      <c r="N17" s="272"/>
      <c r="O17" s="272"/>
      <c r="P17" s="272"/>
      <c r="Q17" s="272"/>
      <c r="R17" s="706"/>
      <c r="S17" s="707"/>
      <c r="T17" s="323"/>
    </row>
    <row r="18" spans="1:27" x14ac:dyDescent="0.2">
      <c r="A18" s="695" t="s">
        <v>458</v>
      </c>
      <c r="B18" s="280"/>
      <c r="C18" s="279"/>
      <c r="D18" s="272"/>
      <c r="E18" s="272"/>
      <c r="F18" s="272"/>
      <c r="G18" s="272"/>
      <c r="H18" s="272"/>
      <c r="I18" s="272"/>
      <c r="J18" s="272"/>
      <c r="K18" s="272"/>
      <c r="L18" s="272"/>
      <c r="M18" s="272"/>
      <c r="N18" s="272"/>
      <c r="O18" s="272"/>
      <c r="P18" s="272"/>
      <c r="Q18" s="272"/>
      <c r="R18" s="706"/>
      <c r="S18" s="707"/>
      <c r="T18" s="323"/>
    </row>
    <row r="19" spans="1:27" x14ac:dyDescent="0.2">
      <c r="A19" s="269" t="s">
        <v>219</v>
      </c>
      <c r="B19" s="271">
        <f>NPV(+Invoerblad!E96,C15:S15)*'Hulpberekeningen 1'!P32</f>
        <v>0</v>
      </c>
      <c r="C19" s="271"/>
      <c r="D19" s="272"/>
      <c r="E19" s="272"/>
      <c r="F19" s="272"/>
      <c r="G19" s="272"/>
      <c r="H19" s="272"/>
      <c r="I19" s="272"/>
      <c r="J19" s="272"/>
      <c r="K19" s="272"/>
      <c r="L19" s="272"/>
      <c r="M19" s="272"/>
      <c r="N19" s="272"/>
      <c r="O19" s="272"/>
      <c r="P19" s="272"/>
      <c r="Q19" s="272"/>
      <c r="R19" s="706"/>
      <c r="S19" s="707"/>
      <c r="T19" s="323"/>
    </row>
    <row r="20" spans="1:27" x14ac:dyDescent="0.2">
      <c r="A20" s="269" t="s">
        <v>217</v>
      </c>
      <c r="B20" s="271">
        <f>NPV(+Invoerblad!E96,C16:S16)*'Hulpberekeningen 1'!P32</f>
        <v>0</v>
      </c>
      <c r="C20" s="271"/>
      <c r="D20" s="272"/>
      <c r="E20" s="272"/>
      <c r="F20" s="272"/>
      <c r="G20" s="272"/>
      <c r="H20" s="272"/>
      <c r="I20" s="272"/>
      <c r="J20" s="272"/>
      <c r="K20" s="272"/>
      <c r="L20" s="272"/>
      <c r="M20" s="272"/>
      <c r="N20" s="272"/>
      <c r="O20" s="272"/>
      <c r="P20" s="272"/>
      <c r="Q20" s="272"/>
      <c r="R20" s="706"/>
      <c r="S20" s="707"/>
      <c r="T20" s="323"/>
    </row>
    <row r="21" spans="1:27" s="26" customFormat="1" ht="13.5" thickBot="1" x14ac:dyDescent="0.25">
      <c r="A21" s="281" t="s">
        <v>173</v>
      </c>
      <c r="B21" s="671">
        <f>SUM(B19:B20)</f>
        <v>0</v>
      </c>
      <c r="C21" s="282"/>
      <c r="D21" s="283"/>
      <c r="E21" s="283"/>
      <c r="F21" s="283"/>
      <c r="G21" s="283"/>
      <c r="H21" s="283"/>
      <c r="I21" s="283"/>
      <c r="J21" s="283"/>
      <c r="K21" s="283"/>
      <c r="L21" s="283"/>
      <c r="M21" s="283"/>
      <c r="N21" s="405"/>
      <c r="O21" s="405"/>
      <c r="P21" s="405"/>
      <c r="Q21" s="405"/>
      <c r="R21" s="710"/>
      <c r="S21" s="711"/>
      <c r="T21" s="432"/>
    </row>
    <row r="22" spans="1:27" s="26" customFormat="1" x14ac:dyDescent="0.2">
      <c r="A22" s="213"/>
      <c r="B22" s="213"/>
      <c r="C22" s="213"/>
      <c r="D22" s="213"/>
      <c r="E22" s="213"/>
      <c r="F22" s="213"/>
      <c r="G22" s="213"/>
      <c r="H22" s="213"/>
      <c r="I22" s="213"/>
      <c r="J22" s="213"/>
      <c r="K22" s="213"/>
      <c r="L22" s="213"/>
      <c r="M22" s="213"/>
      <c r="N22" s="213"/>
      <c r="O22" s="213"/>
      <c r="P22" s="213"/>
      <c r="Q22" s="213"/>
      <c r="R22" s="213"/>
      <c r="S22" s="213"/>
      <c r="T22" s="213"/>
      <c r="U22" s="82"/>
      <c r="V22" s="82"/>
      <c r="W22" s="82"/>
      <c r="X22" s="82"/>
      <c r="Y22" s="82"/>
      <c r="Z22" s="82"/>
      <c r="AA22" s="82"/>
    </row>
    <row r="23" spans="1:27" s="9" customFormat="1" ht="13.5" thickBot="1" x14ac:dyDescent="0.25">
      <c r="A23" s="211" t="s">
        <v>220</v>
      </c>
      <c r="B23" s="213"/>
      <c r="C23" s="213"/>
      <c r="D23" s="213"/>
      <c r="E23" s="213"/>
      <c r="F23" s="213"/>
      <c r="G23" s="213"/>
      <c r="H23" s="213"/>
      <c r="I23" s="213"/>
      <c r="J23" s="213"/>
      <c r="K23" s="213"/>
      <c r="L23" s="213"/>
      <c r="M23" s="213"/>
      <c r="N23" s="213"/>
      <c r="O23" s="213"/>
      <c r="P23" s="213"/>
      <c r="Q23" s="213"/>
      <c r="R23" s="213"/>
      <c r="S23" s="213"/>
      <c r="T23" s="213"/>
      <c r="U23" s="82"/>
      <c r="V23" s="82"/>
      <c r="W23" s="82"/>
      <c r="X23" s="82"/>
      <c r="Y23" s="82"/>
      <c r="Z23" s="82"/>
      <c r="AA23" s="82"/>
    </row>
    <row r="24" spans="1:27" s="9" customFormat="1" x14ac:dyDescent="0.2">
      <c r="A24" s="208" t="s">
        <v>221</v>
      </c>
      <c r="B24" s="209">
        <v>10</v>
      </c>
      <c r="C24" s="209"/>
      <c r="D24" s="209"/>
      <c r="E24" s="209"/>
      <c r="F24" s="209"/>
      <c r="G24" s="209"/>
      <c r="H24" s="209"/>
      <c r="I24" s="209"/>
      <c r="J24" s="209"/>
      <c r="K24" s="209"/>
      <c r="L24" s="209"/>
      <c r="M24" s="209"/>
      <c r="N24" s="209"/>
      <c r="O24" s="209"/>
      <c r="P24" s="209"/>
      <c r="Q24" s="209"/>
      <c r="R24" s="209"/>
      <c r="S24" s="210"/>
      <c r="T24" s="213"/>
      <c r="U24" s="82"/>
      <c r="V24" s="82"/>
      <c r="W24" s="82"/>
      <c r="X24" s="82"/>
      <c r="Y24" s="82"/>
      <c r="Z24" s="82"/>
      <c r="AA24" s="82"/>
    </row>
    <row r="25" spans="1:27" s="9" customFormat="1" x14ac:dyDescent="0.2">
      <c r="A25" s="212" t="s">
        <v>222</v>
      </c>
      <c r="B25" s="372">
        <f>Invoerblad!E91</f>
        <v>0</v>
      </c>
      <c r="C25" s="213"/>
      <c r="D25" s="213"/>
      <c r="E25" s="213"/>
      <c r="F25" s="213"/>
      <c r="G25" s="213"/>
      <c r="H25" s="213"/>
      <c r="I25" s="213"/>
      <c r="J25" s="213"/>
      <c r="K25" s="213"/>
      <c r="L25" s="213"/>
      <c r="M25" s="213"/>
      <c r="N25" s="213"/>
      <c r="O25" s="213"/>
      <c r="P25" s="213"/>
      <c r="Q25" s="213"/>
      <c r="R25" s="213"/>
      <c r="S25" s="712"/>
      <c r="T25" s="213"/>
      <c r="U25" s="82"/>
      <c r="V25" s="82"/>
      <c r="W25" s="82"/>
      <c r="X25" s="82"/>
      <c r="Y25" s="82"/>
      <c r="Z25" s="82"/>
      <c r="AA25" s="82"/>
    </row>
    <row r="26" spans="1:27" ht="25.5" x14ac:dyDescent="0.2">
      <c r="A26" s="672" t="s">
        <v>223</v>
      </c>
      <c r="B26" s="284">
        <f>+Invoerblad!E90</f>
        <v>0</v>
      </c>
      <c r="C26" s="277">
        <f>IF(YEAR(Invoerblad!$E$43)&gt;C12,0,IF(B26-(Invoerblad!$E$90/$B$24)&gt;0,B26-(Invoerblad!$E$90/$B$24),0))</f>
        <v>0</v>
      </c>
      <c r="D26" s="277">
        <f>IF(YEAR(Invoerblad!$E$43)&gt;D12,0,
IF(AND(YEAR(Invoerblad!$E$43)=D12,B26-(Invoerblad!$E$90/$B$24)&gt;0),B26-(Invoerblad!$E$90/$B$24),
IF(AND(YEAR(Invoerblad!$E$43)=D12,B26-(Invoerblad!$E$90/$B$24)=0),0,
IF(C26-(Invoerblad!$E$90/$B$24)&gt;0,C26-(Invoerblad!$E$90/$B$24),0))))</f>
        <v>0</v>
      </c>
      <c r="E26" s="277">
        <f>IF(AND(YEAR(Invoerblad!$E$43)=E12,B26-(Invoerblad!$E$90/$B$24)&gt;0),B26-(Invoerblad!$E$90/$B$24),
IF(AND(YEAR(Invoerblad!$E$43)=E12,B26-(Invoerblad!$E$90/$B$24)=0),0,
IF(D26-(Invoerblad!$E$90/$B$24)&gt;0,D26-(Invoerblad!$E$90/$B$24),0)))</f>
        <v>0</v>
      </c>
      <c r="F26" s="277">
        <f>+IF(E26-(Invoerblad!$E$90/$B$24)&gt;0,E26-(Invoerblad!$E$90/$B$24),0)</f>
        <v>0</v>
      </c>
      <c r="G26" s="277">
        <f>+IF(F26-(Invoerblad!$E$90/$B$24)&gt;0,F26-(Invoerblad!$E$90/$B$24),0)</f>
        <v>0</v>
      </c>
      <c r="H26" s="277">
        <f>+IF(G26-(Invoerblad!$E$90/$B$24)&gt;0,G26-(Invoerblad!$E$90/$B$24),0)</f>
        <v>0</v>
      </c>
      <c r="I26" s="277">
        <f>+IF(H26-(Invoerblad!$E$90/$B$24)&gt;0,H26-(Invoerblad!$E$90/$B$24),0)</f>
        <v>0</v>
      </c>
      <c r="J26" s="277">
        <f>+IF(I26-(Invoerblad!$E$90/$B$24)&gt;0,I26-(Invoerblad!$E$90/$B$24),0)</f>
        <v>0</v>
      </c>
      <c r="K26" s="277">
        <f>+IF(J26-(Invoerblad!$E$90/$B$24)&gt;0,J26-(Invoerblad!$E$90/$B$24),0)</f>
        <v>0</v>
      </c>
      <c r="L26" s="277">
        <f>+IF(K26-(Invoerblad!$E$90/$B$24)&gt;0,K26-(Invoerblad!$E$90/$B$24),0)</f>
        <v>0</v>
      </c>
      <c r="M26" s="277">
        <f>+IF(L26-(Invoerblad!$E$90/$B$24)&gt;0,L26-(Invoerblad!$E$90/$B$24),0)</f>
        <v>0</v>
      </c>
      <c r="N26" s="277">
        <f>+IF(M26-(Invoerblad!$E$90/$B$24)&gt;0,M26-(Invoerblad!$E$90/$B$24),0)</f>
        <v>0</v>
      </c>
      <c r="O26" s="696"/>
      <c r="P26" s="696"/>
      <c r="Q26" s="696"/>
      <c r="R26" s="213"/>
      <c r="S26" s="712"/>
      <c r="T26" s="213"/>
      <c r="U26" s="82"/>
      <c r="V26" s="82"/>
      <c r="W26" s="82"/>
      <c r="X26" s="82"/>
      <c r="Y26" s="82"/>
      <c r="Z26" s="82"/>
      <c r="AA26" s="82"/>
    </row>
    <row r="27" spans="1:27" x14ac:dyDescent="0.2">
      <c r="A27" s="212" t="s">
        <v>224</v>
      </c>
      <c r="B27" s="213"/>
      <c r="C27" s="666">
        <f>IF(YEAR(Invoerblad!$E$43)&gt;C12,0,B26*$B$25)</f>
        <v>0</v>
      </c>
      <c r="D27" s="666">
        <f>IF(YEAR(Invoerblad!$E$43)&gt;D12,0,
IF(YEAR(Invoerblad!$E$43)=D12,B26*$B$25,C26*B$25))</f>
        <v>0</v>
      </c>
      <c r="E27" s="666">
        <f>IF(YEAR(Invoerblad!$E$43)=E12,B26*$B$25,D26*$B$25)</f>
        <v>0</v>
      </c>
      <c r="F27" s="666">
        <f t="shared" ref="F27:N27" si="8">+E26*$B$25</f>
        <v>0</v>
      </c>
      <c r="G27" s="666">
        <f t="shared" si="8"/>
        <v>0</v>
      </c>
      <c r="H27" s="666">
        <f t="shared" si="8"/>
        <v>0</v>
      </c>
      <c r="I27" s="666">
        <f t="shared" si="8"/>
        <v>0</v>
      </c>
      <c r="J27" s="666">
        <f t="shared" si="8"/>
        <v>0</v>
      </c>
      <c r="K27" s="666">
        <f t="shared" si="8"/>
        <v>0</v>
      </c>
      <c r="L27" s="666">
        <f t="shared" si="8"/>
        <v>0</v>
      </c>
      <c r="M27" s="666">
        <f t="shared" si="8"/>
        <v>0</v>
      </c>
      <c r="N27" s="666">
        <f t="shared" si="8"/>
        <v>0</v>
      </c>
      <c r="O27" s="665"/>
      <c r="P27" s="665"/>
      <c r="Q27" s="665"/>
      <c r="R27" s="213"/>
      <c r="S27" s="712"/>
      <c r="T27" s="213"/>
      <c r="U27" s="82"/>
      <c r="V27" s="82"/>
      <c r="W27" s="82"/>
      <c r="X27" s="82"/>
      <c r="Y27" s="82"/>
      <c r="Z27" s="82"/>
      <c r="AA27" s="82"/>
    </row>
    <row r="28" spans="1:27" x14ac:dyDescent="0.2">
      <c r="A28" s="212"/>
      <c r="B28" s="213"/>
      <c r="C28" s="284"/>
      <c r="D28" s="284"/>
      <c r="E28" s="284"/>
      <c r="F28" s="284"/>
      <c r="G28" s="284"/>
      <c r="H28" s="284"/>
      <c r="I28" s="284"/>
      <c r="J28" s="284"/>
      <c r="K28" s="284"/>
      <c r="L28" s="284"/>
      <c r="M28" s="284"/>
      <c r="N28" s="284"/>
      <c r="O28" s="284"/>
      <c r="P28" s="284"/>
      <c r="Q28" s="284"/>
      <c r="R28" s="213"/>
      <c r="S28" s="712"/>
      <c r="T28" s="213"/>
      <c r="U28" s="82"/>
      <c r="V28" s="82"/>
      <c r="W28" s="82"/>
      <c r="X28" s="82"/>
      <c r="Y28" s="82"/>
      <c r="Z28" s="82"/>
      <c r="AA28" s="82"/>
    </row>
    <row r="29" spans="1:27" x14ac:dyDescent="0.2">
      <c r="A29" s="212"/>
      <c r="B29" s="280"/>
      <c r="C29" s="213"/>
      <c r="D29" s="213"/>
      <c r="E29" s="213"/>
      <c r="F29" s="213"/>
      <c r="G29" s="213"/>
      <c r="H29" s="213"/>
      <c r="I29" s="213"/>
      <c r="J29" s="213"/>
      <c r="K29" s="213"/>
      <c r="L29" s="213"/>
      <c r="M29" s="213"/>
      <c r="N29" s="213"/>
      <c r="O29" s="213"/>
      <c r="P29" s="213"/>
      <c r="Q29" s="213"/>
      <c r="R29" s="213"/>
      <c r="S29" s="712"/>
      <c r="T29" s="213"/>
      <c r="U29" s="82"/>
      <c r="V29" s="82"/>
      <c r="W29" s="82"/>
      <c r="X29" s="82"/>
      <c r="Y29" s="82"/>
      <c r="Z29" s="82"/>
      <c r="AA29" s="82"/>
    </row>
    <row r="30" spans="1:27" ht="13.5" thickBot="1" x14ac:dyDescent="0.25">
      <c r="A30" s="673" t="s">
        <v>218</v>
      </c>
      <c r="B30" s="697">
        <f>NPV(Invoerblad!$E$96,C27:N27)*'Hulpberekeningen 1'!P32</f>
        <v>0</v>
      </c>
      <c r="C30" s="674" t="s">
        <v>225</v>
      </c>
      <c r="D30" s="698"/>
      <c r="E30" s="214"/>
      <c r="F30" s="214"/>
      <c r="G30" s="214"/>
      <c r="H30" s="214"/>
      <c r="I30" s="214"/>
      <c r="J30" s="214"/>
      <c r="K30" s="214"/>
      <c r="L30" s="214"/>
      <c r="M30" s="214"/>
      <c r="N30" s="214"/>
      <c r="O30" s="214"/>
      <c r="P30" s="214"/>
      <c r="Q30" s="214"/>
      <c r="R30" s="214"/>
      <c r="S30" s="713"/>
      <c r="T30" s="213"/>
      <c r="U30" s="82"/>
      <c r="V30" s="82"/>
      <c r="W30" s="82"/>
      <c r="X30" s="82"/>
      <c r="Y30" s="82"/>
      <c r="Z30" s="82"/>
      <c r="AA30" s="82"/>
    </row>
    <row r="31" spans="1:27" x14ac:dyDescent="0.2">
      <c r="A31" s="207"/>
      <c r="B31" s="207"/>
      <c r="C31" s="85"/>
      <c r="D31" s="85"/>
      <c r="E31" s="207"/>
      <c r="F31" s="207"/>
      <c r="G31" s="207"/>
      <c r="H31" s="207"/>
      <c r="I31" s="207"/>
      <c r="J31" s="207"/>
      <c r="K31" s="207"/>
      <c r="L31" s="207"/>
      <c r="M31" s="207"/>
      <c r="N31" s="207"/>
      <c r="O31" s="207"/>
      <c r="P31" s="207"/>
      <c r="Q31" s="207"/>
      <c r="R31" s="82"/>
      <c r="S31" s="82"/>
      <c r="T31" s="82"/>
      <c r="U31" s="82"/>
      <c r="V31" s="82"/>
      <c r="W31" s="82"/>
      <c r="X31" s="82"/>
      <c r="Y31" s="82"/>
      <c r="Z31" s="82"/>
      <c r="AA31" s="82"/>
    </row>
    <row r="32" spans="1:27" x14ac:dyDescent="0.2">
      <c r="A32" s="82"/>
      <c r="B32" s="82"/>
      <c r="C32" s="85"/>
      <c r="D32" s="85"/>
      <c r="E32" s="82"/>
      <c r="F32" s="82"/>
      <c r="G32" s="82"/>
      <c r="H32" s="82"/>
      <c r="I32" s="82"/>
      <c r="J32" s="82"/>
      <c r="K32" s="82"/>
      <c r="L32" s="82"/>
      <c r="M32" s="82"/>
      <c r="N32" s="82"/>
      <c r="O32" s="82"/>
      <c r="P32" s="82"/>
      <c r="Q32" s="82"/>
      <c r="R32" s="82"/>
      <c r="S32" s="82"/>
      <c r="T32" s="82"/>
      <c r="U32" s="82"/>
      <c r="V32" s="82"/>
      <c r="W32" s="82"/>
      <c r="X32" s="82"/>
      <c r="Y32" s="82"/>
      <c r="Z32" s="82"/>
      <c r="AA32" s="82"/>
    </row>
    <row r="33" spans="1:27" x14ac:dyDescent="0.2">
      <c r="A33" s="82"/>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row>
    <row r="34" spans="1:27" ht="12.75" customHeight="1" x14ac:dyDescent="0.2">
      <c r="A34" s="82"/>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82"/>
    </row>
    <row r="35" spans="1:27" x14ac:dyDescent="0.2">
      <c r="A35" s="82"/>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row>
    <row r="36" spans="1:27" x14ac:dyDescent="0.2">
      <c r="A36" s="82"/>
      <c r="B36" s="82"/>
      <c r="C36" s="82"/>
      <c r="D36" s="82"/>
      <c r="E36" s="82"/>
      <c r="F36" s="82"/>
      <c r="G36" s="82"/>
      <c r="H36" s="82"/>
      <c r="I36" s="82"/>
      <c r="J36" s="82"/>
      <c r="K36" s="82"/>
      <c r="L36" s="82"/>
      <c r="M36" s="82"/>
      <c r="N36" s="82"/>
      <c r="O36" s="82"/>
      <c r="P36" s="82"/>
      <c r="Q36" s="82"/>
      <c r="R36" s="82"/>
      <c r="S36" s="82"/>
      <c r="T36" s="82"/>
      <c r="U36" s="82"/>
      <c r="V36" s="82"/>
      <c r="W36" s="82"/>
      <c r="X36" s="82"/>
      <c r="Y36" s="82"/>
      <c r="Z36" s="82"/>
      <c r="AA36" s="82"/>
    </row>
    <row r="37" spans="1:27" x14ac:dyDescent="0.2">
      <c r="A37" s="82"/>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row>
    <row r="38" spans="1:27" x14ac:dyDescent="0.2">
      <c r="A38" s="82"/>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row>
    <row r="39" spans="1:27" x14ac:dyDescent="0.2">
      <c r="A39" s="82"/>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row>
    <row r="40" spans="1:27" x14ac:dyDescent="0.2">
      <c r="A40" s="82"/>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row>
    <row r="41" spans="1:27" x14ac:dyDescent="0.2">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row>
    <row r="42" spans="1:27" x14ac:dyDescent="0.2">
      <c r="A42" s="82"/>
      <c r="B42" s="82"/>
      <c r="C42" s="271"/>
      <c r="D42" s="271"/>
      <c r="E42" s="271"/>
      <c r="F42" s="271"/>
      <c r="G42" s="271"/>
      <c r="H42" s="271"/>
      <c r="I42" s="271"/>
      <c r="J42" s="271"/>
      <c r="K42" s="271"/>
      <c r="L42" s="271"/>
      <c r="M42" s="271"/>
      <c r="N42" s="26"/>
      <c r="O42" s="26"/>
      <c r="P42" s="3"/>
      <c r="Q42" s="3"/>
      <c r="R42" s="3"/>
      <c r="S42" s="3"/>
    </row>
    <row r="43" spans="1:27" x14ac:dyDescent="0.2">
      <c r="A43" s="82"/>
      <c r="B43" s="82"/>
      <c r="C43" s="271"/>
      <c r="D43" s="271"/>
      <c r="E43" s="271"/>
      <c r="F43" s="271"/>
      <c r="G43" s="271"/>
      <c r="H43" s="271"/>
      <c r="I43" s="271"/>
      <c r="J43" s="271"/>
      <c r="K43" s="271"/>
      <c r="L43" s="271"/>
      <c r="M43" s="271"/>
      <c r="N43" s="26"/>
      <c r="O43" s="9"/>
    </row>
    <row r="44" spans="1:27" x14ac:dyDescent="0.2">
      <c r="A44" s="82"/>
      <c r="B44" s="82"/>
      <c r="C44" s="271"/>
      <c r="D44" s="271"/>
      <c r="E44" s="271"/>
      <c r="F44" s="271"/>
      <c r="G44" s="271"/>
      <c r="H44" s="271"/>
      <c r="I44" s="271"/>
      <c r="J44" s="271"/>
      <c r="K44" s="271"/>
      <c r="L44" s="271"/>
      <c r="M44" s="271"/>
      <c r="N44" s="26"/>
      <c r="O44" s="9"/>
    </row>
    <row r="45" spans="1:27" x14ac:dyDescent="0.2">
      <c r="A45" s="82"/>
      <c r="B45" s="82"/>
      <c r="C45" s="271"/>
      <c r="D45" s="271"/>
      <c r="E45" s="271"/>
      <c r="F45" s="271"/>
      <c r="G45" s="271"/>
      <c r="H45" s="271"/>
      <c r="I45" s="271"/>
      <c r="J45" s="271"/>
      <c r="K45" s="271"/>
      <c r="L45" s="271"/>
      <c r="M45" s="271"/>
      <c r="N45" s="26"/>
      <c r="O45" s="9"/>
    </row>
    <row r="46" spans="1:27" x14ac:dyDescent="0.2">
      <c r="A46" s="272"/>
      <c r="B46" s="271"/>
      <c r="C46" s="271"/>
      <c r="D46" s="271"/>
      <c r="E46" s="271"/>
      <c r="F46" s="271"/>
      <c r="G46" s="271"/>
      <c r="H46" s="271"/>
      <c r="I46" s="271"/>
      <c r="J46" s="271"/>
      <c r="K46" s="271"/>
      <c r="L46" s="285"/>
      <c r="M46" s="271"/>
      <c r="N46" s="26"/>
      <c r="O46" s="9"/>
    </row>
    <row r="47" spans="1:27" x14ac:dyDescent="0.2">
      <c r="A47" s="272"/>
      <c r="B47" s="271"/>
      <c r="C47" s="271"/>
      <c r="D47" s="271"/>
      <c r="E47" s="271"/>
      <c r="F47" s="271"/>
      <c r="G47" s="271"/>
      <c r="H47" s="271"/>
      <c r="I47" s="271"/>
      <c r="J47" s="271"/>
      <c r="K47" s="271"/>
      <c r="L47" s="271"/>
      <c r="M47" s="271"/>
      <c r="N47" s="26"/>
      <c r="O47" s="9"/>
    </row>
    <row r="48" spans="1:27" x14ac:dyDescent="0.2">
      <c r="A48" s="272"/>
      <c r="B48" s="271"/>
      <c r="C48" s="271"/>
      <c r="D48" s="271"/>
      <c r="E48" s="271"/>
      <c r="F48" s="271"/>
      <c r="G48" s="271"/>
      <c r="H48" s="271"/>
      <c r="I48" s="271"/>
      <c r="J48" s="271"/>
      <c r="K48" s="271"/>
      <c r="L48" s="271"/>
      <c r="M48" s="271"/>
      <c r="N48" s="26"/>
      <c r="O48" s="9"/>
    </row>
    <row r="49" spans="1:15" x14ac:dyDescent="0.2">
      <c r="A49" s="272"/>
      <c r="B49" s="271"/>
      <c r="C49" s="271"/>
      <c r="D49" s="271"/>
      <c r="E49" s="271"/>
      <c r="F49" s="271"/>
      <c r="G49" s="271"/>
      <c r="H49" s="271"/>
      <c r="I49" s="271"/>
      <c r="J49" s="271"/>
      <c r="K49" s="271"/>
      <c r="L49" s="271"/>
      <c r="M49" s="271"/>
      <c r="N49" s="26"/>
      <c r="O49" s="9"/>
    </row>
    <row r="50" spans="1:15" x14ac:dyDescent="0.2">
      <c r="A50" s="272"/>
      <c r="B50" s="271"/>
      <c r="C50" s="271"/>
      <c r="D50" s="271"/>
      <c r="E50" s="271"/>
      <c r="F50" s="271"/>
      <c r="G50" s="271"/>
      <c r="H50" s="271"/>
      <c r="I50" s="271"/>
      <c r="J50" s="271"/>
      <c r="K50" s="271"/>
      <c r="L50" s="271"/>
      <c r="M50" s="271"/>
      <c r="N50" s="26"/>
      <c r="O50" s="9"/>
    </row>
    <row r="51" spans="1:15" x14ac:dyDescent="0.2">
      <c r="A51" s="272"/>
      <c r="B51" s="271"/>
      <c r="C51" s="271"/>
      <c r="D51" s="271"/>
      <c r="E51" s="271"/>
      <c r="F51" s="271"/>
      <c r="G51" s="271"/>
      <c r="H51" s="271"/>
      <c r="I51" s="271"/>
      <c r="J51" s="271"/>
      <c r="K51" s="271"/>
      <c r="L51" s="271"/>
      <c r="M51" s="271"/>
      <c r="N51" s="26"/>
      <c r="O51" s="9"/>
    </row>
    <row r="52" spans="1:15" x14ac:dyDescent="0.2">
      <c r="A52" s="272"/>
      <c r="B52" s="271"/>
      <c r="C52" s="271"/>
      <c r="D52" s="271"/>
      <c r="E52" s="271"/>
      <c r="F52" s="271"/>
      <c r="G52" s="271"/>
      <c r="H52" s="271"/>
      <c r="I52" s="271"/>
      <c r="J52" s="271"/>
      <c r="K52" s="271"/>
      <c r="L52" s="271"/>
      <c r="M52" s="271"/>
      <c r="N52" s="26"/>
      <c r="O52" s="9"/>
    </row>
    <row r="53" spans="1:15" x14ac:dyDescent="0.2">
      <c r="A53" s="272"/>
      <c r="B53" s="271"/>
      <c r="C53" s="271"/>
      <c r="D53" s="271"/>
      <c r="E53" s="271"/>
      <c r="F53" s="271"/>
      <c r="G53" s="271"/>
      <c r="H53" s="271"/>
      <c r="I53" s="271"/>
      <c r="J53" s="271"/>
      <c r="K53" s="271"/>
      <c r="L53" s="271"/>
      <c r="M53" s="271"/>
      <c r="N53" s="26"/>
      <c r="O53" s="9"/>
    </row>
    <row r="54" spans="1:15" x14ac:dyDescent="0.2">
      <c r="A54" s="272"/>
      <c r="B54" s="271"/>
      <c r="C54" s="271"/>
      <c r="D54" s="271"/>
      <c r="E54" s="271"/>
      <c r="F54" s="271"/>
      <c r="G54" s="271"/>
      <c r="H54" s="271"/>
      <c r="I54" s="271"/>
      <c r="J54" s="271"/>
      <c r="K54" s="271"/>
      <c r="L54" s="271"/>
      <c r="M54" s="271"/>
      <c r="N54" s="26"/>
      <c r="O54" s="9"/>
    </row>
    <row r="55" spans="1:15" x14ac:dyDescent="0.2">
      <c r="A55" s="272"/>
      <c r="B55" s="271"/>
      <c r="C55" s="271"/>
      <c r="D55" s="271"/>
      <c r="E55" s="271"/>
      <c r="F55" s="271"/>
      <c r="G55" s="271"/>
      <c r="H55" s="271"/>
      <c r="I55" s="271"/>
      <c r="J55" s="271"/>
      <c r="K55" s="271"/>
      <c r="L55" s="271"/>
      <c r="M55" s="271"/>
      <c r="N55" s="26"/>
      <c r="O55" s="9"/>
    </row>
    <row r="56" spans="1:15" x14ac:dyDescent="0.2">
      <c r="A56" s="272"/>
      <c r="B56" s="271"/>
      <c r="C56" s="271"/>
      <c r="D56" s="271"/>
      <c r="E56" s="271"/>
      <c r="F56" s="271"/>
      <c r="G56" s="271"/>
      <c r="H56" s="271"/>
      <c r="I56" s="271"/>
      <c r="J56" s="271"/>
      <c r="K56" s="271"/>
      <c r="L56" s="271"/>
      <c r="M56" s="271"/>
      <c r="N56" s="26"/>
      <c r="O56" s="9"/>
    </row>
    <row r="57" spans="1:15" x14ac:dyDescent="0.2">
      <c r="A57" s="272"/>
      <c r="B57" s="271"/>
      <c r="C57" s="271"/>
      <c r="D57" s="271"/>
      <c r="E57" s="271"/>
      <c r="F57" s="271"/>
      <c r="G57" s="271"/>
      <c r="H57" s="271"/>
      <c r="I57" s="271"/>
      <c r="J57" s="271"/>
      <c r="K57" s="271"/>
      <c r="L57" s="271"/>
      <c r="M57" s="271"/>
      <c r="N57" s="26"/>
      <c r="O57" s="9"/>
    </row>
    <row r="58" spans="1:15" x14ac:dyDescent="0.2">
      <c r="A58" s="272"/>
      <c r="B58" s="286"/>
      <c r="C58" s="286"/>
      <c r="D58" s="286"/>
      <c r="E58" s="286"/>
      <c r="F58" s="286"/>
      <c r="G58" s="286"/>
      <c r="H58" s="286"/>
      <c r="I58" s="286"/>
      <c r="J58" s="286"/>
      <c r="K58" s="286"/>
      <c r="L58" s="285"/>
      <c r="M58" s="286"/>
      <c r="N58" s="26"/>
      <c r="O58" s="9"/>
    </row>
    <row r="59" spans="1:15" x14ac:dyDescent="0.2">
      <c r="A59" s="272"/>
      <c r="B59" s="272"/>
      <c r="C59" s="272"/>
      <c r="D59" s="272"/>
      <c r="E59" s="272"/>
      <c r="F59" s="272"/>
      <c r="G59" s="272"/>
      <c r="H59" s="272"/>
      <c r="I59" s="272"/>
      <c r="J59" s="272"/>
      <c r="K59" s="272"/>
      <c r="L59" s="287"/>
      <c r="M59" s="272"/>
      <c r="N59" s="26"/>
      <c r="O59" s="9"/>
    </row>
    <row r="60" spans="1:15" x14ac:dyDescent="0.2">
      <c r="A60" s="26"/>
      <c r="B60" s="26"/>
      <c r="C60" s="26"/>
      <c r="D60" s="26"/>
      <c r="E60" s="26"/>
      <c r="F60" s="26"/>
      <c r="G60" s="26"/>
      <c r="H60" s="26"/>
      <c r="I60" s="26"/>
      <c r="J60" s="26"/>
      <c r="K60" s="26"/>
      <c r="L60" s="26"/>
      <c r="M60" s="26"/>
      <c r="N60" s="26"/>
      <c r="O60" s="9"/>
    </row>
  </sheetData>
  <pageMargins left="0.75" right="0.75" top="1" bottom="1" header="0.51180555555555496" footer="0.51180555555555496"/>
  <pageSetup paperSize="9" firstPageNumber="0" orientation="landscape" horizontalDpi="300" verticalDpi="300" r:id="rId1"/>
  <headerFooter>
    <oddHeader>&amp;L&amp;"Calibri"&amp;10&amp;K000000 Vertrouwelijk&amp;1#_x000D_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20"/>
  <sheetViews>
    <sheetView zoomScaleNormal="100" workbookViewId="0">
      <selection activeCell="C29" sqref="C29"/>
    </sheetView>
  </sheetViews>
  <sheetFormatPr defaultRowHeight="12.75" x14ac:dyDescent="0.2"/>
  <cols>
    <col min="1" max="1" width="65.5" customWidth="1"/>
    <col min="2" max="2" width="10.83203125" customWidth="1"/>
    <col min="3" max="20" width="15.83203125" customWidth="1"/>
    <col min="21" max="1025" width="8.6640625" customWidth="1"/>
  </cols>
  <sheetData>
    <row r="1" spans="1:24" ht="18.75" x14ac:dyDescent="0.3">
      <c r="A1" s="699" t="s">
        <v>226</v>
      </c>
      <c r="B1" s="323"/>
      <c r="C1" s="323"/>
      <c r="D1" s="323"/>
      <c r="E1" s="323"/>
      <c r="F1" s="323"/>
      <c r="G1" s="323"/>
      <c r="H1" s="323"/>
      <c r="I1" s="323"/>
      <c r="J1" s="323"/>
      <c r="K1" s="323"/>
      <c r="L1" s="323"/>
      <c r="M1" s="323"/>
      <c r="N1" s="323"/>
      <c r="O1" s="323"/>
      <c r="P1" s="323"/>
      <c r="Q1" s="323"/>
      <c r="R1" s="323"/>
      <c r="S1" s="323"/>
      <c r="T1" s="323"/>
      <c r="U1" s="323"/>
      <c r="V1" s="323"/>
      <c r="W1" s="323"/>
    </row>
    <row r="2" spans="1:24" x14ac:dyDescent="0.2">
      <c r="A2" s="323"/>
      <c r="B2" s="323"/>
      <c r="C2" s="323"/>
      <c r="D2" s="323"/>
      <c r="E2" s="323"/>
      <c r="F2" s="323"/>
      <c r="G2" s="323"/>
      <c r="H2" s="323"/>
      <c r="I2" s="323"/>
      <c r="J2" s="323"/>
      <c r="K2" s="323"/>
      <c r="L2" s="323"/>
      <c r="M2" s="323"/>
      <c r="N2" s="323"/>
      <c r="O2" s="323"/>
      <c r="P2" s="323"/>
      <c r="Q2" s="323"/>
      <c r="R2" s="323"/>
      <c r="S2" s="323"/>
      <c r="T2" s="323"/>
      <c r="U2" s="323"/>
      <c r="V2" s="323"/>
      <c r="W2" s="323"/>
    </row>
    <row r="3" spans="1:24" x14ac:dyDescent="0.2">
      <c r="A3" s="389" t="s">
        <v>488</v>
      </c>
      <c r="B3" s="323"/>
      <c r="C3" s="323"/>
      <c r="D3" s="323"/>
      <c r="E3" s="323"/>
      <c r="F3" s="323"/>
      <c r="G3" s="323"/>
      <c r="H3" s="323"/>
      <c r="I3" s="323"/>
      <c r="J3" s="323"/>
      <c r="K3" s="323"/>
      <c r="L3" s="323"/>
      <c r="M3" s="323"/>
      <c r="N3" s="323"/>
      <c r="O3" s="323"/>
      <c r="P3" s="323"/>
      <c r="Q3" s="323"/>
      <c r="R3" s="323"/>
      <c r="S3" s="323"/>
      <c r="T3" s="323"/>
      <c r="U3" s="323"/>
      <c r="V3" s="323"/>
      <c r="W3" s="323"/>
    </row>
    <row r="4" spans="1:24" x14ac:dyDescent="0.2">
      <c r="A4" s="323" t="s">
        <v>227</v>
      </c>
      <c r="B4" s="700">
        <f>Invoerblad!E67</f>
        <v>0</v>
      </c>
      <c r="C4" s="323"/>
      <c r="D4" s="323"/>
      <c r="E4" s="323"/>
      <c r="F4" s="323"/>
      <c r="G4" s="323"/>
      <c r="H4" s="323"/>
      <c r="I4" s="323"/>
      <c r="J4" s="323"/>
      <c r="K4" s="323"/>
      <c r="L4" s="323"/>
      <c r="M4" s="323"/>
      <c r="N4" s="323"/>
      <c r="O4" s="323"/>
      <c r="P4" s="323"/>
      <c r="Q4" s="323"/>
      <c r="R4" s="323"/>
      <c r="S4" s="323"/>
      <c r="T4" s="323"/>
      <c r="U4" s="323"/>
      <c r="V4" s="323"/>
      <c r="W4" s="323"/>
    </row>
    <row r="5" spans="1:24" x14ac:dyDescent="0.2">
      <c r="A5" s="323"/>
      <c r="B5" s="323"/>
      <c r="C5" s="323" t="s">
        <v>184</v>
      </c>
      <c r="D5" s="323"/>
      <c r="E5" s="323"/>
      <c r="F5" s="323"/>
      <c r="G5" s="323"/>
      <c r="H5" s="323"/>
      <c r="I5" s="323"/>
      <c r="J5" s="323"/>
      <c r="K5" s="323"/>
      <c r="L5" s="323"/>
      <c r="M5" s="323"/>
      <c r="N5" s="323"/>
      <c r="O5" s="323"/>
      <c r="P5" s="323"/>
      <c r="Q5" s="323"/>
      <c r="R5" s="323"/>
      <c r="S5" s="323"/>
      <c r="T5" s="323"/>
      <c r="U5" s="323"/>
      <c r="V5" s="323"/>
      <c r="W5" s="323"/>
    </row>
    <row r="6" spans="1:24" x14ac:dyDescent="0.2">
      <c r="A6" s="323"/>
      <c r="B6" s="323"/>
      <c r="C6" s="323">
        <v>1</v>
      </c>
      <c r="D6" s="323">
        <v>2</v>
      </c>
      <c r="E6" s="323">
        <v>3</v>
      </c>
      <c r="F6" s="323">
        <v>4</v>
      </c>
      <c r="G6" s="323">
        <v>5</v>
      </c>
      <c r="H6" s="323">
        <v>6</v>
      </c>
      <c r="I6" s="323">
        <v>7</v>
      </c>
      <c r="J6" s="323">
        <v>8</v>
      </c>
      <c r="K6" s="323">
        <v>9</v>
      </c>
      <c r="L6" s="323">
        <v>10</v>
      </c>
      <c r="M6" s="323">
        <v>11</v>
      </c>
      <c r="N6" s="323">
        <v>12</v>
      </c>
      <c r="O6" s="323">
        <v>13</v>
      </c>
      <c r="P6" s="323">
        <v>14</v>
      </c>
      <c r="Q6" s="323">
        <v>15</v>
      </c>
      <c r="R6" s="323">
        <v>16</v>
      </c>
      <c r="S6" s="323">
        <v>17</v>
      </c>
      <c r="T6" s="323">
        <v>18</v>
      </c>
      <c r="U6" s="323"/>
      <c r="V6" s="323"/>
      <c r="W6" s="323"/>
    </row>
    <row r="7" spans="1:24" s="3" customFormat="1" x14ac:dyDescent="0.2">
      <c r="A7" s="323"/>
      <c r="B7" s="323"/>
      <c r="C7" s="323">
        <f>Invoerblad!K18</f>
        <v>1900</v>
      </c>
      <c r="D7" s="323">
        <f>Invoerblad!L18</f>
        <v>1901</v>
      </c>
      <c r="E7" s="323">
        <f>Invoerblad!M18</f>
        <v>1902</v>
      </c>
      <c r="F7" s="323">
        <f>Invoerblad!N18</f>
        <v>1903</v>
      </c>
      <c r="G7" s="323">
        <f>Invoerblad!O18</f>
        <v>1904</v>
      </c>
      <c r="H7" s="323">
        <f>Invoerblad!P18</f>
        <v>1905</v>
      </c>
      <c r="I7" s="323">
        <f>Invoerblad!Q18</f>
        <v>1906</v>
      </c>
      <c r="J7" s="323">
        <f>Invoerblad!R18</f>
        <v>1907</v>
      </c>
      <c r="K7" s="323">
        <f>Invoerblad!S18</f>
        <v>1908</v>
      </c>
      <c r="L7" s="323">
        <f>Invoerblad!T18</f>
        <v>1909</v>
      </c>
      <c r="M7" s="323">
        <f>Invoerblad!U18</f>
        <v>1910</v>
      </c>
      <c r="N7" s="323">
        <f>Invoerblad!V18</f>
        <v>1911</v>
      </c>
      <c r="O7" s="323">
        <f>Invoerblad!W18</f>
        <v>1912</v>
      </c>
      <c r="P7" s="323">
        <f>Invoerblad!X18</f>
        <v>1913</v>
      </c>
      <c r="Q7" s="323">
        <f>Invoerblad!Y18</f>
        <v>1914</v>
      </c>
      <c r="R7" s="323">
        <f>Invoerblad!Z18</f>
        <v>1915</v>
      </c>
      <c r="S7" s="323">
        <f>Invoerblad!AA18</f>
        <v>1916</v>
      </c>
      <c r="T7" s="323">
        <f>Invoerblad!AB18</f>
        <v>0</v>
      </c>
      <c r="U7" s="323"/>
      <c r="V7" s="323"/>
      <c r="W7" s="323"/>
    </row>
    <row r="8" spans="1:24" x14ac:dyDescent="0.2">
      <c r="A8" s="323" t="s">
        <v>489</v>
      </c>
      <c r="B8" s="323"/>
      <c r="C8" s="701">
        <f>IF(YEAR(Invoerblad!$E$43)&gt;C7,0,
IF(YEAR(Invoerblad!$E$43)=C7,(1-(MONTH(Invoerblad!$E$43)-1)/12)*Invoerblad!$E$73/'Hulpberekeningen 1'!$E$1,
+Invoerblad!$E$73/'Hulpberekeningen 1'!$E$1*'Hulpberekeningen 1'!E24))</f>
        <v>0</v>
      </c>
      <c r="D8" s="701">
        <f>IF(YEAR(Invoerblad!$E$43)&gt;D7,0,
IF(YEAR(Invoerblad!$E$43)=D7,(1-(MONTH(Invoerblad!$E$43)-1)/12)*Invoerblad!$E$73/'Hulpberekeningen 1'!$E$1,
+Invoerblad!$E$73/'Hulpberekeningen 1'!$E$1*'Hulpberekeningen 1'!F24))</f>
        <v>0</v>
      </c>
      <c r="E8" s="701">
        <f>IF(YEAR(Invoerblad!$E$43)&gt;E7,0,
IF(YEAR(Invoerblad!$E$43)=E7,(1-(MONTH(Invoerblad!$E$43)-1)/12)*Invoerblad!$E$73/'Hulpberekeningen 1'!$E$1,
+Invoerblad!$E$73/'Hulpberekeningen 1'!$E$1*'Hulpberekeningen 1'!G24))</f>
        <v>0</v>
      </c>
      <c r="F8" s="701">
        <f>Invoerblad!$E$73/'Hulpberekeningen 1'!$E$1*'Hulpberekeningen 1'!H24</f>
        <v>0</v>
      </c>
      <c r="G8" s="701">
        <f>Invoerblad!$E$73/'Hulpberekeningen 1'!$E$1*'Hulpberekeningen 1'!I24</f>
        <v>0</v>
      </c>
      <c r="H8" s="701">
        <f>Invoerblad!$E$73/'Hulpberekeningen 1'!$E$1*'Hulpberekeningen 1'!J24</f>
        <v>0</v>
      </c>
      <c r="I8" s="701">
        <f>Invoerblad!$E$73/'Hulpberekeningen 1'!$E$1*'Hulpberekeningen 1'!K24</f>
        <v>0</v>
      </c>
      <c r="J8" s="701">
        <f>Invoerblad!$E$73/'Hulpberekeningen 1'!$E$1*'Hulpberekeningen 1'!L24</f>
        <v>0</v>
      </c>
      <c r="K8" s="701">
        <f>Invoerblad!$E$73/'Hulpberekeningen 1'!$E$1*'Hulpberekeningen 1'!M24</f>
        <v>0</v>
      </c>
      <c r="L8" s="701">
        <f>Invoerblad!$E$73/'Hulpberekeningen 1'!$E$1*'Hulpberekeningen 1'!N24</f>
        <v>0</v>
      </c>
      <c r="M8" s="701">
        <f>Invoerblad!$E$73/'Hulpberekeningen 1'!$E$1*'Hulpberekeningen 1'!O24</f>
        <v>0</v>
      </c>
      <c r="N8" s="701">
        <f>Invoerblad!$E$73/'Hulpberekeningen 1'!$E$1*'Hulpberekeningen 1'!P24</f>
        <v>0</v>
      </c>
      <c r="O8" s="701">
        <f>Invoerblad!$E$73/'Hulpberekeningen 1'!$E$1*'Hulpberekeningen 1'!Q24</f>
        <v>0</v>
      </c>
      <c r="P8" s="701">
        <f>Invoerblad!$E$73/'Hulpberekeningen 1'!$E$1*'Hulpberekeningen 1'!R24</f>
        <v>0</v>
      </c>
      <c r="Q8" s="701">
        <f>Invoerblad!$E$73/'Hulpberekeningen 1'!$E$1*'Hulpberekeningen 1'!S24</f>
        <v>0</v>
      </c>
      <c r="R8" s="701">
        <f>Invoerblad!$E$73/'Hulpberekeningen 1'!$E$1-C8</f>
        <v>0</v>
      </c>
      <c r="S8" s="701">
        <f>Invoerblad!$E$73/'Hulpberekeningen 1'!$E$1-D8</f>
        <v>0</v>
      </c>
      <c r="T8" s="701">
        <f>Invoerblad!$E$73/'Hulpberekeningen 1'!$E$1-E8</f>
        <v>0</v>
      </c>
      <c r="U8" s="323"/>
      <c r="V8" s="323"/>
      <c r="W8" s="323"/>
      <c r="X8" s="139"/>
    </row>
    <row r="9" spans="1:24" x14ac:dyDescent="0.2">
      <c r="A9" s="323" t="s">
        <v>228</v>
      </c>
      <c r="B9" s="323"/>
      <c r="C9" s="683">
        <f>+Invoerblad!K73</f>
        <v>0</v>
      </c>
      <c r="D9" s="683">
        <f>+Invoerblad!L73</f>
        <v>0</v>
      </c>
      <c r="E9" s="683">
        <f>+Invoerblad!M73</f>
        <v>0</v>
      </c>
      <c r="F9" s="683">
        <f>+Invoerblad!N73</f>
        <v>0</v>
      </c>
      <c r="G9" s="683">
        <f>+Invoerblad!O73</f>
        <v>0</v>
      </c>
      <c r="H9" s="683">
        <f>+Invoerblad!P73</f>
        <v>0</v>
      </c>
      <c r="I9" s="683">
        <f>+Invoerblad!Q73</f>
        <v>0</v>
      </c>
      <c r="J9" s="683">
        <f>+Invoerblad!R73</f>
        <v>0</v>
      </c>
      <c r="K9" s="683">
        <f>+Invoerblad!S73</f>
        <v>0</v>
      </c>
      <c r="L9" s="683">
        <f>+Invoerblad!T73</f>
        <v>0</v>
      </c>
      <c r="M9" s="683">
        <f>+Invoerblad!U73</f>
        <v>0</v>
      </c>
      <c r="N9" s="683">
        <f>+Invoerblad!V73</f>
        <v>0</v>
      </c>
      <c r="O9" s="683">
        <f>+Invoerblad!W73</f>
        <v>0</v>
      </c>
      <c r="P9" s="683">
        <f>+Invoerblad!X73</f>
        <v>0</v>
      </c>
      <c r="Q9" s="683">
        <f>+Invoerblad!Y73</f>
        <v>0</v>
      </c>
      <c r="R9" s="683">
        <f>+Invoerblad!Z73</f>
        <v>0</v>
      </c>
      <c r="S9" s="683">
        <f>+Invoerblad!AA73</f>
        <v>0</v>
      </c>
      <c r="T9" s="683">
        <f>+Invoerblad!AB73</f>
        <v>0</v>
      </c>
      <c r="U9" s="323"/>
      <c r="V9" s="323"/>
      <c r="W9" s="323"/>
      <c r="X9" s="139"/>
    </row>
    <row r="10" spans="1:24" x14ac:dyDescent="0.2">
      <c r="A10" s="323"/>
      <c r="B10" s="323"/>
      <c r="C10" s="683"/>
      <c r="D10" s="683"/>
      <c r="E10" s="683"/>
      <c r="F10" s="683"/>
      <c r="G10" s="683"/>
      <c r="H10" s="683"/>
      <c r="I10" s="683"/>
      <c r="J10" s="683"/>
      <c r="K10" s="683"/>
      <c r="L10" s="683"/>
      <c r="M10" s="683"/>
      <c r="N10" s="683"/>
      <c r="O10" s="683"/>
      <c r="P10" s="683"/>
      <c r="Q10" s="683"/>
      <c r="R10" s="683"/>
      <c r="S10" s="323"/>
      <c r="T10" s="323"/>
      <c r="U10" s="323"/>
      <c r="V10" s="323"/>
      <c r="W10" s="323"/>
    </row>
    <row r="11" spans="1:24" x14ac:dyDescent="0.2">
      <c r="A11" s="323" t="s">
        <v>229</v>
      </c>
      <c r="B11" s="323"/>
      <c r="C11" s="683">
        <f t="shared" ref="C11:T11" si="0">+C9-C8</f>
        <v>0</v>
      </c>
      <c r="D11" s="683">
        <f t="shared" si="0"/>
        <v>0</v>
      </c>
      <c r="E11" s="683">
        <f t="shared" si="0"/>
        <v>0</v>
      </c>
      <c r="F11" s="683">
        <f t="shared" si="0"/>
        <v>0</v>
      </c>
      <c r="G11" s="683">
        <f t="shared" si="0"/>
        <v>0</v>
      </c>
      <c r="H11" s="683">
        <f t="shared" si="0"/>
        <v>0</v>
      </c>
      <c r="I11" s="683">
        <f t="shared" si="0"/>
        <v>0</v>
      </c>
      <c r="J11" s="683">
        <f t="shared" si="0"/>
        <v>0</v>
      </c>
      <c r="K11" s="683">
        <f t="shared" si="0"/>
        <v>0</v>
      </c>
      <c r="L11" s="683">
        <f t="shared" si="0"/>
        <v>0</v>
      </c>
      <c r="M11" s="683">
        <f t="shared" si="0"/>
        <v>0</v>
      </c>
      <c r="N11" s="683">
        <f t="shared" si="0"/>
        <v>0</v>
      </c>
      <c r="O11" s="683">
        <f t="shared" si="0"/>
        <v>0</v>
      </c>
      <c r="P11" s="683">
        <f t="shared" si="0"/>
        <v>0</v>
      </c>
      <c r="Q11" s="683">
        <f t="shared" si="0"/>
        <v>0</v>
      </c>
      <c r="R11" s="683">
        <f t="shared" si="0"/>
        <v>0</v>
      </c>
      <c r="S11" s="683">
        <f t="shared" si="0"/>
        <v>0</v>
      </c>
      <c r="T11" s="683">
        <f t="shared" si="0"/>
        <v>0</v>
      </c>
      <c r="U11" s="323"/>
      <c r="V11" s="323"/>
      <c r="W11" s="323"/>
    </row>
    <row r="12" spans="1:24" x14ac:dyDescent="0.2">
      <c r="A12" s="323"/>
      <c r="B12" s="323"/>
      <c r="C12" s="683"/>
      <c r="D12" s="683"/>
      <c r="E12" s="683"/>
      <c r="F12" s="683"/>
      <c r="G12" s="683"/>
      <c r="H12" s="683"/>
      <c r="I12" s="683"/>
      <c r="J12" s="683"/>
      <c r="K12" s="683"/>
      <c r="L12" s="683"/>
      <c r="M12" s="683"/>
      <c r="N12" s="683"/>
      <c r="O12" s="683"/>
      <c r="P12" s="683"/>
      <c r="Q12" s="683"/>
      <c r="R12" s="683"/>
      <c r="S12" s="323"/>
      <c r="T12" s="323"/>
      <c r="U12" s="323"/>
      <c r="V12" s="323"/>
      <c r="W12" s="323"/>
    </row>
    <row r="13" spans="1:24" x14ac:dyDescent="0.2">
      <c r="A13" s="323" t="s">
        <v>230</v>
      </c>
      <c r="B13" s="323"/>
      <c r="C13" s="683">
        <f>+C11*Invoerblad!$E$67</f>
        <v>0</v>
      </c>
      <c r="D13" s="683">
        <f>+D11*Invoerblad!$E$67</f>
        <v>0</v>
      </c>
      <c r="E13" s="683">
        <f>+E11*Invoerblad!$E$67</f>
        <v>0</v>
      </c>
      <c r="F13" s="683">
        <f>+F11*Invoerblad!$E$67</f>
        <v>0</v>
      </c>
      <c r="G13" s="683">
        <f>+G11*Invoerblad!$E$67</f>
        <v>0</v>
      </c>
      <c r="H13" s="683">
        <f>+H11*Invoerblad!$E$67</f>
        <v>0</v>
      </c>
      <c r="I13" s="683">
        <f>+I11*Invoerblad!$E$67</f>
        <v>0</v>
      </c>
      <c r="J13" s="683">
        <f>+J11*Invoerblad!$E$67</f>
        <v>0</v>
      </c>
      <c r="K13" s="683">
        <f>+K11*Invoerblad!$E$67</f>
        <v>0</v>
      </c>
      <c r="L13" s="683">
        <f>+L11*Invoerblad!$E$67</f>
        <v>0</v>
      </c>
      <c r="M13" s="683">
        <f>+M11*Invoerblad!$E$67</f>
        <v>0</v>
      </c>
      <c r="N13" s="683">
        <f>+N11*Invoerblad!$E$67</f>
        <v>0</v>
      </c>
      <c r="O13" s="683">
        <f>+O11*Invoerblad!$E$67</f>
        <v>0</v>
      </c>
      <c r="P13" s="683">
        <f>+P11*Invoerblad!$E$67</f>
        <v>0</v>
      </c>
      <c r="Q13" s="683">
        <f>+Q11*Invoerblad!$E$67</f>
        <v>0</v>
      </c>
      <c r="R13" s="683">
        <f>+R11*Invoerblad!$E$67</f>
        <v>0</v>
      </c>
      <c r="S13" s="683">
        <f>+S11*Invoerblad!$E$67</f>
        <v>0</v>
      </c>
      <c r="T13" s="683">
        <f>+T11*Invoerblad!$E$67</f>
        <v>0</v>
      </c>
      <c r="U13" s="323"/>
      <c r="V13" s="323"/>
      <c r="W13" s="323"/>
    </row>
    <row r="14" spans="1:24" x14ac:dyDescent="0.2">
      <c r="A14" s="323"/>
      <c r="B14" s="323"/>
      <c r="C14" s="323"/>
      <c r="D14" s="323"/>
      <c r="E14" s="323"/>
      <c r="F14" s="323"/>
      <c r="G14" s="323"/>
      <c r="H14" s="323"/>
      <c r="I14" s="323"/>
      <c r="J14" s="323"/>
      <c r="K14" s="323"/>
      <c r="L14" s="323"/>
      <c r="M14" s="323"/>
      <c r="N14" s="323"/>
      <c r="O14" s="323"/>
      <c r="P14" s="323"/>
      <c r="Q14" s="323"/>
      <c r="R14" s="323"/>
      <c r="S14" s="323"/>
      <c r="T14" s="323"/>
      <c r="U14" s="323"/>
      <c r="V14" s="323"/>
      <c r="W14" s="323"/>
    </row>
    <row r="15" spans="1:24" x14ac:dyDescent="0.2">
      <c r="A15" s="702" t="str">
        <f>"NCW berekend naar datum midden van de bouwperiode ("&amp;DAY(Invoerblad!E45)&amp;"-"&amp;MONTH(Invoerblad!E45)&amp;"-"&amp;YEAR(Invoerblad!E45)&amp;")"</f>
        <v>NCW berekend naar datum midden van de bouwperiode (0-1-1900)</v>
      </c>
      <c r="B15" s="702"/>
      <c r="C15" s="703">
        <f>NPV(Invoerblad!$E$96,C13:T13)*'Hulpberekeningen 1'!$P$32</f>
        <v>0</v>
      </c>
      <c r="D15" s="323"/>
      <c r="E15" s="323"/>
      <c r="F15" s="323"/>
      <c r="G15" s="323"/>
      <c r="H15" s="323"/>
      <c r="I15" s="323"/>
      <c r="J15" s="323"/>
      <c r="K15" s="323"/>
      <c r="L15" s="323"/>
      <c r="M15" s="323"/>
      <c r="N15" s="323"/>
      <c r="O15" s="323"/>
      <c r="P15" s="323"/>
      <c r="Q15" s="323"/>
      <c r="R15" s="323"/>
      <c r="S15" s="323"/>
      <c r="T15" s="323"/>
      <c r="U15" s="323"/>
      <c r="V15" s="323"/>
      <c r="W15" s="323"/>
    </row>
    <row r="16" spans="1:24" x14ac:dyDescent="0.2">
      <c r="A16" s="323"/>
      <c r="B16" s="323"/>
      <c r="C16" s="323"/>
      <c r="D16" s="323"/>
      <c r="E16" s="323"/>
      <c r="F16" s="323"/>
      <c r="G16" s="323"/>
      <c r="H16" s="323"/>
      <c r="I16" s="323"/>
      <c r="J16" s="323"/>
      <c r="K16" s="323"/>
      <c r="L16" s="323"/>
      <c r="M16" s="323"/>
      <c r="N16" s="323"/>
      <c r="O16" s="323"/>
      <c r="P16" s="323"/>
      <c r="Q16" s="323"/>
      <c r="R16" s="323"/>
      <c r="S16" s="323"/>
      <c r="T16" s="323"/>
      <c r="U16" s="323"/>
      <c r="V16" s="323"/>
      <c r="W16" s="323"/>
    </row>
    <row r="17" spans="1:23" x14ac:dyDescent="0.2">
      <c r="A17" s="323"/>
      <c r="B17" s="323"/>
      <c r="C17" s="323"/>
      <c r="D17" s="323"/>
      <c r="E17" s="323"/>
      <c r="F17" s="323"/>
      <c r="G17" s="323"/>
      <c r="H17" s="323"/>
      <c r="I17" s="323"/>
      <c r="J17" s="323"/>
      <c r="K17" s="323"/>
      <c r="L17" s="323"/>
      <c r="M17" s="323"/>
      <c r="N17" s="323"/>
      <c r="O17" s="323"/>
      <c r="P17" s="323"/>
      <c r="Q17" s="323"/>
      <c r="R17" s="323"/>
      <c r="S17" s="323"/>
      <c r="T17" s="323"/>
      <c r="U17" s="323"/>
      <c r="V17" s="323"/>
      <c r="W17" s="323"/>
    </row>
    <row r="18" spans="1:23" x14ac:dyDescent="0.2">
      <c r="A18" s="323"/>
      <c r="B18" s="323"/>
      <c r="C18" s="323"/>
      <c r="D18" s="323"/>
      <c r="E18" s="323"/>
      <c r="F18" s="323"/>
      <c r="G18" s="323"/>
      <c r="H18" s="323"/>
      <c r="I18" s="323"/>
      <c r="J18" s="323"/>
      <c r="K18" s="323"/>
      <c r="L18" s="323"/>
      <c r="M18" s="323"/>
      <c r="N18" s="323"/>
      <c r="O18" s="323"/>
      <c r="P18" s="323"/>
      <c r="Q18" s="323"/>
      <c r="R18" s="323"/>
      <c r="S18" s="323"/>
      <c r="T18" s="323"/>
      <c r="U18" s="323"/>
      <c r="V18" s="323"/>
      <c r="W18" s="323"/>
    </row>
    <row r="19" spans="1:23" x14ac:dyDescent="0.2">
      <c r="A19" s="323"/>
      <c r="B19" s="323"/>
      <c r="C19" s="323"/>
      <c r="D19" s="323"/>
      <c r="E19" s="323"/>
      <c r="F19" s="323"/>
      <c r="G19" s="323"/>
      <c r="H19" s="323"/>
      <c r="I19" s="323"/>
      <c r="J19" s="323"/>
      <c r="K19" s="323"/>
      <c r="L19" s="323"/>
      <c r="M19" s="323"/>
      <c r="N19" s="323"/>
      <c r="O19" s="323"/>
      <c r="P19" s="323"/>
      <c r="Q19" s="323"/>
      <c r="R19" s="323"/>
      <c r="S19" s="323"/>
      <c r="T19" s="323"/>
      <c r="U19" s="323"/>
      <c r="V19" s="323"/>
      <c r="W19" s="323"/>
    </row>
    <row r="20" spans="1:23" x14ac:dyDescent="0.2">
      <c r="A20" s="323"/>
      <c r="B20" s="323"/>
      <c r="C20" s="702"/>
      <c r="D20" s="323"/>
      <c r="E20" s="323"/>
      <c r="F20" s="323"/>
      <c r="G20" s="323"/>
      <c r="H20" s="323"/>
      <c r="I20" s="323"/>
      <c r="J20" s="323"/>
      <c r="K20" s="323"/>
      <c r="L20" s="323"/>
      <c r="M20" s="323"/>
      <c r="N20" s="323"/>
      <c r="O20" s="323"/>
      <c r="P20" s="323"/>
      <c r="Q20" s="323"/>
      <c r="R20" s="323"/>
      <c r="S20" s="323"/>
      <c r="T20" s="323"/>
      <c r="U20" s="323"/>
      <c r="V20" s="323"/>
      <c r="W20" s="323"/>
    </row>
  </sheetData>
  <pageMargins left="0.75" right="0.75" top="1" bottom="1" header="0.51180555555555496" footer="0.51180555555555496"/>
  <pageSetup paperSize="9" firstPageNumber="0" orientation="landscape" horizontalDpi="300" verticalDpi="300" r:id="rId1"/>
  <headerFooter>
    <oddHeader>&amp;L&amp;"Calibri"&amp;10&amp;K000000 Vertrouwelijk&amp;1#_x000D_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40"/>
  <sheetViews>
    <sheetView zoomScaleNormal="100" workbookViewId="0">
      <selection activeCell="C8" sqref="C8"/>
    </sheetView>
  </sheetViews>
  <sheetFormatPr defaultRowHeight="12.75" x14ac:dyDescent="0.2"/>
  <cols>
    <col min="1" max="1" width="8.6640625" customWidth="1"/>
    <col min="2" max="2" width="49.1640625" customWidth="1"/>
    <col min="3" max="3" width="14.6640625" customWidth="1"/>
    <col min="4" max="5" width="8.6640625" customWidth="1"/>
    <col min="6" max="6" width="11.33203125" customWidth="1"/>
    <col min="7" max="1025" width="8.6640625" customWidth="1"/>
  </cols>
  <sheetData>
    <row r="1" spans="1:7" ht="18.75" x14ac:dyDescent="0.3">
      <c r="A1" s="206" t="s">
        <v>231</v>
      </c>
      <c r="B1" s="30"/>
      <c r="F1" s="289">
        <f>+Invoerblad!N8</f>
        <v>0</v>
      </c>
    </row>
    <row r="2" spans="1:7" ht="18.75" x14ac:dyDescent="0.3">
      <c r="A2" s="290"/>
      <c r="B2" s="30"/>
      <c r="F2" s="291"/>
    </row>
    <row r="3" spans="1:7" ht="14.25" x14ac:dyDescent="0.2">
      <c r="A3" s="20" t="s">
        <v>232</v>
      </c>
      <c r="B3" s="20"/>
      <c r="C3" s="20"/>
      <c r="D3" s="20"/>
    </row>
    <row r="4" spans="1:7" x14ac:dyDescent="0.2">
      <c r="A4" s="115"/>
      <c r="B4" s="30"/>
    </row>
    <row r="5" spans="1:7" x14ac:dyDescent="0.2">
      <c r="A5" s="115" t="s">
        <v>233</v>
      </c>
      <c r="B5" s="30"/>
    </row>
    <row r="6" spans="1:7" x14ac:dyDescent="0.2">
      <c r="B6" s="30"/>
    </row>
    <row r="7" spans="1:7" x14ac:dyDescent="0.2">
      <c r="A7" s="292" t="s">
        <v>234</v>
      </c>
      <c r="B7" s="30" t="s">
        <v>235</v>
      </c>
      <c r="C7" s="293" t="s">
        <v>236</v>
      </c>
    </row>
    <row r="8" spans="1:7" x14ac:dyDescent="0.2">
      <c r="A8">
        <v>1</v>
      </c>
      <c r="B8" t="s">
        <v>237</v>
      </c>
      <c r="C8" s="294">
        <v>0.06</v>
      </c>
      <c r="D8" s="48"/>
      <c r="E8" s="48"/>
      <c r="F8" s="48"/>
      <c r="G8" s="48"/>
    </row>
    <row r="9" spans="1:7" hidden="1" x14ac:dyDescent="0.2">
      <c r="B9" t="s">
        <v>238</v>
      </c>
      <c r="C9" s="291">
        <f>POWER((C8+1),1/12)-1</f>
        <v>4.8675505653430484E-3</v>
      </c>
      <c r="D9" s="295"/>
      <c r="E9" s="162"/>
      <c r="F9" s="162"/>
      <c r="G9" s="48"/>
    </row>
    <row r="10" spans="1:7" hidden="1" x14ac:dyDescent="0.2">
      <c r="C10" s="288"/>
      <c r="D10" s="288"/>
      <c r="E10" s="176"/>
      <c r="G10" s="48"/>
    </row>
    <row r="11" spans="1:7" x14ac:dyDescent="0.2">
      <c r="A11">
        <v>2</v>
      </c>
      <c r="B11" t="s">
        <v>239</v>
      </c>
      <c r="C11" s="296">
        <f>339777/12</f>
        <v>28314.75</v>
      </c>
      <c r="E11" s="139"/>
      <c r="F11" s="162"/>
    </row>
    <row r="12" spans="1:7" x14ac:dyDescent="0.2">
      <c r="A12">
        <v>3</v>
      </c>
      <c r="B12" t="s">
        <v>240</v>
      </c>
      <c r="C12" s="296">
        <f>12*15</f>
        <v>180</v>
      </c>
      <c r="E12" s="139"/>
      <c r="F12" s="162"/>
    </row>
    <row r="13" spans="1:7" x14ac:dyDescent="0.2">
      <c r="A13">
        <v>4</v>
      </c>
      <c r="B13" t="s">
        <v>241</v>
      </c>
      <c r="C13" s="296">
        <v>0</v>
      </c>
      <c r="E13" s="139"/>
      <c r="F13" s="162"/>
    </row>
    <row r="14" spans="1:7" x14ac:dyDescent="0.2">
      <c r="A14">
        <v>5</v>
      </c>
      <c r="B14" t="s">
        <v>242</v>
      </c>
      <c r="C14" s="296"/>
      <c r="E14" s="139"/>
      <c r="F14" s="162"/>
    </row>
    <row r="15" spans="1:7" x14ac:dyDescent="0.2">
      <c r="A15">
        <v>6</v>
      </c>
      <c r="B15" t="s">
        <v>243</v>
      </c>
      <c r="C15" s="297"/>
    </row>
    <row r="17" spans="1:7" x14ac:dyDescent="0.2">
      <c r="A17" s="292" t="s">
        <v>244</v>
      </c>
    </row>
    <row r="18" spans="1:7" x14ac:dyDescent="0.2">
      <c r="A18">
        <v>7</v>
      </c>
      <c r="B18" t="s">
        <v>245</v>
      </c>
      <c r="C18" s="7">
        <f>-PV(C9,C12,C11,,C15)</f>
        <v>3389794.0863765017</v>
      </c>
    </row>
    <row r="19" spans="1:7" x14ac:dyDescent="0.2">
      <c r="A19">
        <v>8</v>
      </c>
      <c r="B19" t="s">
        <v>246</v>
      </c>
      <c r="C19" s="7">
        <f>C13/POWER((1+C9),C14)</f>
        <v>0</v>
      </c>
    </row>
    <row r="20" spans="1:7" x14ac:dyDescent="0.2">
      <c r="A20" s="30">
        <v>9</v>
      </c>
      <c r="B20" s="30" t="s">
        <v>247</v>
      </c>
      <c r="C20" s="298">
        <f>+C18+C19</f>
        <v>3389794.0863765017</v>
      </c>
    </row>
    <row r="23" spans="1:7" x14ac:dyDescent="0.2">
      <c r="A23" s="30" t="s">
        <v>248</v>
      </c>
    </row>
    <row r="24" spans="1:7" x14ac:dyDescent="0.2">
      <c r="C24" s="299"/>
      <c r="D24" s="48"/>
      <c r="E24" s="48"/>
      <c r="F24" s="48"/>
      <c r="G24" s="48"/>
    </row>
    <row r="25" spans="1:7" x14ac:dyDescent="0.2">
      <c r="A25">
        <v>1</v>
      </c>
      <c r="B25" t="s">
        <v>249</v>
      </c>
      <c r="C25" s="299"/>
      <c r="D25" s="300"/>
      <c r="E25" s="48"/>
      <c r="F25" s="48"/>
      <c r="G25" s="48"/>
    </row>
    <row r="26" spans="1:7" x14ac:dyDescent="0.2">
      <c r="B26" t="s">
        <v>250</v>
      </c>
      <c r="C26" s="299"/>
      <c r="D26" s="300"/>
      <c r="E26" s="48"/>
      <c r="F26" s="48"/>
      <c r="G26" s="48"/>
    </row>
    <row r="27" spans="1:7" x14ac:dyDescent="0.2">
      <c r="B27" s="301" t="s">
        <v>81</v>
      </c>
      <c r="C27" s="299"/>
      <c r="D27" s="300"/>
      <c r="E27" s="48"/>
      <c r="F27" s="48"/>
      <c r="G27" s="48"/>
    </row>
    <row r="28" spans="1:7" x14ac:dyDescent="0.2">
      <c r="A28">
        <v>2</v>
      </c>
      <c r="B28" s="115" t="s">
        <v>251</v>
      </c>
      <c r="C28" s="299"/>
      <c r="D28" s="300"/>
      <c r="E28" s="48"/>
      <c r="F28" s="48"/>
      <c r="G28" s="48"/>
    </row>
    <row r="29" spans="1:7" x14ac:dyDescent="0.2">
      <c r="A29">
        <v>4</v>
      </c>
      <c r="B29" t="s">
        <v>252</v>
      </c>
      <c r="C29" s="48"/>
      <c r="D29" s="48"/>
      <c r="E29" s="48"/>
      <c r="F29" s="48"/>
      <c r="G29" s="48"/>
    </row>
    <row r="30" spans="1:7" x14ac:dyDescent="0.2">
      <c r="A30">
        <v>5</v>
      </c>
      <c r="B30" t="s">
        <v>253</v>
      </c>
      <c r="C30" s="48"/>
      <c r="D30" s="48"/>
      <c r="E30" s="48"/>
      <c r="F30" s="48"/>
      <c r="G30" s="48"/>
    </row>
    <row r="31" spans="1:7" x14ac:dyDescent="0.2">
      <c r="B31" t="s">
        <v>254</v>
      </c>
      <c r="C31" s="48"/>
      <c r="D31" s="48"/>
      <c r="E31" s="48"/>
      <c r="F31" s="48"/>
      <c r="G31" s="48"/>
    </row>
    <row r="32" spans="1:7" x14ac:dyDescent="0.2">
      <c r="A32">
        <v>6</v>
      </c>
      <c r="B32" t="s">
        <v>255</v>
      </c>
      <c r="C32" s="48"/>
      <c r="D32" s="48"/>
      <c r="E32" s="48"/>
      <c r="F32" s="48"/>
      <c r="G32" s="48"/>
    </row>
    <row r="33" spans="1:7" x14ac:dyDescent="0.2">
      <c r="A33">
        <v>9</v>
      </c>
      <c r="B33" t="s">
        <v>256</v>
      </c>
      <c r="C33" s="48"/>
      <c r="D33" s="48"/>
      <c r="E33" s="48"/>
      <c r="F33" s="48"/>
      <c r="G33" s="48"/>
    </row>
    <row r="34" spans="1:7" x14ac:dyDescent="0.2">
      <c r="C34" s="48"/>
      <c r="D34" s="48"/>
      <c r="E34" s="48"/>
      <c r="F34" s="48"/>
      <c r="G34" s="48"/>
    </row>
    <row r="36" spans="1:7" x14ac:dyDescent="0.2">
      <c r="B36" s="115"/>
    </row>
    <row r="37" spans="1:7" x14ac:dyDescent="0.2">
      <c r="B37" s="115"/>
    </row>
    <row r="38" spans="1:7" x14ac:dyDescent="0.2">
      <c r="B38" s="115"/>
    </row>
    <row r="39" spans="1:7" x14ac:dyDescent="0.2">
      <c r="B39" s="115"/>
    </row>
    <row r="40" spans="1:7" x14ac:dyDescent="0.2">
      <c r="B40" s="115"/>
    </row>
  </sheetData>
  <hyperlinks>
    <hyperlink ref="B27" r:id="rId1" xr:uid="{00000000-0004-0000-0B00-000000000000}"/>
  </hyperlinks>
  <pageMargins left="0.75" right="0.75" top="1" bottom="1" header="0.51180555555555496" footer="0.51180555555555496"/>
  <pageSetup paperSize="9" firstPageNumber="0" orientation="landscape" horizontalDpi="300" verticalDpi="300"/>
  <headerFooter>
    <oddHeader>&amp;L&amp;"Calibri"&amp;10&amp;K000000 Vertrouwelijk&amp;1#_x000D_</oddHeader>
  </headerFooter>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Werkbladen</vt:lpstr>
      </vt:variant>
      <vt:variant>
        <vt:i4>12</vt:i4>
      </vt:variant>
      <vt:variant>
        <vt:lpstr>Benoemde bereiken</vt:lpstr>
      </vt:variant>
      <vt:variant>
        <vt:i4>20</vt:i4>
      </vt:variant>
    </vt:vector>
  </HeadingPairs>
  <TitlesOfParts>
    <vt:vector size="32" baseType="lpstr">
      <vt:lpstr>Invoerblad</vt:lpstr>
      <vt:lpstr>Overzicht MSK toets</vt:lpstr>
      <vt:lpstr>hulpberekeningen 2</vt:lpstr>
      <vt:lpstr>Samenvatting en uitgangspunten</vt:lpstr>
      <vt:lpstr>Hulpberekeningen 1</vt:lpstr>
      <vt:lpstr>Beoordeling</vt:lpstr>
      <vt:lpstr>Toelichting</vt:lpstr>
      <vt:lpstr>Stamblad</vt:lpstr>
      <vt:lpstr>Hulpberekeningen 3 </vt:lpstr>
      <vt:lpstr>Rendement geinv. vermogen</vt:lpstr>
      <vt:lpstr>VAMIL voordeel</vt:lpstr>
      <vt:lpstr>Invoerblad  bij lease</vt:lpstr>
      <vt:lpstr>Invoerblad!Afdrukbereik</vt:lpstr>
      <vt:lpstr>inv_bl_A</vt:lpstr>
      <vt:lpstr>invbl_B1</vt:lpstr>
      <vt:lpstr>invbl_b2</vt:lpstr>
      <vt:lpstr>msktoets</vt:lpstr>
      <vt:lpstr>Invoerblad!Z_4284377C_91E6_4152_887E_8DA87560FDD6_.wvu.Cols</vt:lpstr>
      <vt:lpstr>'Invoerblad  bij lease'!Z_4284377C_91E6_4152_887E_8DA87560FDD6_.wvu.Rows</vt:lpstr>
      <vt:lpstr>'Overzicht MSK toets'!Z_4284377C_91E6_4152_887E_8DA87560FDD6_.wvu.Rows</vt:lpstr>
      <vt:lpstr>Invoerblad!Z_546B9E27_05F9_47A7_B161_BCC56D613799_.wvu.Cols</vt:lpstr>
      <vt:lpstr>'Invoerblad  bij lease'!Z_546B9E27_05F9_47A7_B161_BCC56D613799_.wvu.Rows</vt:lpstr>
      <vt:lpstr>'Overzicht MSK toets'!Z_546B9E27_05F9_47A7_B161_BCC56D613799_.wvu.Rows</vt:lpstr>
      <vt:lpstr>Invoerblad!Z_5D986420_B83B_47C8_8160_784F77FFC196_.wvu.Cols</vt:lpstr>
      <vt:lpstr>'Invoerblad  bij lease'!Z_5D986420_B83B_47C8_8160_784F77FFC196_.wvu.Rows</vt:lpstr>
      <vt:lpstr>'Overzicht MSK toets'!Z_5D986420_B83B_47C8_8160_784F77FFC196_.wvu.Rows</vt:lpstr>
      <vt:lpstr>Invoerblad!Z_C9029B8D_126A_43F1_8BE9_BB8A7DE12FBF_.wvu.Cols</vt:lpstr>
      <vt:lpstr>'Invoerblad  bij lease'!Z_C9029B8D_126A_43F1_8BE9_BB8A7DE12FBF_.wvu.Rows</vt:lpstr>
      <vt:lpstr>'Overzicht MSK toets'!Z_C9029B8D_126A_43F1_8BE9_BB8A7DE12FBF_.wvu.Rows</vt:lpstr>
      <vt:lpstr>Invoerblad!Z_D98A0717_74D0_4F54_BB8F_A337A1A9E4DF_.wvu.Cols</vt:lpstr>
      <vt:lpstr>'Invoerblad  bij lease'!Z_D98A0717_74D0_4F54_BB8F_A337A1A9E4DF_.wvu.Rows</vt:lpstr>
      <vt:lpstr>'Overzicht MSK toets'!Z_D98A0717_74D0_4F54_BB8F_A337A1A9E4DF_.wvu.Rows</vt:lpstr>
    </vt:vector>
  </TitlesOfParts>
  <Company>Senter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Rekenmodel SDE++ MSK ZON-PV</dc:title>
  <dc:subject/>
  <dc:creator>Rijksdienst voor Ondernemend Nederland</dc:creator>
  <dc:description/>
  <cp:lastModifiedBy>Rijksdienst voor Ondernemend Nederland</cp:lastModifiedBy>
  <cp:revision>1</cp:revision>
  <cp:lastPrinted>2019-08-15T14:15:45Z</cp:lastPrinted>
  <dcterms:created xsi:type="dcterms:W3CDTF">2001-10-29T12:18:33Z</dcterms:created>
  <dcterms:modified xsi:type="dcterms:W3CDTF">2023-10-16T13:07:47Z</dcterms:modified>
  <dc:language>nl-NL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Senter</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MSIP_Label_26b69bfc-5c76-4d05-916d-73ebda3cf11d_Enabled">
    <vt:lpwstr>true</vt:lpwstr>
  </property>
  <property fmtid="{D5CDD505-2E9C-101B-9397-08002B2CF9AE}" pid="10" name="MSIP_Label_26b69bfc-5c76-4d05-916d-73ebda3cf11d_SetDate">
    <vt:lpwstr>2022-11-30T14:41:24Z</vt:lpwstr>
  </property>
  <property fmtid="{D5CDD505-2E9C-101B-9397-08002B2CF9AE}" pid="11" name="MSIP_Label_26b69bfc-5c76-4d05-916d-73ebda3cf11d_Method">
    <vt:lpwstr>Privileged</vt:lpwstr>
  </property>
  <property fmtid="{D5CDD505-2E9C-101B-9397-08002B2CF9AE}" pid="12" name="MSIP_Label_26b69bfc-5c76-4d05-916d-73ebda3cf11d_Name">
    <vt:lpwstr>Sublabel-Vertrouwelijk-onversleuteld</vt:lpwstr>
  </property>
  <property fmtid="{D5CDD505-2E9C-101B-9397-08002B2CF9AE}" pid="13" name="MSIP_Label_26b69bfc-5c76-4d05-916d-73ebda3cf11d_SiteId">
    <vt:lpwstr>1321633e-f6b9-44e2-a44f-59b9d264ecb7</vt:lpwstr>
  </property>
  <property fmtid="{D5CDD505-2E9C-101B-9397-08002B2CF9AE}" pid="14" name="MSIP_Label_26b69bfc-5c76-4d05-916d-73ebda3cf11d_ActionId">
    <vt:lpwstr>cc8420c9-47e4-451e-bdad-45188253d3ad</vt:lpwstr>
  </property>
  <property fmtid="{D5CDD505-2E9C-101B-9397-08002B2CF9AE}" pid="15" name="MSIP_Label_26b69bfc-5c76-4d05-916d-73ebda3cf11d_ContentBits">
    <vt:lpwstr>2</vt:lpwstr>
  </property>
</Properties>
</file>