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DR\Contentmanagement\Opdrachten 2024\Opmaak PDF\EIA melding\"/>
    </mc:Choice>
  </mc:AlternateContent>
  <xr:revisionPtr revIDLastSave="0" documentId="13_ncr:1_{165BB92C-C875-46E8-8AF7-1F912C95F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ier EIA code 220409" sheetId="3" r:id="rId1"/>
  </sheets>
  <definedNames>
    <definedName name="_xlnm.Print_Area" localSheetId="0">'Formulier EIA code 220409'!$A$1:$L$124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4" i="3" l="1"/>
  <c r="U104" i="3"/>
  <c r="T104" i="3"/>
  <c r="S104" i="3"/>
  <c r="R104" i="3"/>
  <c r="P104" i="3"/>
  <c r="W103" i="3"/>
  <c r="V103" i="3"/>
  <c r="U103" i="3"/>
  <c r="T103" i="3"/>
  <c r="S103" i="3"/>
  <c r="R103" i="3"/>
  <c r="Y102" i="3"/>
  <c r="V102" i="3"/>
  <c r="U102" i="3"/>
  <c r="T102" i="3"/>
  <c r="S102" i="3"/>
  <c r="R102" i="3"/>
  <c r="V100" i="3"/>
  <c r="U100" i="3"/>
  <c r="T100" i="3"/>
  <c r="S100" i="3"/>
  <c r="R100" i="3"/>
  <c r="P100" i="3"/>
  <c r="W99" i="3"/>
  <c r="V99" i="3"/>
  <c r="U99" i="3"/>
  <c r="T99" i="3"/>
  <c r="S99" i="3"/>
  <c r="R99" i="3"/>
  <c r="Y98" i="3"/>
  <c r="V98" i="3"/>
  <c r="U98" i="3"/>
  <c r="T98" i="3"/>
  <c r="S98" i="3"/>
  <c r="R98" i="3"/>
  <c r="W98" i="3"/>
  <c r="E98" i="3"/>
  <c r="V96" i="3"/>
  <c r="U96" i="3"/>
  <c r="T96" i="3"/>
  <c r="S96" i="3"/>
  <c r="R96" i="3"/>
  <c r="P96" i="3"/>
  <c r="Q95" i="3"/>
  <c r="W95" i="3"/>
  <c r="V95" i="3"/>
  <c r="U95" i="3"/>
  <c r="T95" i="3"/>
  <c r="S95" i="3"/>
  <c r="R95" i="3"/>
  <c r="Y94" i="3"/>
  <c r="V94" i="3"/>
  <c r="U94" i="3"/>
  <c r="T94" i="3"/>
  <c r="S94" i="3"/>
  <c r="R94" i="3"/>
  <c r="W94" i="3"/>
  <c r="E94" i="3"/>
  <c r="V92" i="3"/>
  <c r="U92" i="3"/>
  <c r="T92" i="3"/>
  <c r="S92" i="3"/>
  <c r="R92" i="3"/>
  <c r="P92" i="3"/>
  <c r="Q91" i="3"/>
  <c r="W91" i="3"/>
  <c r="V91" i="3"/>
  <c r="U91" i="3"/>
  <c r="T91" i="3"/>
  <c r="S91" i="3"/>
  <c r="R91" i="3"/>
  <c r="Y90" i="3"/>
  <c r="V90" i="3"/>
  <c r="U90" i="3"/>
  <c r="T90" i="3"/>
  <c r="S90" i="3"/>
  <c r="R90" i="3"/>
  <c r="W90" i="3"/>
  <c r="E90" i="3"/>
  <c r="W87" i="3"/>
  <c r="V79" i="3"/>
  <c r="U79" i="3"/>
  <c r="T79" i="3"/>
  <c r="S79" i="3"/>
  <c r="R79" i="3"/>
  <c r="Q79" i="3"/>
  <c r="X78" i="3"/>
  <c r="V78" i="3"/>
  <c r="U78" i="3"/>
  <c r="T78" i="3"/>
  <c r="S78" i="3"/>
  <c r="R78" i="3"/>
  <c r="Q78" i="3"/>
  <c r="V77" i="3"/>
  <c r="U77" i="3"/>
  <c r="T77" i="3"/>
  <c r="S77" i="3"/>
  <c r="R77" i="3"/>
  <c r="Q77" i="3"/>
  <c r="V76" i="3"/>
  <c r="U76" i="3"/>
  <c r="T76" i="3"/>
  <c r="S76" i="3"/>
  <c r="R76" i="3"/>
  <c r="Q76" i="3"/>
  <c r="W76" i="3"/>
  <c r="V75" i="3"/>
  <c r="U75" i="3"/>
  <c r="T75" i="3"/>
  <c r="S75" i="3"/>
  <c r="R75" i="3"/>
  <c r="W75" i="3"/>
  <c r="Y74" i="3"/>
  <c r="V74" i="3"/>
  <c r="U74" i="3"/>
  <c r="T74" i="3"/>
  <c r="S74" i="3"/>
  <c r="R74" i="3"/>
  <c r="W74" i="3"/>
  <c r="E74" i="3"/>
  <c r="C74" i="3"/>
  <c r="O74" i="3"/>
  <c r="P74" i="3"/>
  <c r="H75" i="3"/>
  <c r="H74" i="3"/>
  <c r="W78" i="3"/>
  <c r="Y78" i="3"/>
  <c r="Y79" i="3"/>
  <c r="V72" i="3"/>
  <c r="U72" i="3"/>
  <c r="T72" i="3"/>
  <c r="S72" i="3"/>
  <c r="R72" i="3"/>
  <c r="Q72" i="3"/>
  <c r="X71" i="3"/>
  <c r="V71" i="3"/>
  <c r="U71" i="3"/>
  <c r="T71" i="3"/>
  <c r="S71" i="3"/>
  <c r="R71" i="3"/>
  <c r="Q71" i="3"/>
  <c r="V70" i="3"/>
  <c r="U70" i="3"/>
  <c r="T70" i="3"/>
  <c r="S70" i="3"/>
  <c r="R70" i="3"/>
  <c r="Q70" i="3"/>
  <c r="V69" i="3"/>
  <c r="U69" i="3"/>
  <c r="T69" i="3"/>
  <c r="S69" i="3"/>
  <c r="R69" i="3"/>
  <c r="Q69" i="3"/>
  <c r="W69" i="3"/>
  <c r="V68" i="3"/>
  <c r="U68" i="3"/>
  <c r="T68" i="3"/>
  <c r="S68" i="3"/>
  <c r="R68" i="3"/>
  <c r="W68" i="3"/>
  <c r="W70" i="3"/>
  <c r="Y67" i="3"/>
  <c r="V67" i="3"/>
  <c r="U67" i="3"/>
  <c r="T67" i="3"/>
  <c r="S67" i="3"/>
  <c r="R67" i="3"/>
  <c r="C67" i="3"/>
  <c r="W71" i="3"/>
  <c r="W72" i="3"/>
  <c r="J67" i="3"/>
  <c r="V65" i="3"/>
  <c r="U65" i="3"/>
  <c r="T65" i="3"/>
  <c r="S65" i="3"/>
  <c r="R65" i="3"/>
  <c r="Q65" i="3"/>
  <c r="X64" i="3"/>
  <c r="V64" i="3"/>
  <c r="U64" i="3"/>
  <c r="T64" i="3"/>
  <c r="S64" i="3"/>
  <c r="R64" i="3"/>
  <c r="Q64" i="3"/>
  <c r="V63" i="3"/>
  <c r="U63" i="3"/>
  <c r="T63" i="3"/>
  <c r="S63" i="3"/>
  <c r="R63" i="3"/>
  <c r="Q63" i="3"/>
  <c r="V62" i="3"/>
  <c r="U62" i="3"/>
  <c r="T62" i="3"/>
  <c r="S62" i="3"/>
  <c r="R62" i="3"/>
  <c r="Q62" i="3"/>
  <c r="W62" i="3"/>
  <c r="V61" i="3"/>
  <c r="U61" i="3"/>
  <c r="T61" i="3"/>
  <c r="S61" i="3"/>
  <c r="R61" i="3"/>
  <c r="W61" i="3"/>
  <c r="W63" i="3"/>
  <c r="Y60" i="3"/>
  <c r="W60" i="3"/>
  <c r="V60" i="3"/>
  <c r="U60" i="3"/>
  <c r="T60" i="3"/>
  <c r="S60" i="3"/>
  <c r="R60" i="3"/>
  <c r="E60" i="3"/>
  <c r="C60" i="3"/>
  <c r="W64" i="3"/>
  <c r="V58" i="3"/>
  <c r="U58" i="3"/>
  <c r="T58" i="3"/>
  <c r="S58" i="3"/>
  <c r="R58" i="3"/>
  <c r="Q58" i="3"/>
  <c r="X57" i="3"/>
  <c r="V57" i="3"/>
  <c r="U57" i="3"/>
  <c r="T57" i="3"/>
  <c r="S57" i="3"/>
  <c r="R57" i="3"/>
  <c r="Q57" i="3"/>
  <c r="V56" i="3"/>
  <c r="U56" i="3"/>
  <c r="T56" i="3"/>
  <c r="S56" i="3"/>
  <c r="R56" i="3"/>
  <c r="Q56" i="3"/>
  <c r="V55" i="3"/>
  <c r="U55" i="3"/>
  <c r="T55" i="3"/>
  <c r="S55" i="3"/>
  <c r="R55" i="3"/>
  <c r="Q55" i="3"/>
  <c r="W55" i="3"/>
  <c r="V54" i="3"/>
  <c r="U54" i="3"/>
  <c r="T54" i="3"/>
  <c r="S54" i="3"/>
  <c r="R54" i="3"/>
  <c r="W54" i="3"/>
  <c r="Q54" i="3"/>
  <c r="W56" i="3"/>
  <c r="Y53" i="3"/>
  <c r="V53" i="3"/>
  <c r="U53" i="3"/>
  <c r="T53" i="3"/>
  <c r="S53" i="3"/>
  <c r="W53" i="3"/>
  <c r="E53" i="3"/>
  <c r="R53" i="3"/>
  <c r="C53" i="3"/>
  <c r="O53" i="3"/>
  <c r="P53" i="3"/>
  <c r="H54" i="3"/>
  <c r="H53" i="3"/>
  <c r="W57" i="3"/>
  <c r="W58" i="3"/>
  <c r="J53" i="3"/>
  <c r="K53" i="3"/>
  <c r="V51" i="3"/>
  <c r="U51" i="3"/>
  <c r="T51" i="3"/>
  <c r="S51" i="3"/>
  <c r="R51" i="3"/>
  <c r="Q51" i="3"/>
  <c r="X50" i="3"/>
  <c r="V50" i="3"/>
  <c r="U50" i="3"/>
  <c r="T50" i="3"/>
  <c r="S50" i="3"/>
  <c r="R50" i="3"/>
  <c r="Q50" i="3"/>
  <c r="V49" i="3"/>
  <c r="U49" i="3"/>
  <c r="T49" i="3"/>
  <c r="S49" i="3"/>
  <c r="R49" i="3"/>
  <c r="Q49" i="3"/>
  <c r="V48" i="3"/>
  <c r="U48" i="3"/>
  <c r="T48" i="3"/>
  <c r="S48" i="3"/>
  <c r="R48" i="3"/>
  <c r="Q48" i="3"/>
  <c r="W48" i="3"/>
  <c r="V47" i="3"/>
  <c r="U47" i="3"/>
  <c r="T47" i="3"/>
  <c r="S47" i="3"/>
  <c r="R47" i="3"/>
  <c r="W47" i="3"/>
  <c r="W49" i="3"/>
  <c r="Y46" i="3"/>
  <c r="C46" i="3"/>
  <c r="W50" i="3"/>
  <c r="V46" i="3"/>
  <c r="U46" i="3"/>
  <c r="T46" i="3"/>
  <c r="S46" i="3"/>
  <c r="R46" i="3"/>
  <c r="W46" i="3"/>
  <c r="E46" i="3"/>
  <c r="V44" i="3"/>
  <c r="U44" i="3"/>
  <c r="T44" i="3"/>
  <c r="S44" i="3"/>
  <c r="R44" i="3"/>
  <c r="Q44" i="3"/>
  <c r="X43" i="3"/>
  <c r="V43" i="3"/>
  <c r="U43" i="3"/>
  <c r="T43" i="3"/>
  <c r="S43" i="3"/>
  <c r="R43" i="3"/>
  <c r="Q43" i="3"/>
  <c r="V42" i="3"/>
  <c r="U42" i="3"/>
  <c r="T42" i="3"/>
  <c r="S42" i="3"/>
  <c r="R42" i="3"/>
  <c r="Q42" i="3"/>
  <c r="V41" i="3"/>
  <c r="U41" i="3"/>
  <c r="T41" i="3"/>
  <c r="S41" i="3"/>
  <c r="R41" i="3"/>
  <c r="Q41" i="3"/>
  <c r="W41" i="3"/>
  <c r="V40" i="3"/>
  <c r="U40" i="3"/>
  <c r="T40" i="3"/>
  <c r="S40" i="3"/>
  <c r="R40" i="3"/>
  <c r="W40" i="3"/>
  <c r="W42" i="3"/>
  <c r="Y39" i="3"/>
  <c r="V39" i="3"/>
  <c r="U39" i="3"/>
  <c r="T39" i="3"/>
  <c r="S39" i="3"/>
  <c r="R39" i="3"/>
  <c r="W39" i="3"/>
  <c r="E39" i="3"/>
  <c r="C39" i="3"/>
  <c r="O39" i="3"/>
  <c r="P39" i="3"/>
  <c r="H40" i="3"/>
  <c r="H39" i="3"/>
  <c r="W43" i="3"/>
  <c r="Y43" i="3"/>
  <c r="Y44" i="3"/>
  <c r="V30" i="3"/>
  <c r="U30" i="3"/>
  <c r="T30" i="3"/>
  <c r="S30" i="3"/>
  <c r="R30" i="3"/>
  <c r="Q30" i="3"/>
  <c r="X29" i="3"/>
  <c r="V29" i="3"/>
  <c r="U29" i="3"/>
  <c r="T29" i="3"/>
  <c r="S29" i="3"/>
  <c r="R29" i="3"/>
  <c r="Q29" i="3"/>
  <c r="V28" i="3"/>
  <c r="U28" i="3"/>
  <c r="T28" i="3"/>
  <c r="S28" i="3"/>
  <c r="R28" i="3"/>
  <c r="Q28" i="3"/>
  <c r="V27" i="3"/>
  <c r="U27" i="3"/>
  <c r="T27" i="3"/>
  <c r="S27" i="3"/>
  <c r="R27" i="3"/>
  <c r="Q27" i="3"/>
  <c r="W27" i="3"/>
  <c r="V26" i="3"/>
  <c r="U26" i="3"/>
  <c r="T26" i="3"/>
  <c r="S26" i="3"/>
  <c r="R26" i="3"/>
  <c r="W26" i="3"/>
  <c r="W28" i="3"/>
  <c r="Y25" i="3"/>
  <c r="V25" i="3"/>
  <c r="U25" i="3"/>
  <c r="T25" i="3"/>
  <c r="S25" i="3"/>
  <c r="R25" i="3"/>
  <c r="C25" i="3"/>
  <c r="W29" i="3"/>
  <c r="V37" i="3"/>
  <c r="U37" i="3"/>
  <c r="T37" i="3"/>
  <c r="S37" i="3"/>
  <c r="R37" i="3"/>
  <c r="Q37" i="3"/>
  <c r="X36" i="3"/>
  <c r="V36" i="3"/>
  <c r="U36" i="3"/>
  <c r="T36" i="3"/>
  <c r="S36" i="3"/>
  <c r="R36" i="3"/>
  <c r="Q36" i="3"/>
  <c r="V35" i="3"/>
  <c r="U35" i="3"/>
  <c r="T35" i="3"/>
  <c r="S35" i="3"/>
  <c r="R35" i="3"/>
  <c r="Q35" i="3"/>
  <c r="V34" i="3"/>
  <c r="U34" i="3"/>
  <c r="T34" i="3"/>
  <c r="S34" i="3"/>
  <c r="R34" i="3"/>
  <c r="Q34" i="3"/>
  <c r="W34" i="3"/>
  <c r="V33" i="3"/>
  <c r="U33" i="3"/>
  <c r="T33" i="3"/>
  <c r="S33" i="3"/>
  <c r="R33" i="3"/>
  <c r="W33" i="3"/>
  <c r="Q33" i="3"/>
  <c r="Y32" i="3"/>
  <c r="V32" i="3"/>
  <c r="U32" i="3"/>
  <c r="T32" i="3"/>
  <c r="S32" i="3"/>
  <c r="R32" i="3"/>
  <c r="W32" i="3"/>
  <c r="E32" i="3"/>
  <c r="C32" i="3"/>
  <c r="O32" i="3"/>
  <c r="P32" i="3"/>
  <c r="H33" i="3"/>
  <c r="H32" i="3"/>
  <c r="X22" i="3"/>
  <c r="R18" i="3"/>
  <c r="S18" i="3"/>
  <c r="T18" i="3"/>
  <c r="U18" i="3"/>
  <c r="V18" i="3"/>
  <c r="Y18" i="3"/>
  <c r="C18" i="3"/>
  <c r="W22" i="3"/>
  <c r="R19" i="3"/>
  <c r="S19" i="3"/>
  <c r="T19" i="3"/>
  <c r="U19" i="3"/>
  <c r="V19" i="3"/>
  <c r="W19" i="3"/>
  <c r="Q20" i="3"/>
  <c r="R20" i="3"/>
  <c r="S20" i="3"/>
  <c r="T20" i="3"/>
  <c r="U20" i="3"/>
  <c r="V20" i="3"/>
  <c r="Q21" i="3"/>
  <c r="R21" i="3"/>
  <c r="S21" i="3"/>
  <c r="T21" i="3"/>
  <c r="U21" i="3"/>
  <c r="V21" i="3"/>
  <c r="Q22" i="3"/>
  <c r="R22" i="3"/>
  <c r="S22" i="3"/>
  <c r="T22" i="3"/>
  <c r="U22" i="3"/>
  <c r="V22" i="3"/>
  <c r="Q23" i="3"/>
  <c r="R23" i="3"/>
  <c r="S23" i="3"/>
  <c r="T23" i="3"/>
  <c r="U23" i="3"/>
  <c r="V23" i="3"/>
  <c r="V87" i="3"/>
  <c r="U87" i="3"/>
  <c r="T87" i="3"/>
  <c r="S87" i="3"/>
  <c r="R87" i="3"/>
  <c r="V86" i="3"/>
  <c r="U86" i="3"/>
  <c r="T86" i="3"/>
  <c r="S86" i="3"/>
  <c r="R86" i="3"/>
  <c r="W86" i="3"/>
  <c r="E86" i="3"/>
  <c r="Y86" i="3"/>
  <c r="V88" i="3"/>
  <c r="U88" i="3"/>
  <c r="T88" i="3"/>
  <c r="S88" i="3"/>
  <c r="R88" i="3"/>
  <c r="P88" i="3"/>
  <c r="Q87" i="3"/>
  <c r="W67" i="3"/>
  <c r="E67" i="3"/>
  <c r="O67" i="3"/>
  <c r="P67" i="3"/>
  <c r="H68" i="3"/>
  <c r="H67" i="3"/>
  <c r="W79" i="3"/>
  <c r="J74" i="3"/>
  <c r="J98" i="3"/>
  <c r="Y71" i="3"/>
  <c r="Y72" i="3"/>
  <c r="Q99" i="3"/>
  <c r="Y106" i="3"/>
  <c r="W102" i="3"/>
  <c r="Q103" i="3"/>
  <c r="J102" i="3"/>
  <c r="J86" i="3"/>
  <c r="E102" i="3"/>
  <c r="Q102" i="3"/>
  <c r="H103" i="3"/>
  <c r="H102" i="3"/>
  <c r="J94" i="3"/>
  <c r="J90" i="3"/>
  <c r="W25" i="3"/>
  <c r="E25" i="3"/>
  <c r="O25" i="3"/>
  <c r="P25" i="3"/>
  <c r="H26" i="3"/>
  <c r="H25" i="3"/>
  <c r="W18" i="3"/>
  <c r="E18" i="3"/>
  <c r="O18" i="3"/>
  <c r="P18" i="3"/>
  <c r="H19" i="3"/>
  <c r="H18" i="3"/>
  <c r="O102" i="3"/>
  <c r="P102" i="3"/>
  <c r="K102" i="3"/>
  <c r="Y22" i="3"/>
  <c r="Y23" i="3"/>
  <c r="W65" i="3"/>
  <c r="J60" i="3"/>
  <c r="Y64" i="3"/>
  <c r="Y65" i="3"/>
  <c r="Q86" i="3"/>
  <c r="H87" i="3"/>
  <c r="H86" i="3"/>
  <c r="O86" i="3"/>
  <c r="P86" i="3"/>
  <c r="K86" i="3"/>
  <c r="Q61" i="3"/>
  <c r="Q90" i="3"/>
  <c r="H91" i="3"/>
  <c r="H90" i="3"/>
  <c r="O90" i="3"/>
  <c r="P90" i="3"/>
  <c r="K90" i="3"/>
  <c r="O98" i="3"/>
  <c r="P98" i="3"/>
  <c r="K98" i="3"/>
  <c r="Q98" i="3"/>
  <c r="H99" i="3"/>
  <c r="H98" i="3"/>
  <c r="W35" i="3"/>
  <c r="Y29" i="3"/>
  <c r="Y30" i="3"/>
  <c r="W30" i="3"/>
  <c r="J25" i="3"/>
  <c r="K25" i="3"/>
  <c r="Q26" i="3"/>
  <c r="Q47" i="3"/>
  <c r="W77" i="3"/>
  <c r="Q75" i="3"/>
  <c r="K74" i="3"/>
  <c r="Q40" i="3"/>
  <c r="W51" i="3"/>
  <c r="J46" i="3"/>
  <c r="Y50" i="3"/>
  <c r="Y51" i="3"/>
  <c r="K67" i="3"/>
  <c r="Q94" i="3"/>
  <c r="H95" i="3"/>
  <c r="H94" i="3"/>
  <c r="O94" i="3"/>
  <c r="P94" i="3"/>
  <c r="K94" i="3"/>
  <c r="O60" i="3"/>
  <c r="P60" i="3"/>
  <c r="H61" i="3"/>
  <c r="H60" i="3"/>
  <c r="W44" i="3"/>
  <c r="J39" i="3"/>
  <c r="K39" i="3"/>
  <c r="Q68" i="3"/>
  <c r="Y57" i="3"/>
  <c r="Y58" i="3"/>
  <c r="W36" i="3"/>
  <c r="O46" i="3"/>
  <c r="P46" i="3"/>
  <c r="K46" i="3"/>
  <c r="H47" i="3"/>
  <c r="H46" i="3"/>
  <c r="W37" i="3"/>
  <c r="J32" i="3"/>
  <c r="K32" i="3"/>
  <c r="Y36" i="3"/>
  <c r="Y37" i="3"/>
  <c r="K60" i="3"/>
  <c r="W20" i="3"/>
  <c r="Q19" i="3"/>
  <c r="W23" i="3" s="1"/>
  <c r="J18" i="3" s="1"/>
  <c r="K18" i="3" s="1"/>
  <c r="W21" i="3"/>
</calcChain>
</file>

<file path=xl/sharedStrings.xml><?xml version="1.0" encoding="utf-8"?>
<sst xmlns="http://schemas.openxmlformats.org/spreadsheetml/2006/main" count="102" uniqueCount="57">
  <si>
    <t>Hoe werkt het</t>
  </si>
  <si>
    <t>Het doel van dit formulier</t>
  </si>
  <si>
    <t>Voor wie is dit formulier</t>
  </si>
  <si>
    <t>Wat zijn de eisen</t>
  </si>
  <si>
    <t xml:space="preserve">Dit document is uitsluitend bedoeld voor het beoordelen van een EIA aanvraag, er kunnen geen rechten aan worden ontleend. </t>
  </si>
  <si>
    <t>Leiding (DN)</t>
  </si>
  <si>
    <t>Procestemperatuur tussen:</t>
  </si>
  <si>
    <r>
      <t>λ-waarde bij T</t>
    </r>
    <r>
      <rPr>
        <vertAlign val="subscript"/>
        <sz val="11"/>
        <color indexed="8"/>
        <rFont val="Calibri"/>
        <family val="2"/>
      </rPr>
      <t>m</t>
    </r>
    <r>
      <rPr>
        <sz val="11"/>
        <color indexed="8"/>
        <rFont val="Calibri"/>
        <family val="2"/>
      </rPr>
      <t xml:space="preserve"> (</t>
    </r>
    <r>
      <rPr>
        <vertAlign val="superscript"/>
        <sz val="11"/>
        <color indexed="8"/>
        <rFont val="Calibri"/>
        <family val="2"/>
      </rPr>
      <t>o</t>
    </r>
    <r>
      <rPr>
        <sz val="11"/>
        <color indexed="8"/>
        <rFont val="Calibri"/>
        <family val="2"/>
      </rPr>
      <t>C):*</t>
    </r>
  </si>
  <si>
    <t>DN40 - DN80</t>
  </si>
  <si>
    <t>DN100 - DN150</t>
  </si>
  <si>
    <t>DN200 - DN350</t>
  </si>
  <si>
    <t>DN400 - DN500</t>
  </si>
  <si>
    <t>DN</t>
  </si>
  <si>
    <t>Eis</t>
  </si>
  <si>
    <t>Nee</t>
  </si>
  <si>
    <t>Leidingen kleiner of gelijk aan DN500</t>
  </si>
  <si>
    <t>Leidingen groter dan DN500 en vlakke platen</t>
  </si>
  <si>
    <t>Vast</t>
  </si>
  <si>
    <t>di (m):</t>
  </si>
  <si>
    <t>ww</t>
  </si>
  <si>
    <t>Voldoet aan Energielijst</t>
  </si>
  <si>
    <t>Tproces  (oC)</t>
  </si>
  <si>
    <t>Leidingen &gt;DN500 en vlakke plaat</t>
  </si>
  <si>
    <t>Di (mm)</t>
  </si>
  <si>
    <r>
      <t>λ-waarde bij T</t>
    </r>
    <r>
      <rPr>
        <vertAlign val="subscript"/>
        <sz val="9"/>
        <color indexed="63"/>
        <rFont val="Calibri"/>
        <family val="2"/>
      </rPr>
      <t>m</t>
    </r>
    <r>
      <rPr>
        <sz val="9"/>
        <color indexed="63"/>
        <rFont val="Calibri"/>
        <family val="2"/>
      </rPr>
      <t xml:space="preserve"> (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C):*</t>
    </r>
  </si>
  <si>
    <t>rvo2019</t>
  </si>
  <si>
    <t>Het isolatiemateriaal dient te voldoen aan een minimale 'vereenvoudigde R-waarde' bij de betreffende (ontwerp) procestemperatuur.</t>
  </si>
  <si>
    <t>Leiding (DN) &gt; 500 of 
vlakke plaat</t>
  </si>
  <si>
    <t>isolatiedikte s (mm)</t>
  </si>
  <si>
    <r>
      <t xml:space="preserve">U dient in onderstaande tabellen per rij alle witte velden in te vullen. 
In de tabel wordt vervolgens aangegeven of het isolatiemateriaal voldoet aan de eisen.
</t>
    </r>
    <r>
      <rPr>
        <sz val="9"/>
        <color indexed="8"/>
        <rFont val="Arial"/>
        <family val="2"/>
      </rPr>
      <t xml:space="preserve">
</t>
    </r>
  </si>
  <si>
    <t>Hulptabellen</t>
  </si>
  <si>
    <t xml:space="preserve">Dit formulier is uitsluitend bedoeld om de vereenvoudigde R-waarde van isolatiemateriaal te berekenen. 
Voor diameters die niet genoemd zijn in de hulptabel dient u zelf de berekening te maken.
De resultaten uit dit document zijn niet bindend voor een EIA aanvraag. </t>
  </si>
  <si>
    <t>Minimale vereenvoudigde R-waarde</t>
  </si>
  <si>
    <r>
      <t>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</si>
  <si>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150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</si>
  <si>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250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</si>
  <si>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350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</si>
  <si>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450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</si>
  <si>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≤ 150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</si>
  <si>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≤ 250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</si>
  <si>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≤ 350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</si>
  <si>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≤ 450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</si>
  <si>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≤ 550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</si>
  <si>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100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</si>
  <si>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200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</si>
  <si>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300</t>
    </r>
    <r>
      <rPr>
        <vertAlign val="superscript"/>
        <sz val="9"/>
        <color indexed="63"/>
        <rFont val="Calibri"/>
        <family val="2"/>
      </rPr>
      <t>o</t>
    </r>
    <r>
      <rPr>
        <sz val="9"/>
        <color indexed="63"/>
        <rFont val="Calibri"/>
        <family val="2"/>
      </rPr>
      <t>C</t>
    </r>
  </si>
  <si>
    <r>
      <t>R</t>
    </r>
    <r>
      <rPr>
        <b/>
        <vertAlign val="subscript"/>
        <sz val="11"/>
        <color indexed="56"/>
        <rFont val="Arial"/>
        <family val="2"/>
      </rPr>
      <t>l</t>
    </r>
    <r>
      <rPr>
        <b/>
        <sz val="11"/>
        <color indexed="56"/>
        <rFont val="Arial"/>
        <family val="2"/>
      </rPr>
      <t xml:space="preserve"> (mK/W)</t>
    </r>
  </si>
  <si>
    <r>
      <t>d</t>
    </r>
    <r>
      <rPr>
        <b/>
        <vertAlign val="subscript"/>
        <sz val="9"/>
        <color indexed="56"/>
        <rFont val="Arial"/>
        <family val="2"/>
      </rPr>
      <t>i</t>
    </r>
    <r>
      <rPr>
        <b/>
        <sz val="9"/>
        <color indexed="56"/>
        <rFont val="Arial"/>
        <family val="2"/>
      </rPr>
      <t xml:space="preserve"> (m)</t>
    </r>
  </si>
  <si>
    <r>
      <t>T</t>
    </r>
    <r>
      <rPr>
        <b/>
        <vertAlign val="subscript"/>
        <sz val="9"/>
        <color indexed="56"/>
        <rFont val="Arial"/>
        <family val="2"/>
      </rPr>
      <t xml:space="preserve">proces  </t>
    </r>
    <r>
      <rPr>
        <b/>
        <sz val="11"/>
        <color indexed="56"/>
        <rFont val="Arial"/>
        <family val="2"/>
      </rPr>
      <t>(</t>
    </r>
    <r>
      <rPr>
        <b/>
        <vertAlign val="superscript"/>
        <sz val="11"/>
        <color indexed="56"/>
        <rFont val="Arial"/>
        <family val="2"/>
      </rPr>
      <t>o</t>
    </r>
    <r>
      <rPr>
        <b/>
        <sz val="11"/>
        <color indexed="56"/>
        <rFont val="Arial"/>
        <family val="2"/>
      </rPr>
      <t>C)</t>
    </r>
  </si>
  <si>
    <r>
      <t>T</t>
    </r>
    <r>
      <rPr>
        <b/>
        <vertAlign val="subscript"/>
        <sz val="11"/>
        <color indexed="56"/>
        <rFont val="Arial"/>
        <family val="2"/>
      </rPr>
      <t xml:space="preserve">m </t>
    </r>
    <r>
      <rPr>
        <b/>
        <sz val="11"/>
        <color indexed="56"/>
        <rFont val="Arial"/>
        <family val="2"/>
      </rPr>
      <t>(</t>
    </r>
    <r>
      <rPr>
        <b/>
        <vertAlign val="superscript"/>
        <sz val="11"/>
        <color indexed="56"/>
        <rFont val="Arial"/>
        <family val="2"/>
      </rPr>
      <t>o</t>
    </r>
    <r>
      <rPr>
        <b/>
        <sz val="11"/>
        <color indexed="56"/>
        <rFont val="Arial"/>
        <family val="2"/>
      </rPr>
      <t>C)</t>
    </r>
  </si>
  <si>
    <r>
      <t>λ</t>
    </r>
    <r>
      <rPr>
        <b/>
        <vertAlign val="subscript"/>
        <sz val="11"/>
        <color indexed="56"/>
        <rFont val="Arial"/>
        <family val="2"/>
      </rPr>
      <t xml:space="preserve"> </t>
    </r>
    <r>
      <rPr>
        <b/>
        <sz val="11"/>
        <color indexed="56"/>
        <rFont val="Arial"/>
        <family val="2"/>
      </rPr>
      <t>(W/mK) bij T</t>
    </r>
    <r>
      <rPr>
        <b/>
        <vertAlign val="subscript"/>
        <sz val="11"/>
        <color indexed="56"/>
        <rFont val="Arial"/>
        <family val="2"/>
      </rPr>
      <t>m</t>
    </r>
  </si>
  <si>
    <r>
      <t>R</t>
    </r>
    <r>
      <rPr>
        <b/>
        <sz val="11"/>
        <color indexed="56"/>
        <rFont val="Arial"/>
        <family val="2"/>
      </rPr>
      <t xml:space="preserve"> (m</t>
    </r>
    <r>
      <rPr>
        <b/>
        <vertAlign val="superscript"/>
        <sz val="11"/>
        <color indexed="56"/>
        <rFont val="Arial"/>
        <family val="2"/>
      </rPr>
      <t>2</t>
    </r>
    <r>
      <rPr>
        <b/>
        <sz val="11"/>
        <color indexed="56"/>
        <rFont val="Arial"/>
        <family val="2"/>
      </rPr>
      <t>K/W)</t>
    </r>
  </si>
  <si>
    <r>
      <t>Energielijst</t>
    </r>
    <r>
      <rPr>
        <sz val="12"/>
        <color indexed="8"/>
        <rFont val="Arial"/>
        <family val="2"/>
      </rPr>
      <t xml:space="preserve"> code 220409</t>
    </r>
  </si>
  <si>
    <t>Voor ondernemers die geïnvesteerd hebben in isolatie voor bestaande procesinstallaties die valt onder code 220409 van de Energielijst. 
Let op: de aanvraag dient binnen 3 maanden na opdrachtverstrekking van het bedrijfsmiddel te worden ingediend.</t>
  </si>
  <si>
    <t>Versie 2 dd 01-01-2024</t>
  </si>
  <si>
    <t xml:space="preserve">Formulier aanvullende informatie EIA-melding </t>
  </si>
  <si>
    <r>
      <t>Referentienummer</t>
    </r>
    <r>
      <rPr>
        <sz val="16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</si>
</sst>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9" x14ac:knownFonts="1">
    <font>
      <sz val="11"/>
      <color theme="1"/>
      <name val="Calibri"/>
      <family val="2"/>
      <scheme val="minor"/>
    </font>
    <font>
      <sz val="9"/>
      <color indexed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name val="Calibri"/>
      <family val="2"/>
    </font>
    <font>
      <sz val="9"/>
      <color indexed="63"/>
      <name val="Calibri"/>
      <family val="2"/>
    </font>
    <font>
      <vertAlign val="superscript"/>
      <sz val="9"/>
      <color indexed="63"/>
      <name val="Calibri"/>
      <family val="2"/>
    </font>
    <font>
      <vertAlign val="subscript"/>
      <sz val="9"/>
      <color indexed="63"/>
      <name val="Calibri"/>
      <family val="2"/>
    </font>
    <font>
      <b/>
      <sz val="9"/>
      <color indexed="56"/>
      <name val="Arial"/>
      <family val="2"/>
    </font>
    <font>
      <b/>
      <vertAlign val="subscript"/>
      <sz val="11"/>
      <color indexed="56"/>
      <name val="Arial"/>
      <family val="2"/>
    </font>
    <font>
      <b/>
      <sz val="11"/>
      <color indexed="56"/>
      <name val="Arial"/>
      <family val="2"/>
    </font>
    <font>
      <b/>
      <vertAlign val="subscript"/>
      <sz val="9"/>
      <color indexed="56"/>
      <name val="Arial"/>
      <family val="2"/>
    </font>
    <font>
      <b/>
      <vertAlign val="superscript"/>
      <sz val="11"/>
      <color indexed="56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 tint="0.499984740745262"/>
      <name val="Arial"/>
      <family val="2"/>
    </font>
    <font>
      <sz val="11"/>
      <color rgb="FF000000"/>
      <name val="Calibri"/>
      <family val="2"/>
    </font>
    <font>
      <b/>
      <sz val="48"/>
      <color theme="0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sz val="9"/>
      <color theme="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1" tint="0.34998626667073579"/>
      <name val="Arial"/>
      <family val="2"/>
    </font>
    <font>
      <sz val="9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</font>
    <font>
      <b/>
      <sz val="9"/>
      <color theme="3"/>
      <name val="Arial"/>
      <family val="2"/>
    </font>
    <font>
      <b/>
      <sz val="14"/>
      <color theme="3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 vertical="top"/>
    </xf>
    <xf numFmtId="0" fontId="17" fillId="0" borderId="0" xfId="0" applyFont="1" applyProtection="1">
      <protection hidden="1"/>
    </xf>
    <xf numFmtId="0" fontId="17" fillId="2" borderId="1" xfId="0" applyFont="1" applyFill="1" applyBorder="1"/>
    <xf numFmtId="0" fontId="2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3" xfId="0" applyFont="1" applyBorder="1"/>
    <xf numFmtId="0" fontId="17" fillId="0" borderId="4" xfId="0" applyFont="1" applyBorder="1"/>
    <xf numFmtId="0" fontId="21" fillId="0" borderId="4" xfId="0" applyFont="1" applyBorder="1"/>
    <xf numFmtId="164" fontId="17" fillId="0" borderId="0" xfId="0" applyNumberFormat="1" applyFont="1"/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horizontal="center" vertical="center" wrapText="1"/>
    </xf>
    <xf numFmtId="0" fontId="16" fillId="0" borderId="7" xfId="0" applyFont="1" applyBorder="1"/>
    <xf numFmtId="0" fontId="24" fillId="0" borderId="8" xfId="0" applyFont="1" applyBorder="1" applyAlignment="1">
      <alignment horizontal="center" vertical="center" wrapText="1"/>
    </xf>
    <xf numFmtId="0" fontId="16" fillId="0" borderId="9" xfId="0" applyFont="1" applyBorder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16" fillId="0" borderId="0" xfId="0" applyFont="1" applyBorder="1"/>
    <xf numFmtId="0" fontId="17" fillId="0" borderId="0" xfId="0" applyFont="1" applyBorder="1" applyAlignment="1">
      <alignment wrapText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wrapText="1"/>
      <protection hidden="1"/>
    </xf>
    <xf numFmtId="0" fontId="16" fillId="0" borderId="1" xfId="0" applyFont="1" applyBorder="1"/>
    <xf numFmtId="0" fontId="27" fillId="0" borderId="0" xfId="0" applyFont="1"/>
    <xf numFmtId="0" fontId="29" fillId="0" borderId="0" xfId="0" applyFont="1" applyAlignment="1" applyProtection="1">
      <alignment vertical="top"/>
      <protection hidden="1"/>
    </xf>
    <xf numFmtId="165" fontId="16" fillId="0" borderId="0" xfId="0" applyNumberFormat="1" applyFont="1" applyAlignment="1" applyProtection="1">
      <alignment horizontal="left"/>
      <protection hidden="1"/>
    </xf>
    <xf numFmtId="165" fontId="16" fillId="0" borderId="0" xfId="0" applyNumberFormat="1" applyFont="1" applyProtection="1">
      <protection hidden="1"/>
    </xf>
    <xf numFmtId="0" fontId="17" fillId="0" borderId="13" xfId="0" applyFont="1" applyBorder="1" applyProtection="1">
      <protection locked="0" hidden="1"/>
    </xf>
    <xf numFmtId="165" fontId="17" fillId="2" borderId="13" xfId="0" applyNumberFormat="1" applyFont="1" applyFill="1" applyBorder="1" applyAlignment="1" applyProtection="1">
      <alignment horizontal="right"/>
      <protection hidden="1"/>
    </xf>
    <xf numFmtId="0" fontId="17" fillId="2" borderId="13" xfId="0" applyFont="1" applyFill="1" applyBorder="1" applyProtection="1">
      <protection hidden="1"/>
    </xf>
    <xf numFmtId="2" fontId="17" fillId="2" borderId="13" xfId="0" applyNumberFormat="1" applyFont="1" applyFill="1" applyBorder="1" applyProtection="1">
      <protection hidden="1"/>
    </xf>
    <xf numFmtId="164" fontId="17" fillId="2" borderId="13" xfId="0" applyNumberFormat="1" applyFont="1" applyFill="1" applyBorder="1" applyProtection="1">
      <protection hidden="1"/>
    </xf>
    <xf numFmtId="164" fontId="16" fillId="0" borderId="0" xfId="0" applyNumberFormat="1" applyFont="1" applyProtection="1">
      <protection hidden="1"/>
    </xf>
    <xf numFmtId="164" fontId="17" fillId="2" borderId="13" xfId="0" applyNumberFormat="1" applyFont="1" applyFill="1" applyBorder="1" applyAlignment="1" applyProtection="1">
      <alignment horizontal="left"/>
      <protection hidden="1"/>
    </xf>
    <xf numFmtId="164" fontId="16" fillId="0" borderId="0" xfId="0" applyNumberFormat="1" applyFont="1" applyAlignment="1" applyProtection="1">
      <alignment horizontal="left"/>
      <protection hidden="1"/>
    </xf>
    <xf numFmtId="0" fontId="17" fillId="3" borderId="0" xfId="0" applyFont="1" applyFill="1"/>
    <xf numFmtId="0" fontId="17" fillId="4" borderId="0" xfId="0" applyFont="1" applyFill="1"/>
    <xf numFmtId="0" fontId="21" fillId="5" borderId="4" xfId="0" applyFont="1" applyFill="1" applyBorder="1"/>
    <xf numFmtId="164" fontId="17" fillId="4" borderId="0" xfId="0" applyNumberFormat="1" applyFont="1" applyFill="1" applyAlignment="1" applyProtection="1">
      <alignment horizontal="left"/>
      <protection hidden="1"/>
    </xf>
    <xf numFmtId="0" fontId="17" fillId="3" borderId="10" xfId="0" applyFont="1" applyFill="1" applyBorder="1"/>
    <xf numFmtId="0" fontId="17" fillId="3" borderId="11" xfId="0" applyFont="1" applyFill="1" applyBorder="1"/>
    <xf numFmtId="0" fontId="17" fillId="3" borderId="5" xfId="0" applyFont="1" applyFill="1" applyBorder="1"/>
    <xf numFmtId="0" fontId="17" fillId="3" borderId="2" xfId="0" applyFont="1" applyFill="1" applyBorder="1"/>
    <xf numFmtId="0" fontId="17" fillId="3" borderId="3" xfId="0" applyFont="1" applyFill="1" applyBorder="1"/>
    <xf numFmtId="0" fontId="17" fillId="3" borderId="4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17" fillId="5" borderId="4" xfId="0" applyFont="1" applyFill="1" applyBorder="1"/>
    <xf numFmtId="0" fontId="17" fillId="5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0" fontId="17" fillId="6" borderId="0" xfId="0" applyFont="1" applyFill="1"/>
    <xf numFmtId="0" fontId="17" fillId="7" borderId="0" xfId="0" applyFont="1" applyFill="1"/>
    <xf numFmtId="0" fontId="17" fillId="7" borderId="1" xfId="0" applyFont="1" applyFill="1" applyBorder="1"/>
    <xf numFmtId="0" fontId="17" fillId="5" borderId="1" xfId="0" applyFont="1" applyFill="1" applyBorder="1"/>
    <xf numFmtId="164" fontId="16" fillId="5" borderId="0" xfId="0" applyNumberFormat="1" applyFont="1" applyFill="1" applyAlignment="1" applyProtection="1">
      <alignment horizontal="left"/>
      <protection hidden="1"/>
    </xf>
    <xf numFmtId="0" fontId="16" fillId="5" borderId="0" xfId="0" applyFont="1" applyFill="1" applyAlignment="1" applyProtection="1">
      <alignment horizontal="left"/>
      <protection hidden="1"/>
    </xf>
    <xf numFmtId="0" fontId="29" fillId="5" borderId="0" xfId="0" applyFont="1" applyFill="1" applyProtection="1">
      <protection hidden="1"/>
    </xf>
    <xf numFmtId="0" fontId="17" fillId="8" borderId="0" xfId="0" applyFont="1" applyFill="1"/>
    <xf numFmtId="0" fontId="16" fillId="8" borderId="0" xfId="0" applyFont="1" applyFill="1" applyProtection="1">
      <protection hidden="1"/>
    </xf>
    <xf numFmtId="1" fontId="17" fillId="0" borderId="13" xfId="0" applyNumberFormat="1" applyFont="1" applyBorder="1" applyProtection="1">
      <protection locked="0" hidden="1"/>
    </xf>
    <xf numFmtId="1" fontId="16" fillId="5" borderId="0" xfId="0" applyNumberFormat="1" applyFont="1" applyFill="1" applyProtection="1">
      <protection hidden="1"/>
    </xf>
    <xf numFmtId="1" fontId="16" fillId="0" borderId="0" xfId="0" applyNumberFormat="1" applyFont="1" applyProtection="1">
      <protection hidden="1"/>
    </xf>
    <xf numFmtId="1" fontId="16" fillId="0" borderId="0" xfId="0" applyNumberFormat="1" applyFont="1" applyAlignment="1" applyProtection="1">
      <alignment wrapText="1"/>
      <protection hidden="1"/>
    </xf>
    <xf numFmtId="0" fontId="34" fillId="2" borderId="1" xfId="0" applyFont="1" applyFill="1" applyBorder="1" applyAlignment="1" applyProtection="1">
      <alignment wrapText="1"/>
      <protection hidden="1"/>
    </xf>
    <xf numFmtId="0" fontId="34" fillId="9" borderId="1" xfId="0" applyFont="1" applyFill="1" applyBorder="1" applyAlignment="1" applyProtection="1">
      <alignment wrapText="1"/>
      <protection hidden="1"/>
    </xf>
    <xf numFmtId="0" fontId="34" fillId="2" borderId="1" xfId="0" applyFont="1" applyFill="1" applyBorder="1" applyAlignment="1" applyProtection="1">
      <alignment horizontal="left" wrapText="1"/>
      <protection hidden="1"/>
    </xf>
    <xf numFmtId="0" fontId="34" fillId="9" borderId="1" xfId="0" applyFont="1" applyFill="1" applyBorder="1" applyAlignment="1" applyProtection="1">
      <alignment horizontal="left" wrapText="1"/>
      <protection hidden="1"/>
    </xf>
    <xf numFmtId="1" fontId="34" fillId="9" borderId="1" xfId="0" applyNumberFormat="1" applyFont="1" applyFill="1" applyBorder="1" applyAlignment="1" applyProtection="1">
      <alignment horizontal="left" wrapText="1"/>
      <protection hidden="1"/>
    </xf>
    <xf numFmtId="0" fontId="34" fillId="10" borderId="1" xfId="0" applyFont="1" applyFill="1" applyBorder="1" applyAlignment="1" applyProtection="1">
      <alignment wrapText="1"/>
      <protection hidden="1"/>
    </xf>
    <xf numFmtId="164" fontId="34" fillId="2" borderId="1" xfId="0" applyNumberFormat="1" applyFont="1" applyFill="1" applyBorder="1" applyAlignment="1" applyProtection="1">
      <alignment wrapText="1"/>
      <protection hidden="1"/>
    </xf>
    <xf numFmtId="164" fontId="16" fillId="0" borderId="0" xfId="0" applyNumberFormat="1" applyFont="1" applyAlignment="1" applyProtection="1">
      <alignment wrapText="1"/>
      <protection hidden="1"/>
    </xf>
    <xf numFmtId="164" fontId="34" fillId="2" borderId="1" xfId="0" applyNumberFormat="1" applyFont="1" applyFill="1" applyBorder="1" applyAlignment="1" applyProtection="1">
      <alignment horizontal="left" wrapText="1"/>
      <protection hidden="1"/>
    </xf>
    <xf numFmtId="164" fontId="17" fillId="0" borderId="0" xfId="0" applyNumberFormat="1" applyFont="1" applyAlignment="1" applyProtection="1">
      <alignment horizontal="left"/>
      <protection hidden="1"/>
    </xf>
    <xf numFmtId="0" fontId="19" fillId="0" borderId="0" xfId="0" applyFont="1" applyAlignment="1" applyProtection="1">
      <alignment vertical="top" readingOrder="1"/>
      <protection hidden="1"/>
    </xf>
    <xf numFmtId="0" fontId="19" fillId="0" borderId="0" xfId="0" applyFont="1" applyAlignment="1" applyProtection="1">
      <protection hidden="1"/>
    </xf>
    <xf numFmtId="0" fontId="16" fillId="0" borderId="0" xfId="0" applyFont="1" applyProtection="1"/>
    <xf numFmtId="0" fontId="18" fillId="0" borderId="0" xfId="0" applyFont="1" applyProtection="1"/>
    <xf numFmtId="0" fontId="16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top"/>
    </xf>
    <xf numFmtId="0" fontId="21" fillId="0" borderId="0" xfId="0" applyFont="1" applyAlignment="1" applyProtection="1">
      <alignment horizontal="left" vertical="top"/>
    </xf>
    <xf numFmtId="0" fontId="37" fillId="0" borderId="0" xfId="0" applyFont="1" applyAlignment="1" applyProtection="1"/>
    <xf numFmtId="0" fontId="16" fillId="0" borderId="12" xfId="0" applyFont="1" applyBorder="1" applyProtection="1"/>
    <xf numFmtId="0" fontId="17" fillId="0" borderId="0" xfId="0" applyFont="1" applyProtection="1"/>
    <xf numFmtId="0" fontId="23" fillId="0" borderId="0" xfId="0" applyFont="1" applyAlignment="1" applyProtection="1">
      <alignment horizontal="right"/>
    </xf>
    <xf numFmtId="0" fontId="26" fillId="0" borderId="0" xfId="0" applyFont="1" applyAlignment="1" applyProtection="1"/>
    <xf numFmtId="0" fontId="25" fillId="0" borderId="0" xfId="0" applyFont="1" applyAlignment="1" applyProtection="1"/>
    <xf numFmtId="0" fontId="16" fillId="0" borderId="0" xfId="0" applyFont="1" applyAlignment="1" applyProtection="1">
      <alignment wrapText="1"/>
    </xf>
    <xf numFmtId="0" fontId="26" fillId="0" borderId="0" xfId="0" applyFont="1" applyAlignment="1" applyProtection="1">
      <alignment wrapText="1"/>
    </xf>
    <xf numFmtId="0" fontId="28" fillId="0" borderId="0" xfId="0" applyFont="1" applyAlignment="1" applyProtection="1">
      <alignment horizontal="left"/>
    </xf>
    <xf numFmtId="164" fontId="16" fillId="0" borderId="0" xfId="0" applyNumberFormat="1" applyFont="1" applyProtection="1"/>
    <xf numFmtId="0" fontId="16" fillId="5" borderId="0" xfId="0" applyFont="1" applyFill="1" applyAlignment="1" applyProtection="1">
      <alignment horizontal="left"/>
    </xf>
    <xf numFmtId="0" fontId="19" fillId="0" borderId="0" xfId="0" applyFont="1" applyProtection="1"/>
    <xf numFmtId="0" fontId="30" fillId="2" borderId="10" xfId="0" applyFont="1" applyFill="1" applyBorder="1" applyProtection="1"/>
    <xf numFmtId="0" fontId="32" fillId="0" borderId="10" xfId="0" applyFont="1" applyBorder="1" applyProtection="1"/>
    <xf numFmtId="164" fontId="32" fillId="0" borderId="10" xfId="0" applyNumberFormat="1" applyFont="1" applyBorder="1" applyProtection="1"/>
    <xf numFmtId="0" fontId="31" fillId="0" borderId="0" xfId="0" applyFont="1" applyProtection="1"/>
    <xf numFmtId="0" fontId="33" fillId="9" borderId="1" xfId="0" applyFont="1" applyFill="1" applyBorder="1" applyAlignment="1" applyProtection="1">
      <alignment horizontal="left" vertical="center"/>
    </xf>
    <xf numFmtId="0" fontId="33" fillId="9" borderId="1" xfId="0" applyFont="1" applyFill="1" applyBorder="1" applyAlignment="1" applyProtection="1">
      <alignment horizontal="left" vertical="center" wrapText="1"/>
    </xf>
    <xf numFmtId="0" fontId="32" fillId="0" borderId="11" xfId="0" applyFont="1" applyBorder="1" applyProtection="1"/>
    <xf numFmtId="164" fontId="32" fillId="0" borderId="11" xfId="0" applyNumberFormat="1" applyFont="1" applyBorder="1" applyProtection="1"/>
    <xf numFmtId="0" fontId="33" fillId="0" borderId="0" xfId="0" applyFont="1" applyBorder="1" applyAlignment="1" applyProtection="1">
      <alignment horizontal="right" vertical="center" wrapText="1"/>
    </xf>
    <xf numFmtId="0" fontId="33" fillId="0" borderId="0" xfId="0" applyFont="1" applyBorder="1" applyAlignment="1" applyProtection="1">
      <alignment horizontal="right" vertical="center"/>
    </xf>
    <xf numFmtId="0" fontId="33" fillId="2" borderId="1" xfId="0" applyFont="1" applyFill="1" applyBorder="1" applyAlignment="1" applyProtection="1">
      <alignment horizontal="left" vertical="center"/>
    </xf>
    <xf numFmtId="0" fontId="33" fillId="2" borderId="1" xfId="0" applyFont="1" applyFill="1" applyBorder="1" applyAlignment="1" applyProtection="1">
      <alignment horizontal="left" vertical="center" wrapText="1"/>
    </xf>
    <xf numFmtId="0" fontId="33" fillId="0" borderId="16" xfId="0" applyFont="1" applyBorder="1" applyAlignment="1" applyProtection="1">
      <alignment horizontal="left" vertical="center"/>
    </xf>
    <xf numFmtId="0" fontId="33" fillId="0" borderId="14" xfId="0" applyFont="1" applyBorder="1" applyAlignment="1" applyProtection="1">
      <alignment horizontal="left" vertical="center"/>
    </xf>
    <xf numFmtId="0" fontId="33" fillId="0" borderId="14" xfId="0" applyFont="1" applyBorder="1" applyAlignment="1" applyProtection="1">
      <alignment horizontal="left" vertical="center" wrapText="1"/>
    </xf>
    <xf numFmtId="0" fontId="33" fillId="0" borderId="17" xfId="0" applyFont="1" applyBorder="1" applyAlignment="1" applyProtection="1">
      <alignment horizontal="left" vertical="center"/>
    </xf>
    <xf numFmtId="0" fontId="33" fillId="0" borderId="18" xfId="0" applyFont="1" applyBorder="1" applyAlignment="1" applyProtection="1">
      <alignment horizontal="left" vertical="center"/>
    </xf>
    <xf numFmtId="0" fontId="33" fillId="0" borderId="13" xfId="0" applyFont="1" applyBorder="1" applyAlignment="1" applyProtection="1">
      <alignment horizontal="left" vertical="center"/>
    </xf>
    <xf numFmtId="0" fontId="33" fillId="0" borderId="13" xfId="0" applyFont="1" applyBorder="1" applyAlignment="1" applyProtection="1">
      <alignment horizontal="left" vertical="center" wrapText="1"/>
    </xf>
    <xf numFmtId="164" fontId="33" fillId="0" borderId="19" xfId="0" applyNumberFormat="1" applyFont="1" applyFill="1" applyBorder="1" applyAlignment="1" applyProtection="1">
      <alignment horizontal="left" vertical="center"/>
    </xf>
    <xf numFmtId="0" fontId="33" fillId="0" borderId="19" xfId="0" applyFont="1" applyBorder="1" applyAlignment="1" applyProtection="1">
      <alignment horizontal="left" vertical="center"/>
    </xf>
    <xf numFmtId="0" fontId="33" fillId="0" borderId="20" xfId="0" applyFont="1" applyBorder="1" applyAlignment="1" applyProtection="1">
      <alignment horizontal="left" vertical="center"/>
    </xf>
    <xf numFmtId="0" fontId="33" fillId="0" borderId="15" xfId="0" applyFont="1" applyBorder="1" applyAlignment="1" applyProtection="1">
      <alignment horizontal="left" vertical="center"/>
    </xf>
    <xf numFmtId="0" fontId="33" fillId="0" borderId="15" xfId="0" applyFont="1" applyBorder="1" applyAlignment="1" applyProtection="1">
      <alignment horizontal="left" vertical="center" wrapText="1"/>
    </xf>
    <xf numFmtId="164" fontId="33" fillId="0" borderId="21" xfId="0" applyNumberFormat="1" applyFont="1" applyBorder="1" applyAlignment="1" applyProtection="1">
      <alignment horizontal="left" vertical="center"/>
    </xf>
    <xf numFmtId="0" fontId="31" fillId="0" borderId="0" xfId="0" applyFont="1" applyAlignment="1" applyProtection="1">
      <alignment horizontal="right"/>
    </xf>
    <xf numFmtId="0" fontId="31" fillId="0" borderId="0" xfId="0" applyFont="1" applyAlignment="1" applyProtection="1">
      <alignment horizontal="left"/>
    </xf>
    <xf numFmtId="0" fontId="32" fillId="0" borderId="5" xfId="0" applyFont="1" applyBorder="1" applyProtection="1"/>
    <xf numFmtId="164" fontId="32" fillId="0" borderId="5" xfId="0" applyNumberFormat="1" applyFont="1" applyBorder="1" applyProtection="1"/>
    <xf numFmtId="0" fontId="22" fillId="0" borderId="0" xfId="0" applyFont="1" applyProtection="1"/>
    <xf numFmtId="0" fontId="22" fillId="0" borderId="0" xfId="0" applyFont="1" applyAlignment="1" applyProtection="1">
      <alignment horizontal="right"/>
    </xf>
    <xf numFmtId="0" fontId="16" fillId="0" borderId="3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 hidden="1"/>
    </xf>
    <xf numFmtId="1" fontId="16" fillId="5" borderId="0" xfId="0" applyNumberFormat="1" applyFont="1" applyFill="1" applyProtection="1">
      <protection locked="0" hidden="1"/>
    </xf>
    <xf numFmtId="1" fontId="16" fillId="0" borderId="0" xfId="0" applyNumberFormat="1" applyFont="1" applyProtection="1">
      <protection locked="0" hidden="1"/>
    </xf>
    <xf numFmtId="0" fontId="16" fillId="6" borderId="0" xfId="0" applyFont="1" applyFill="1" applyProtection="1">
      <protection locked="0" hidden="1"/>
    </xf>
    <xf numFmtId="0" fontId="16" fillId="5" borderId="0" xfId="0" applyFont="1" applyFill="1" applyAlignment="1" applyProtection="1">
      <alignment horizontal="left"/>
      <protection locked="0"/>
    </xf>
    <xf numFmtId="0" fontId="16" fillId="5" borderId="0" xfId="0" applyFont="1" applyFill="1" applyAlignment="1" applyProtection="1">
      <alignment horizontal="left"/>
      <protection locked="0" hidden="1"/>
    </xf>
    <xf numFmtId="1" fontId="29" fillId="5" borderId="0" xfId="0" applyNumberFormat="1" applyFont="1" applyFill="1" applyProtection="1">
      <protection locked="0" hidden="1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 hidden="1"/>
    </xf>
    <xf numFmtId="0" fontId="16" fillId="8" borderId="0" xfId="0" applyFont="1" applyFill="1" applyProtection="1">
      <protection locked="0" hidden="1"/>
    </xf>
    <xf numFmtId="0" fontId="33" fillId="0" borderId="0" xfId="0" applyFont="1" applyBorder="1" applyAlignment="1" applyProtection="1">
      <alignment horizontal="right" vertical="center" wrapText="1"/>
    </xf>
    <xf numFmtId="0" fontId="33" fillId="0" borderId="12" xfId="0" applyFont="1" applyBorder="1" applyAlignment="1" applyProtection="1">
      <alignment horizontal="right" vertical="center" wrapText="1"/>
    </xf>
    <xf numFmtId="0" fontId="17" fillId="0" borderId="22" xfId="0" applyFont="1" applyBorder="1" applyAlignment="1" applyProtection="1">
      <alignment horizontal="left"/>
      <protection locked="0" hidden="1"/>
    </xf>
    <xf numFmtId="0" fontId="17" fillId="0" borderId="23" xfId="0" applyFont="1" applyBorder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1" fillId="11" borderId="0" xfId="0" applyFont="1" applyFill="1" applyAlignment="1" applyProtection="1">
      <alignment horizontal="left" vertical="top" wrapText="1"/>
    </xf>
    <xf numFmtId="0" fontId="29" fillId="11" borderId="0" xfId="0" applyFont="1" applyFill="1" applyAlignment="1" applyProtection="1">
      <alignment horizontal="left" vertical="top"/>
    </xf>
    <xf numFmtId="0" fontId="35" fillId="0" borderId="24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left" vertical="center"/>
    </xf>
    <xf numFmtId="0" fontId="31" fillId="2" borderId="2" xfId="0" applyFont="1" applyFill="1" applyBorder="1" applyAlignment="1" applyProtection="1">
      <alignment horizontal="center"/>
    </xf>
    <xf numFmtId="0" fontId="30" fillId="2" borderId="3" xfId="0" applyFont="1" applyFill="1" applyBorder="1" applyAlignment="1" applyProtection="1">
      <alignment horizontal="center"/>
    </xf>
    <xf numFmtId="0" fontId="30" fillId="2" borderId="4" xfId="0" applyFont="1" applyFill="1" applyBorder="1" applyAlignment="1" applyProtection="1">
      <alignment horizontal="center"/>
    </xf>
    <xf numFmtId="0" fontId="36" fillId="0" borderId="0" xfId="0" applyFont="1" applyAlignment="1" applyProtection="1">
      <alignment horizontal="left" vertical="center"/>
    </xf>
    <xf numFmtId="0" fontId="34" fillId="9" borderId="2" xfId="0" applyFont="1" applyFill="1" applyBorder="1" applyAlignment="1" applyProtection="1">
      <alignment horizontal="left" wrapText="1"/>
      <protection hidden="1"/>
    </xf>
    <xf numFmtId="0" fontId="34" fillId="9" borderId="4" xfId="0" applyFont="1" applyFill="1" applyBorder="1" applyAlignment="1" applyProtection="1">
      <alignment horizontal="left" wrapText="1"/>
      <protection hidden="1"/>
    </xf>
  </cellXfs>
  <cellStyles count="1">
    <cellStyle name="Standaard" xfId="0" builtinId="0"/>
  </cellStyles>
  <dxfs count="68"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3"/>
      </font>
    </dxf>
    <dxf>
      <font>
        <color theme="0"/>
      </font>
      <fill>
        <patternFill>
          <bgColor theme="3"/>
        </patternFill>
      </fill>
    </dxf>
    <dxf>
      <font>
        <color theme="3"/>
      </font>
    </dxf>
    <dxf>
      <font>
        <color theme="0"/>
      </font>
      <fill>
        <patternFill>
          <bgColor theme="3"/>
        </patternFill>
      </fill>
    </dxf>
    <dxf>
      <font>
        <color theme="3"/>
      </font>
    </dxf>
    <dxf>
      <font>
        <color theme="0"/>
      </font>
      <fill>
        <patternFill>
          <bgColor theme="3"/>
        </patternFill>
      </fill>
    </dxf>
    <dxf>
      <font>
        <color theme="3"/>
      </font>
    </dxf>
    <dxf>
      <font>
        <color theme="0"/>
      </font>
      <fill>
        <patternFill>
          <bgColor theme="3"/>
        </patternFill>
      </fill>
    </dxf>
    <dxf>
      <font>
        <color rgb="FFC00000"/>
      </font>
    </dxf>
    <dxf>
      <font>
        <color theme="0"/>
      </font>
      <fill>
        <patternFill>
          <bgColor theme="3"/>
        </patternFill>
      </fill>
    </dxf>
    <dxf>
      <font>
        <color rgb="FFC00000"/>
      </font>
    </dxf>
    <dxf>
      <font>
        <color theme="0"/>
      </font>
      <fill>
        <patternFill>
          <bgColor theme="3"/>
        </patternFill>
      </fill>
    </dxf>
    <dxf>
      <font>
        <color rgb="FFC00000"/>
      </font>
    </dxf>
    <dxf>
      <font>
        <color theme="0"/>
      </font>
      <fill>
        <patternFill>
          <bgColor theme="3"/>
        </patternFill>
      </fill>
    </dxf>
    <dxf>
      <font>
        <color rgb="FFC00000"/>
      </font>
    </dxf>
    <dxf>
      <font>
        <color theme="0"/>
      </font>
      <fill>
        <patternFill>
          <bgColor theme="3"/>
        </patternFill>
      </fill>
    </dxf>
    <dxf>
      <font>
        <color rgb="FFC00000"/>
      </font>
    </dxf>
    <dxf>
      <font>
        <color theme="0"/>
      </font>
      <fill>
        <patternFill>
          <bgColor theme="3"/>
        </patternFill>
      </fill>
    </dxf>
    <dxf>
      <font>
        <color rgb="FFC00000"/>
      </font>
    </dxf>
    <dxf>
      <font>
        <color theme="0"/>
      </font>
      <fill>
        <patternFill>
          <bgColor theme="3"/>
        </patternFill>
      </fill>
    </dxf>
    <dxf>
      <font>
        <color rgb="FFC00000"/>
      </font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3"/>
        </patternFill>
      </fill>
    </dxf>
    <dxf>
      <font>
        <color theme="3"/>
      </font>
    </dxf>
    <dxf>
      <font>
        <color theme="3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117</xdr:row>
      <xdr:rowOff>116417</xdr:rowOff>
    </xdr:from>
    <xdr:to>
      <xdr:col>11</xdr:col>
      <xdr:colOff>2</xdr:colOff>
      <xdr:row>121</xdr:row>
      <xdr:rowOff>158750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BE4DB2A4-3CB0-6CAD-2043-CBC72BE29755}"/>
            </a:ext>
          </a:extLst>
        </xdr:cNvPr>
        <xdr:cNvSpPr txBox="1"/>
      </xdr:nvSpPr>
      <xdr:spPr>
        <a:xfrm>
          <a:off x="2624667" y="13599584"/>
          <a:ext cx="6043085" cy="761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000">
              <a:solidFill>
                <a:schemeClr val="tx1">
                  <a:lumMod val="65000"/>
                  <a:lumOff val="35000"/>
                </a:schemeClr>
              </a:solidFill>
            </a:rPr>
            <a:t>* De warmtegeleidingscoëfficiënt (</a:t>
          </a:r>
          <a:r>
            <a:rPr lang="el-GR" sz="1000">
              <a:solidFill>
                <a:schemeClr val="tx1">
                  <a:lumMod val="65000"/>
                  <a:lumOff val="35000"/>
                </a:schemeClr>
              </a:solidFill>
            </a:rPr>
            <a:t>λ) </a:t>
          </a:r>
          <a:r>
            <a:rPr lang="nl-NL" sz="1000">
              <a:solidFill>
                <a:schemeClr val="tx1">
                  <a:lumMod val="65000"/>
                  <a:lumOff val="35000"/>
                </a:schemeClr>
              </a:solidFill>
            </a:rPr>
            <a:t>wordt gemeten volgens </a:t>
          </a:r>
          <a:r>
            <a:rPr lang="nl-NL" sz="1000">
              <a:solidFill>
                <a:sysClr val="windowText" lastClr="000000"/>
              </a:solidFill>
            </a:rPr>
            <a:t>NEN-E</a:t>
          </a:r>
          <a:r>
            <a:rPr lang="nl-NL" sz="1000">
              <a:solidFill>
                <a:schemeClr val="tx1">
                  <a:lumMod val="65000"/>
                  <a:lumOff val="35000"/>
                </a:schemeClr>
              </a:solidFill>
            </a:rPr>
            <a:t>N 12667:2001 of NEN-EN-ISO 8497:1997 bij verschillende T</a:t>
          </a:r>
          <a:r>
            <a:rPr lang="nl-NL" sz="1000" baseline="-25000">
              <a:solidFill>
                <a:schemeClr val="tx1">
                  <a:lumMod val="65000"/>
                  <a:lumOff val="35000"/>
                </a:schemeClr>
              </a:solidFill>
            </a:rPr>
            <a:t>m</a:t>
          </a:r>
          <a:r>
            <a:rPr lang="nl-NL" sz="1000">
              <a:solidFill>
                <a:schemeClr val="tx1">
                  <a:lumMod val="65000"/>
                  <a:lumOff val="35000"/>
                </a:schemeClr>
              </a:solidFill>
            </a:rPr>
            <a:t> (mean temperatures) in het isolatiemateriaal. In de tabel staat aangegeven welke T</a:t>
          </a:r>
          <a:r>
            <a:rPr lang="nl-NL" sz="1000" baseline="-25000">
              <a:solidFill>
                <a:schemeClr val="tx1">
                  <a:lumMod val="65000"/>
                  <a:lumOff val="35000"/>
                </a:schemeClr>
              </a:solidFill>
            </a:rPr>
            <a:t>m</a:t>
          </a:r>
          <a:r>
            <a:rPr lang="nl-NL" sz="1000">
              <a:solidFill>
                <a:schemeClr val="tx1">
                  <a:lumMod val="65000"/>
                  <a:lumOff val="35000"/>
                </a:schemeClr>
              </a:solidFill>
            </a:rPr>
            <a:t> van het isolatiemateriaal moet worden aangenomen per proces-temperatuurbereik. De  </a:t>
          </a:r>
          <a:r>
            <a:rPr lang="el-GR" sz="1000">
              <a:solidFill>
                <a:schemeClr val="tx1">
                  <a:lumMod val="65000"/>
                  <a:lumOff val="35000"/>
                </a:schemeClr>
              </a:solidFill>
            </a:rPr>
            <a:t>λ-</a:t>
          </a:r>
          <a:r>
            <a:rPr lang="nl-NL" sz="1000">
              <a:solidFill>
                <a:schemeClr val="tx1">
                  <a:lumMod val="65000"/>
                  <a:lumOff val="35000"/>
                </a:schemeClr>
              </a:solidFill>
            </a:rPr>
            <a:t>waarde behorende bij de desbetreffende T</a:t>
          </a:r>
          <a:r>
            <a:rPr lang="nl-NL" sz="1000" baseline="-25000">
              <a:solidFill>
                <a:schemeClr val="tx1">
                  <a:lumMod val="65000"/>
                  <a:lumOff val="35000"/>
                </a:schemeClr>
              </a:solidFill>
            </a:rPr>
            <a:t>m</a:t>
          </a:r>
          <a:r>
            <a:rPr lang="nl-NL" sz="1000">
              <a:solidFill>
                <a:schemeClr val="tx1">
                  <a:lumMod val="65000"/>
                  <a:lumOff val="35000"/>
                </a:schemeClr>
              </a:solidFill>
            </a:rPr>
            <a:t> dient te worden toegepast in de berekening van de vereenvoudigde R-waarde.</a:t>
          </a:r>
        </a:p>
      </xdr:txBody>
    </xdr:sp>
    <xdr:clientData/>
  </xdr:twoCellAnchor>
  <xdr:twoCellAnchor editAs="oneCell">
    <xdr:from>
      <xdr:col>5</xdr:col>
      <xdr:colOff>750454</xdr:colOff>
      <xdr:row>0</xdr:row>
      <xdr:rowOff>14431</xdr:rowOff>
    </xdr:from>
    <xdr:to>
      <xdr:col>8</xdr:col>
      <xdr:colOff>732178</xdr:colOff>
      <xdr:row>4</xdr:row>
      <xdr:rowOff>143255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E108647-8AC2-FB64-265A-30874F1A01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6136" y="14431"/>
          <a:ext cx="2536156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8"/>
  <sheetViews>
    <sheetView showGridLines="0" showRowColHeaders="0" tabSelected="1" zoomScale="90" zoomScaleNormal="90" zoomScalePageLayoutView="50" workbookViewId="0">
      <selection activeCell="D16" sqref="D16"/>
    </sheetView>
  </sheetViews>
  <sheetFormatPr defaultRowHeight="14.25" x14ac:dyDescent="0.2"/>
  <cols>
    <col min="1" max="1" width="3" style="6" customWidth="1"/>
    <col min="2" max="2" width="12.7109375" style="6" customWidth="1"/>
    <col min="3" max="3" width="13.7109375" style="5" customWidth="1"/>
    <col min="4" max="9" width="12.7109375" style="6" customWidth="1"/>
    <col min="10" max="10" width="12.7109375" style="5" customWidth="1"/>
    <col min="11" max="12" width="12.7109375" style="6" customWidth="1"/>
    <col min="13" max="13" width="2.7109375" style="6" customWidth="1"/>
    <col min="14" max="14" width="9.140625" style="6" customWidth="1"/>
    <col min="15" max="16" width="9.140625" style="6" hidden="1" customWidth="1"/>
    <col min="17" max="17" width="9.7109375" style="6" hidden="1" customWidth="1"/>
    <col min="18" max="28" width="9.140625" style="6" hidden="1" customWidth="1"/>
    <col min="29" max="30" width="9.140625" style="6" customWidth="1"/>
    <col min="31" max="16384" width="9.140625" style="6"/>
  </cols>
  <sheetData>
    <row r="1" spans="1:28" ht="15.75" x14ac:dyDescent="0.25">
      <c r="A1" s="86"/>
      <c r="B1" s="87"/>
      <c r="C1" s="88"/>
      <c r="D1" s="86"/>
      <c r="E1" s="86"/>
      <c r="F1" s="86"/>
      <c r="G1" s="86"/>
      <c r="H1" s="86"/>
      <c r="I1" s="86"/>
      <c r="J1" s="88"/>
      <c r="K1" s="86"/>
      <c r="L1" s="86"/>
      <c r="AA1" s="6" t="s">
        <v>19</v>
      </c>
      <c r="AB1" s="6" t="s">
        <v>25</v>
      </c>
    </row>
    <row r="2" spans="1:28" ht="15.75" x14ac:dyDescent="0.25">
      <c r="A2" s="86"/>
      <c r="B2" s="87"/>
      <c r="C2" s="88"/>
      <c r="D2" s="86"/>
      <c r="E2" s="86"/>
      <c r="F2" s="86"/>
      <c r="G2" s="86"/>
      <c r="H2" s="86"/>
      <c r="I2" s="86"/>
      <c r="J2" s="88"/>
      <c r="K2" s="86"/>
      <c r="L2" s="86"/>
    </row>
    <row r="3" spans="1:28" ht="15.75" x14ac:dyDescent="0.25">
      <c r="A3" s="86"/>
      <c r="B3" s="87"/>
      <c r="C3" s="88"/>
      <c r="D3" s="86"/>
      <c r="E3" s="86"/>
      <c r="F3" s="86"/>
      <c r="G3" s="86"/>
      <c r="H3" s="86"/>
      <c r="I3" s="86"/>
      <c r="J3" s="88"/>
      <c r="K3" s="86"/>
      <c r="L3" s="86"/>
    </row>
    <row r="4" spans="1:28" ht="26.25" customHeight="1" x14ac:dyDescent="0.25">
      <c r="A4" s="86"/>
      <c r="B4" s="87"/>
      <c r="C4" s="88"/>
      <c r="D4" s="86"/>
      <c r="E4" s="86"/>
      <c r="F4" s="86"/>
      <c r="G4" s="86"/>
      <c r="H4" s="86"/>
      <c r="I4" s="86"/>
      <c r="J4" s="88"/>
      <c r="K4" s="86"/>
      <c r="L4" s="86"/>
    </row>
    <row r="5" spans="1:28" ht="36" customHeight="1" x14ac:dyDescent="0.2">
      <c r="A5" s="86"/>
      <c r="B5" s="153" t="s">
        <v>55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28" ht="15" x14ac:dyDescent="0.2">
      <c r="A6" s="86"/>
      <c r="B6" s="162" t="s">
        <v>52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</row>
    <row r="7" spans="1:28" ht="8.25" customHeight="1" x14ac:dyDescent="0.2">
      <c r="A7" s="86"/>
      <c r="B7" s="89"/>
      <c r="C7" s="89"/>
      <c r="D7" s="89"/>
      <c r="E7" s="89"/>
      <c r="F7" s="89"/>
      <c r="G7" s="89"/>
      <c r="H7" s="89"/>
      <c r="I7" s="89"/>
      <c r="J7" s="90"/>
      <c r="K7" s="89"/>
      <c r="L7" s="89"/>
      <c r="P7" s="19" t="s">
        <v>6</v>
      </c>
      <c r="Q7" s="20"/>
      <c r="R7" s="11">
        <v>50</v>
      </c>
      <c r="S7" s="12">
        <v>151</v>
      </c>
      <c r="T7" s="10">
        <v>251</v>
      </c>
      <c r="U7" s="12">
        <v>351</v>
      </c>
      <c r="V7" s="12">
        <v>451</v>
      </c>
    </row>
    <row r="8" spans="1:28" s="5" customFormat="1" ht="28.5" customHeight="1" x14ac:dyDescent="0.2">
      <c r="A8" s="88"/>
      <c r="B8" s="154" t="s">
        <v>1</v>
      </c>
      <c r="C8" s="154"/>
      <c r="D8" s="91"/>
      <c r="E8" s="154" t="s">
        <v>2</v>
      </c>
      <c r="F8" s="154"/>
      <c r="G8" s="91"/>
      <c r="H8" s="154" t="s">
        <v>0</v>
      </c>
      <c r="I8" s="154"/>
      <c r="J8" s="91"/>
      <c r="K8" s="154" t="s">
        <v>3</v>
      </c>
      <c r="L8" s="154"/>
      <c r="P8" s="21"/>
      <c r="Q8" s="22"/>
      <c r="R8" s="12">
        <v>150</v>
      </c>
      <c r="S8" s="12">
        <v>250</v>
      </c>
      <c r="T8" s="10">
        <v>350</v>
      </c>
      <c r="U8" s="12">
        <v>450</v>
      </c>
      <c r="V8" s="12">
        <v>550</v>
      </c>
      <c r="W8" s="6"/>
      <c r="X8" s="3" t="s">
        <v>17</v>
      </c>
    </row>
    <row r="9" spans="1:28" s="7" customFormat="1" ht="156" customHeight="1" x14ac:dyDescent="0.2">
      <c r="A9" s="92"/>
      <c r="B9" s="155" t="s">
        <v>31</v>
      </c>
      <c r="C9" s="156"/>
      <c r="D9" s="93"/>
      <c r="E9" s="155" t="s">
        <v>53</v>
      </c>
      <c r="F9" s="156"/>
      <c r="G9" s="93"/>
      <c r="H9" s="155" t="s">
        <v>29</v>
      </c>
      <c r="I9" s="156"/>
      <c r="J9" s="93"/>
      <c r="K9" s="155" t="s">
        <v>26</v>
      </c>
      <c r="L9" s="156"/>
      <c r="P9" s="18" t="s">
        <v>7</v>
      </c>
      <c r="Q9" s="31"/>
      <c r="R9" s="12">
        <v>50</v>
      </c>
      <c r="S9" s="12">
        <v>100</v>
      </c>
      <c r="T9" s="10">
        <v>200</v>
      </c>
      <c r="U9" s="12">
        <v>200</v>
      </c>
      <c r="V9" s="12">
        <v>300</v>
      </c>
      <c r="W9" s="6"/>
      <c r="X9" s="3" t="s">
        <v>14</v>
      </c>
    </row>
    <row r="10" spans="1:28" ht="16.5" customHeight="1" x14ac:dyDescent="0.2">
      <c r="A10" s="86"/>
      <c r="B10" s="89"/>
      <c r="C10" s="89"/>
      <c r="D10" s="89"/>
      <c r="E10" s="89"/>
      <c r="F10" s="86"/>
      <c r="G10" s="89"/>
      <c r="H10" s="89"/>
      <c r="I10" s="89"/>
      <c r="J10" s="90"/>
      <c r="K10" s="89"/>
      <c r="L10" s="89"/>
    </row>
    <row r="11" spans="1:28" ht="23.25" customHeight="1" x14ac:dyDescent="0.3">
      <c r="A11" s="86"/>
      <c r="B11" s="94" t="s">
        <v>56</v>
      </c>
      <c r="C11" s="94"/>
      <c r="D11" s="95"/>
      <c r="E11" s="137"/>
      <c r="F11" s="138"/>
      <c r="G11" s="157"/>
      <c r="H11" s="158"/>
      <c r="I11" s="86"/>
      <c r="J11" s="88"/>
      <c r="K11" s="86"/>
      <c r="L11" s="86"/>
    </row>
    <row r="12" spans="1:28" ht="12" customHeight="1" x14ac:dyDescent="0.2">
      <c r="A12" s="86"/>
      <c r="B12" s="86"/>
      <c r="C12" s="88"/>
      <c r="D12" s="86"/>
      <c r="E12" s="86"/>
      <c r="F12" s="86"/>
      <c r="G12" s="86"/>
      <c r="H12" s="86"/>
      <c r="I12" s="86"/>
      <c r="J12" s="88"/>
      <c r="K12" s="86"/>
      <c r="L12" s="86"/>
      <c r="Q12" s="32"/>
    </row>
    <row r="13" spans="1:28" ht="11.25" customHeight="1" x14ac:dyDescent="0.2">
      <c r="A13" s="86"/>
      <c r="B13" s="96"/>
      <c r="C13" s="88"/>
      <c r="D13" s="97"/>
      <c r="E13" s="86"/>
      <c r="F13" s="86"/>
      <c r="G13" s="86"/>
      <c r="H13" s="86"/>
      <c r="I13" s="86"/>
      <c r="J13" s="88"/>
      <c r="K13" s="86"/>
      <c r="L13" s="86"/>
    </row>
    <row r="14" spans="1:28" ht="23.25" x14ac:dyDescent="0.25">
      <c r="A14" s="86"/>
      <c r="B14" s="84" t="s">
        <v>15</v>
      </c>
      <c r="C14" s="84"/>
      <c r="D14" s="84"/>
      <c r="E14" s="8"/>
      <c r="F14" s="27"/>
      <c r="G14" s="27"/>
      <c r="H14" s="27"/>
      <c r="I14" s="8"/>
      <c r="J14" s="29"/>
      <c r="K14" s="8"/>
      <c r="L14" s="98"/>
    </row>
    <row r="15" spans="1:28" ht="6" customHeight="1" x14ac:dyDescent="0.8">
      <c r="A15" s="86"/>
      <c r="B15" s="8"/>
      <c r="C15" s="29"/>
      <c r="D15" s="8"/>
      <c r="E15" s="86"/>
      <c r="F15" s="8"/>
      <c r="G15" s="8"/>
      <c r="H15" s="8"/>
      <c r="I15" s="8"/>
      <c r="J15" s="29"/>
      <c r="K15" s="8"/>
      <c r="L15" s="99"/>
      <c r="M15" s="3"/>
    </row>
    <row r="16" spans="1:28" s="1" customFormat="1" ht="33.75" customHeight="1" x14ac:dyDescent="0.3">
      <c r="A16" s="100"/>
      <c r="B16" s="75" t="s">
        <v>5</v>
      </c>
      <c r="C16" s="76" t="s">
        <v>47</v>
      </c>
      <c r="D16" s="77" t="s">
        <v>48</v>
      </c>
      <c r="E16" s="74" t="s">
        <v>49</v>
      </c>
      <c r="F16" s="75" t="s">
        <v>28</v>
      </c>
      <c r="G16" s="75" t="s">
        <v>50</v>
      </c>
      <c r="H16" s="74" t="s">
        <v>46</v>
      </c>
      <c r="I16" s="100"/>
      <c r="J16" s="76" t="s">
        <v>13</v>
      </c>
      <c r="K16" s="74" t="s">
        <v>20</v>
      </c>
      <c r="L16" s="101"/>
      <c r="N16" s="26"/>
      <c r="O16" s="2"/>
      <c r="P16" s="2"/>
      <c r="Q16" s="2"/>
      <c r="R16" s="2"/>
      <c r="S16" s="2"/>
      <c r="T16" s="2"/>
      <c r="U16" s="2"/>
      <c r="V16" s="2"/>
    </row>
    <row r="17" spans="1:25" s="1" customFormat="1" ht="6" customHeight="1" x14ac:dyDescent="0.8">
      <c r="A17" s="100"/>
      <c r="B17" s="30"/>
      <c r="C17" s="30"/>
      <c r="D17" s="30"/>
      <c r="E17" s="30"/>
      <c r="F17" s="30"/>
      <c r="G17" s="30"/>
      <c r="H17" s="30"/>
      <c r="I17" s="100"/>
      <c r="J17" s="29"/>
      <c r="K17" s="8"/>
      <c r="L17" s="99"/>
      <c r="N17" s="4"/>
      <c r="O17" s="6"/>
      <c r="P17" s="6"/>
      <c r="Q17" s="6"/>
      <c r="R17" s="6"/>
      <c r="S17" s="6"/>
      <c r="T17" s="6"/>
      <c r="U17" s="6"/>
      <c r="V17" s="6"/>
      <c r="W17" s="6"/>
    </row>
    <row r="18" spans="1:25" ht="18" customHeight="1" x14ac:dyDescent="0.25">
      <c r="A18" s="102"/>
      <c r="B18" s="36"/>
      <c r="C18" s="37" t="str">
        <f>IF(B18=0,"",Y18/1000)</f>
        <v/>
      </c>
      <c r="D18" s="70"/>
      <c r="E18" s="38" t="str">
        <f>IF(W18=0,"",W18)</f>
        <v/>
      </c>
      <c r="F18" s="36"/>
      <c r="G18" s="36"/>
      <c r="H18" s="40" t="str">
        <f>IF(H19="","",ROUND(H19,1))</f>
        <v/>
      </c>
      <c r="I18" s="86"/>
      <c r="J18" s="42" t="str">
        <f>W23</f>
        <v/>
      </c>
      <c r="K18" s="39" t="str">
        <f>IF(J18="nb","Nee",IF(P18=0,IF(H18&gt;=J18,"Ja","Nee"),""))</f>
        <v/>
      </c>
      <c r="L18" s="98"/>
      <c r="N18" s="4"/>
      <c r="O18" s="3">
        <f>COUNTBLANK(B18:G18)</f>
        <v>6</v>
      </c>
      <c r="P18" s="45">
        <f>IF(O18&lt;=0,0,1)</f>
        <v>1</v>
      </c>
      <c r="R18" s="54">
        <f>IF(AND($D18&gt;=R$7,$D18&lt;=R$8),R$9,0)</f>
        <v>0</v>
      </c>
      <c r="S18" s="55">
        <f>IF(AND($D18&gt;=S$7,$D18&lt;=S$8),S$9,0)</f>
        <v>0</v>
      </c>
      <c r="T18" s="55">
        <f>IF(AND($D18&gt;=T$7,$D18&lt;=T$8),T$9,0)</f>
        <v>0</v>
      </c>
      <c r="U18" s="55">
        <f>IF(AND($D18&gt;=U$7,$D18&lt;=U$8),U$9,0)</f>
        <v>0</v>
      </c>
      <c r="V18" s="56">
        <f>IF(AND($D18&gt;=V$7,$D18&lt;=V$8),V$9,0)</f>
        <v>0</v>
      </c>
      <c r="W18" s="46" t="str">
        <f>IF(D18=0,"",SUM(R18:V18))</f>
        <v/>
      </c>
      <c r="X18" s="24" t="s">
        <v>18</v>
      </c>
      <c r="Y18" s="3" t="e">
        <f>VLOOKUP(B18,$B$110:$C$123,2,0)</f>
        <v>#N/A</v>
      </c>
    </row>
    <row r="19" spans="1:25" hidden="1" x14ac:dyDescent="0.2">
      <c r="A19" s="102"/>
      <c r="B19" s="27"/>
      <c r="C19" s="34"/>
      <c r="D19" s="140"/>
      <c r="E19" s="59"/>
      <c r="F19" s="142"/>
      <c r="G19" s="142"/>
      <c r="H19" s="40" t="str">
        <f>IF(P18=0,(LN((C18+2*(F18/1000))/C18))/(2*PI()*G18),"")</f>
        <v/>
      </c>
      <c r="I19" s="41"/>
      <c r="J19" s="47"/>
      <c r="K19" s="8"/>
      <c r="L19" s="86"/>
      <c r="N19" s="4"/>
      <c r="O19" s="23" t="s">
        <v>12</v>
      </c>
      <c r="P19" s="23" t="s">
        <v>12</v>
      </c>
      <c r="Q19" s="63" t="str">
        <f>IF(W20+W19&gt;=2,INDEX(R20:V23,MATCH(1,Q20:Q23,0),MATCH(1,R19:V19,0)),"nb")</f>
        <v>nb</v>
      </c>
      <c r="R19" s="51">
        <f>IF(AND($D18&gt;=R$7,$D18&lt;=R$8),1,0)</f>
        <v>0</v>
      </c>
      <c r="S19" s="52">
        <f>IF(AND($D18&gt;=S$7,$D18&lt;=S$8),1,0)</f>
        <v>0</v>
      </c>
      <c r="T19" s="52">
        <f>IF(AND($D18&gt;=T$7,$D18&lt;=T$8),1,0)</f>
        <v>0</v>
      </c>
      <c r="U19" s="52">
        <f>IF(AND($D18&gt;=U$7,$D18&lt;=U$8),1,0)</f>
        <v>0</v>
      </c>
      <c r="V19" s="53">
        <f>IF(AND($D18&gt;=V$7,$D18&lt;=V$8),1,0)</f>
        <v>0</v>
      </c>
      <c r="W19" s="44">
        <f>SUM(R19:V19)</f>
        <v>0</v>
      </c>
    </row>
    <row r="20" spans="1:25" ht="12" hidden="1" customHeight="1" x14ac:dyDescent="0.2">
      <c r="A20" s="102"/>
      <c r="B20" s="27"/>
      <c r="C20" s="35"/>
      <c r="D20" s="141"/>
      <c r="E20" s="27"/>
      <c r="F20" s="139"/>
      <c r="G20" s="139"/>
      <c r="H20" s="103"/>
      <c r="I20" s="41"/>
      <c r="J20" s="43"/>
      <c r="K20" s="8"/>
      <c r="L20" s="86"/>
      <c r="N20" s="4"/>
      <c r="O20" s="3">
        <v>40</v>
      </c>
      <c r="P20" s="3">
        <v>80</v>
      </c>
      <c r="Q20" s="48">
        <f>IF(AND(B18&gt;=O20,B18&lt;=P20),1,0)</f>
        <v>0</v>
      </c>
      <c r="R20" s="17">
        <f>$G$113</f>
        <v>3.4</v>
      </c>
      <c r="S20" s="17">
        <f>$H$113</f>
        <v>3.7</v>
      </c>
      <c r="T20" s="17">
        <f>$I$113</f>
        <v>3.4</v>
      </c>
      <c r="U20" s="17">
        <f>$J$113</f>
        <v>3.6</v>
      </c>
      <c r="V20" s="17">
        <f>$K$113</f>
        <v>2.7</v>
      </c>
      <c r="W20" s="44">
        <f>SUM(Q20:Q23)</f>
        <v>0</v>
      </c>
    </row>
    <row r="21" spans="1:25" ht="12" hidden="1" customHeight="1" x14ac:dyDescent="0.2">
      <c r="A21" s="102"/>
      <c r="B21" s="27"/>
      <c r="C21" s="34"/>
      <c r="D21" s="141"/>
      <c r="E21" s="27"/>
      <c r="F21" s="139"/>
      <c r="G21" s="139"/>
      <c r="H21" s="103"/>
      <c r="I21" s="41"/>
      <c r="J21" s="43"/>
      <c r="K21" s="27"/>
      <c r="L21" s="86"/>
      <c r="N21" s="4"/>
      <c r="O21" s="3">
        <v>100</v>
      </c>
      <c r="P21" s="3">
        <v>150</v>
      </c>
      <c r="Q21" s="49">
        <f>IF(AND(B18&gt;=O21,B18&lt;=P21),1,0)</f>
        <v>0</v>
      </c>
      <c r="R21" s="17">
        <f>$G$114</f>
        <v>2.5</v>
      </c>
      <c r="S21" s="17">
        <f>$H$114</f>
        <v>2.8</v>
      </c>
      <c r="T21" s="17">
        <f>$I$114</f>
        <v>2.6</v>
      </c>
      <c r="U21" s="17">
        <f>$J$114</f>
        <v>2.6</v>
      </c>
      <c r="V21" s="17">
        <f>$K$114</f>
        <v>2</v>
      </c>
      <c r="W21" s="44" t="str">
        <f>IF(W19+W20&gt;=1,Q19,"")</f>
        <v/>
      </c>
    </row>
    <row r="22" spans="1:25" ht="12" hidden="1" customHeight="1" x14ac:dyDescent="0.2">
      <c r="A22" s="102"/>
      <c r="B22" s="27"/>
      <c r="C22" s="34"/>
      <c r="D22" s="141"/>
      <c r="E22" s="27"/>
      <c r="F22" s="139"/>
      <c r="G22" s="139"/>
      <c r="H22" s="41"/>
      <c r="I22" s="41"/>
      <c r="J22" s="43"/>
      <c r="K22" s="27"/>
      <c r="L22" s="86"/>
      <c r="N22" s="4"/>
      <c r="O22" s="3">
        <v>200</v>
      </c>
      <c r="P22" s="3">
        <v>350</v>
      </c>
      <c r="Q22" s="49">
        <f>IF(AND(B18&gt;=O22,B18&lt;=P22),1,0)</f>
        <v>0</v>
      </c>
      <c r="R22" s="17">
        <f>$G$115</f>
        <v>1.8</v>
      </c>
      <c r="S22" s="17">
        <f>$H$115</f>
        <v>1.9</v>
      </c>
      <c r="T22" s="17">
        <f>$I$115</f>
        <v>1.8</v>
      </c>
      <c r="U22" s="17">
        <f>$J$115</f>
        <v>1.9</v>
      </c>
      <c r="V22" s="17">
        <f>$K$115</f>
        <v>1.6</v>
      </c>
      <c r="W22" s="58">
        <f>COUNTBLANK(B18:D18)</f>
        <v>3</v>
      </c>
      <c r="X22" s="61">
        <f>COUNTBLANK(F18:G18)</f>
        <v>2</v>
      </c>
      <c r="Y22" s="62">
        <f>SUM(W22:X22)</f>
        <v>5</v>
      </c>
    </row>
    <row r="23" spans="1:25" ht="12" hidden="1" customHeight="1" x14ac:dyDescent="0.2">
      <c r="A23" s="102"/>
      <c r="B23" s="27"/>
      <c r="C23" s="34"/>
      <c r="D23" s="141"/>
      <c r="E23" s="27"/>
      <c r="F23" s="139"/>
      <c r="G23" s="139"/>
      <c r="H23" s="103"/>
      <c r="I23" s="41"/>
      <c r="J23" s="43"/>
      <c r="K23" s="27"/>
      <c r="L23" s="86"/>
      <c r="N23" s="4"/>
      <c r="O23" s="3">
        <v>400</v>
      </c>
      <c r="P23" s="3">
        <v>500</v>
      </c>
      <c r="Q23" s="50">
        <f>IF(AND(B18&gt;=O23,B18&lt;=P23),1,0)</f>
        <v>0</v>
      </c>
      <c r="R23" s="17">
        <f>$G$116</f>
        <v>1.6</v>
      </c>
      <c r="S23" s="17">
        <f>$H$116</f>
        <v>1.6</v>
      </c>
      <c r="T23" s="17">
        <f>$I$116</f>
        <v>1.6</v>
      </c>
      <c r="U23" s="17">
        <f>$J$116</f>
        <v>1.6</v>
      </c>
      <c r="V23" s="17">
        <f>$K$116</f>
        <v>1.6</v>
      </c>
      <c r="W23" s="44" t="str">
        <f>IF(W22=0,Q19,"")</f>
        <v/>
      </c>
      <c r="Y23" s="62" t="str">
        <f>IF(Y22=0,Q19,"")</f>
        <v/>
      </c>
    </row>
    <row r="24" spans="1:25" ht="6" customHeight="1" x14ac:dyDescent="0.2">
      <c r="A24" s="102"/>
      <c r="B24" s="27"/>
      <c r="C24" s="34"/>
      <c r="D24" s="141"/>
      <c r="E24" s="27"/>
      <c r="F24" s="139"/>
      <c r="G24" s="139"/>
      <c r="H24" s="41"/>
      <c r="I24" s="41"/>
      <c r="J24" s="43"/>
      <c r="K24" s="27"/>
      <c r="L24" s="86"/>
      <c r="N24" s="4"/>
      <c r="O24" s="3"/>
      <c r="P24" s="3"/>
      <c r="Q24" s="4"/>
      <c r="R24" s="17"/>
      <c r="S24" s="17"/>
      <c r="T24" s="17"/>
      <c r="U24" s="17"/>
      <c r="V24" s="17"/>
    </row>
    <row r="25" spans="1:25" ht="18" customHeight="1" x14ac:dyDescent="0.25">
      <c r="A25" s="102"/>
      <c r="B25" s="36"/>
      <c r="C25" s="37" t="str">
        <f>IF(B25=0,"",Y25/1000)</f>
        <v/>
      </c>
      <c r="D25" s="70"/>
      <c r="E25" s="38" t="str">
        <f>IF(W25=0,"",W25)</f>
        <v/>
      </c>
      <c r="F25" s="36"/>
      <c r="G25" s="36"/>
      <c r="H25" s="40" t="str">
        <f>IF(H26="","",ROUND(H26,1))</f>
        <v/>
      </c>
      <c r="I25" s="86"/>
      <c r="J25" s="42" t="str">
        <f>W30</f>
        <v/>
      </c>
      <c r="K25" s="39" t="str">
        <f>IF(J25="nb","Nee",IF(P25=0,IF(H25&gt;=J25,"Ja","Nee"),""))</f>
        <v/>
      </c>
      <c r="L25" s="98"/>
      <c r="N25" s="4"/>
      <c r="O25" s="3">
        <f>COUNTBLANK(B25:G25)</f>
        <v>6</v>
      </c>
      <c r="P25" s="45">
        <f>IF(O25&lt;=0,0,1)</f>
        <v>1</v>
      </c>
      <c r="R25" s="54">
        <f>IF(AND($D25&gt;=R$7,$D25&lt;=R$8),R$9,0)</f>
        <v>0</v>
      </c>
      <c r="S25" s="55">
        <f>IF(AND($D25&gt;=S$7,$D25&lt;=S$8),S$9,0)</f>
        <v>0</v>
      </c>
      <c r="T25" s="55">
        <f>IF(AND($D25&gt;=T$7,$D25&lt;=T$8),T$9,0)</f>
        <v>0</v>
      </c>
      <c r="U25" s="55">
        <f>IF(AND($D25&gt;=U$7,$D25&lt;=U$8),U$9,0)</f>
        <v>0</v>
      </c>
      <c r="V25" s="56">
        <f>IF(AND($D25&gt;=V$7,$D25&lt;=V$8),V$9,0)</f>
        <v>0</v>
      </c>
      <c r="W25" s="46" t="str">
        <f>IF(D25=0,"",SUM(R25:V25))</f>
        <v/>
      </c>
      <c r="X25" s="24" t="s">
        <v>18</v>
      </c>
      <c r="Y25" s="3" t="e">
        <f>VLOOKUP(B25,$B$110:$C$123,2,0)</f>
        <v>#N/A</v>
      </c>
    </row>
    <row r="26" spans="1:25" hidden="1" x14ac:dyDescent="0.2">
      <c r="A26" s="102"/>
      <c r="B26" s="27"/>
      <c r="C26" s="34"/>
      <c r="D26" s="140"/>
      <c r="E26" s="59"/>
      <c r="F26" s="142"/>
      <c r="G26" s="142"/>
      <c r="H26" s="40" t="str">
        <f>IF(P25=0,(LN((C25+2*(F25/1000))/C25))/(2*PI()*G25),"")</f>
        <v/>
      </c>
      <c r="I26" s="41"/>
      <c r="J26" s="47"/>
      <c r="K26" s="8"/>
      <c r="L26" s="86"/>
      <c r="N26" s="4"/>
      <c r="O26" s="23" t="s">
        <v>12</v>
      </c>
      <c r="P26" s="23" t="s">
        <v>12</v>
      </c>
      <c r="Q26" s="63" t="str">
        <f>IF(W27+W26&gt;=2,INDEX(R27:V30,MATCH(1,Q27:Q30,0),MATCH(1,R26:V26,0)),"nb")</f>
        <v>nb</v>
      </c>
      <c r="R26" s="51">
        <f>IF(AND($D25&gt;=R$7,$D25&lt;=R$8),1,0)</f>
        <v>0</v>
      </c>
      <c r="S26" s="52">
        <f>IF(AND($D25&gt;=S$7,$D25&lt;=S$8),1,0)</f>
        <v>0</v>
      </c>
      <c r="T26" s="52">
        <f>IF(AND($D25&gt;=T$7,$D25&lt;=T$8),1,0)</f>
        <v>0</v>
      </c>
      <c r="U26" s="52">
        <f>IF(AND($D25&gt;=U$7,$D25&lt;=U$8),1,0)</f>
        <v>0</v>
      </c>
      <c r="V26" s="53">
        <f>IF(AND($D25&gt;=V$7,$D25&lt;=V$8),1,0)</f>
        <v>0</v>
      </c>
      <c r="W26" s="44">
        <f>SUM(R26:V26)</f>
        <v>0</v>
      </c>
    </row>
    <row r="27" spans="1:25" ht="12" hidden="1" customHeight="1" x14ac:dyDescent="0.2">
      <c r="A27" s="102"/>
      <c r="B27" s="27"/>
      <c r="C27" s="35"/>
      <c r="D27" s="141"/>
      <c r="E27" s="27"/>
      <c r="F27" s="139"/>
      <c r="G27" s="139"/>
      <c r="H27" s="103"/>
      <c r="I27" s="41"/>
      <c r="J27" s="43"/>
      <c r="K27" s="8"/>
      <c r="L27" s="86"/>
      <c r="N27" s="4"/>
      <c r="O27" s="3">
        <v>40</v>
      </c>
      <c r="P27" s="3">
        <v>80</v>
      </c>
      <c r="Q27" s="48">
        <f>IF(AND(B25&gt;=O27,B25&lt;=P27),1,0)</f>
        <v>0</v>
      </c>
      <c r="R27" s="17">
        <f>$G$113</f>
        <v>3.4</v>
      </c>
      <c r="S27" s="17">
        <f>$H$113</f>
        <v>3.7</v>
      </c>
      <c r="T27" s="17">
        <f>$I$113</f>
        <v>3.4</v>
      </c>
      <c r="U27" s="17">
        <f>$J$113</f>
        <v>3.6</v>
      </c>
      <c r="V27" s="17">
        <f>$K$113</f>
        <v>2.7</v>
      </c>
      <c r="W27" s="44">
        <f>SUM(Q27:Q30)</f>
        <v>0</v>
      </c>
    </row>
    <row r="28" spans="1:25" ht="12" hidden="1" customHeight="1" x14ac:dyDescent="0.2">
      <c r="A28" s="102"/>
      <c r="B28" s="27"/>
      <c r="C28" s="34"/>
      <c r="D28" s="141"/>
      <c r="E28" s="27"/>
      <c r="F28" s="139"/>
      <c r="G28" s="139"/>
      <c r="H28" s="103"/>
      <c r="I28" s="41"/>
      <c r="J28" s="43"/>
      <c r="K28" s="27"/>
      <c r="L28" s="86"/>
      <c r="N28" s="4"/>
      <c r="O28" s="3">
        <v>100</v>
      </c>
      <c r="P28" s="3">
        <v>150</v>
      </c>
      <c r="Q28" s="49">
        <f>IF(AND(B25&gt;=O28,B25&lt;=P28),1,0)</f>
        <v>0</v>
      </c>
      <c r="R28" s="17">
        <f>$G$114</f>
        <v>2.5</v>
      </c>
      <c r="S28" s="17">
        <f>$H$114</f>
        <v>2.8</v>
      </c>
      <c r="T28" s="17">
        <f>$I$114</f>
        <v>2.6</v>
      </c>
      <c r="U28" s="17">
        <f>$J$114</f>
        <v>2.6</v>
      </c>
      <c r="V28" s="17">
        <f>$K$114</f>
        <v>2</v>
      </c>
      <c r="W28" s="44" t="str">
        <f>IF(W26+W27&gt;=1,Q26,"")</f>
        <v/>
      </c>
    </row>
    <row r="29" spans="1:25" ht="12" hidden="1" customHeight="1" x14ac:dyDescent="0.2">
      <c r="A29" s="102"/>
      <c r="B29" s="27"/>
      <c r="C29" s="34"/>
      <c r="D29" s="141"/>
      <c r="E29" s="27"/>
      <c r="F29" s="139"/>
      <c r="G29" s="139"/>
      <c r="H29" s="41"/>
      <c r="I29" s="41"/>
      <c r="J29" s="43"/>
      <c r="K29" s="27"/>
      <c r="L29" s="86"/>
      <c r="N29" s="4"/>
      <c r="O29" s="3">
        <v>200</v>
      </c>
      <c r="P29" s="3">
        <v>350</v>
      </c>
      <c r="Q29" s="49">
        <f>IF(AND(B25&gt;=O29,B25&lt;=P29),1,0)</f>
        <v>0</v>
      </c>
      <c r="R29" s="17">
        <f>$G$115</f>
        <v>1.8</v>
      </c>
      <c r="S29" s="17">
        <f>$H$115</f>
        <v>1.9</v>
      </c>
      <c r="T29" s="17">
        <f>$I$115</f>
        <v>1.8</v>
      </c>
      <c r="U29" s="17">
        <f>$J$115</f>
        <v>1.9</v>
      </c>
      <c r="V29" s="17">
        <f>$K$115</f>
        <v>1.6</v>
      </c>
      <c r="W29" s="58">
        <f>COUNTBLANK(B25:D25)</f>
        <v>3</v>
      </c>
      <c r="X29" s="61">
        <f>COUNTBLANK(F25:G25)</f>
        <v>2</v>
      </c>
      <c r="Y29" s="62">
        <f>SUM(W29:X29)</f>
        <v>5</v>
      </c>
    </row>
    <row r="30" spans="1:25" ht="12" hidden="1" customHeight="1" x14ac:dyDescent="0.2">
      <c r="A30" s="102"/>
      <c r="B30" s="27"/>
      <c r="C30" s="34"/>
      <c r="D30" s="141"/>
      <c r="E30" s="27"/>
      <c r="F30" s="139"/>
      <c r="G30" s="139"/>
      <c r="H30" s="103"/>
      <c r="I30" s="41"/>
      <c r="J30" s="43"/>
      <c r="K30" s="27"/>
      <c r="L30" s="86"/>
      <c r="N30" s="4"/>
      <c r="O30" s="3">
        <v>400</v>
      </c>
      <c r="P30" s="3">
        <v>500</v>
      </c>
      <c r="Q30" s="50">
        <f>IF(AND(B25&gt;=O30,B25&lt;=P30),1,0)</f>
        <v>0</v>
      </c>
      <c r="R30" s="17">
        <f>$G$116</f>
        <v>1.6</v>
      </c>
      <c r="S30" s="17">
        <f>$H$116</f>
        <v>1.6</v>
      </c>
      <c r="T30" s="17">
        <f>$I$116</f>
        <v>1.6</v>
      </c>
      <c r="U30" s="17">
        <f>$J$116</f>
        <v>1.6</v>
      </c>
      <c r="V30" s="17">
        <f>$K$116</f>
        <v>1.6</v>
      </c>
      <c r="W30" s="44" t="str">
        <f>IF(W29=0,Q26,"")</f>
        <v/>
      </c>
      <c r="Y30" s="62" t="str">
        <f>IF(Y29=0,Q26,"")</f>
        <v/>
      </c>
    </row>
    <row r="31" spans="1:25" ht="6" customHeight="1" x14ac:dyDescent="0.2">
      <c r="A31" s="102"/>
      <c r="B31" s="27"/>
      <c r="C31" s="34"/>
      <c r="D31" s="141"/>
      <c r="E31" s="27"/>
      <c r="F31" s="139"/>
      <c r="G31" s="139"/>
      <c r="H31" s="41"/>
      <c r="I31" s="41"/>
      <c r="J31" s="43"/>
      <c r="K31" s="27"/>
      <c r="L31" s="86"/>
      <c r="N31" s="4"/>
      <c r="O31" s="3"/>
      <c r="P31" s="3"/>
      <c r="Q31" s="4"/>
      <c r="R31" s="17"/>
      <c r="S31" s="17"/>
      <c r="T31" s="17"/>
      <c r="U31" s="17"/>
      <c r="V31" s="17"/>
    </row>
    <row r="32" spans="1:25" ht="18" customHeight="1" x14ac:dyDescent="0.25">
      <c r="A32" s="102"/>
      <c r="B32" s="36"/>
      <c r="C32" s="37" t="str">
        <f>IF(B32=0,"",Y32/1000)</f>
        <v/>
      </c>
      <c r="D32" s="70"/>
      <c r="E32" s="38" t="str">
        <f>IF(W32=0,"",W32)</f>
        <v/>
      </c>
      <c r="F32" s="36"/>
      <c r="G32" s="36"/>
      <c r="H32" s="40" t="str">
        <f>IF(H33="","",ROUND(H33,1))</f>
        <v/>
      </c>
      <c r="I32" s="86"/>
      <c r="J32" s="42" t="str">
        <f>W37</f>
        <v/>
      </c>
      <c r="K32" s="39" t="str">
        <f>IF(J32="nb","Nee",IF(P32=0,IF(H32&gt;=J32,"Ja","Nee"),""))</f>
        <v/>
      </c>
      <c r="L32" s="98"/>
      <c r="N32" s="4"/>
      <c r="O32" s="3">
        <f>COUNTBLANK(B32:G32)</f>
        <v>6</v>
      </c>
      <c r="P32" s="45">
        <f>IF(O32&lt;=0,0,1)</f>
        <v>1</v>
      </c>
      <c r="R32" s="54">
        <f>IF(AND($D32&gt;=R$7,$D32&lt;=R$8),R$9,0)</f>
        <v>0</v>
      </c>
      <c r="S32" s="55">
        <f>IF(AND($D32&gt;=S$7,$D32&lt;=S$8),S$9,0)</f>
        <v>0</v>
      </c>
      <c r="T32" s="55">
        <f>IF(AND($D32&gt;=T$7,$D32&lt;=T$8),T$9,0)</f>
        <v>0</v>
      </c>
      <c r="U32" s="55">
        <f>IF(AND($D32&gt;=U$7,$D32&lt;=U$8),U$9,0)</f>
        <v>0</v>
      </c>
      <c r="V32" s="56">
        <f>IF(AND($D32&gt;=V$7,$D32&lt;=V$8),V$9,0)</f>
        <v>0</v>
      </c>
      <c r="W32" s="46" t="str">
        <f>IF(D32=0,"",SUM(R32:V32))</f>
        <v/>
      </c>
      <c r="X32" s="24" t="s">
        <v>18</v>
      </c>
      <c r="Y32" s="3" t="e">
        <f>VLOOKUP(B32,$B$110:$C$123,2,0)</f>
        <v>#N/A</v>
      </c>
    </row>
    <row r="33" spans="1:25" hidden="1" x14ac:dyDescent="0.2">
      <c r="A33" s="102"/>
      <c r="B33" s="27"/>
      <c r="C33" s="34"/>
      <c r="D33" s="140"/>
      <c r="E33" s="59"/>
      <c r="F33" s="142"/>
      <c r="G33" s="142"/>
      <c r="H33" s="40" t="str">
        <f>IF(P32=0,(LN((C32+2*(F32/1000))/C32))/(2*PI()*G32),"")</f>
        <v/>
      </c>
      <c r="I33" s="41"/>
      <c r="J33" s="47"/>
      <c r="K33" s="8"/>
      <c r="L33" s="86"/>
      <c r="N33" s="4"/>
      <c r="O33" s="23" t="s">
        <v>12</v>
      </c>
      <c r="P33" s="23" t="s">
        <v>12</v>
      </c>
      <c r="Q33" s="63" t="str">
        <f>IF(W34+W33&gt;=2,INDEX(R34:V37,MATCH(1,Q34:Q37,0),MATCH(1,R33:V33,0)),"nb")</f>
        <v>nb</v>
      </c>
      <c r="R33" s="51">
        <f>IF(AND($D32&gt;=R$7,$D32&lt;=R$8),1,0)</f>
        <v>0</v>
      </c>
      <c r="S33" s="52">
        <f>IF(AND($D32&gt;=S$7,$D32&lt;=S$8),1,0)</f>
        <v>0</v>
      </c>
      <c r="T33" s="52">
        <f>IF(AND($D32&gt;=T$7,$D32&lt;=T$8),1,0)</f>
        <v>0</v>
      </c>
      <c r="U33" s="52">
        <f>IF(AND($D32&gt;=U$7,$D32&lt;=U$8),1,0)</f>
        <v>0</v>
      </c>
      <c r="V33" s="53">
        <f>IF(AND($D32&gt;=V$7,$D32&lt;=V$8),1,0)</f>
        <v>0</v>
      </c>
      <c r="W33" s="44">
        <f>SUM(R33:V33)</f>
        <v>0</v>
      </c>
    </row>
    <row r="34" spans="1:25" ht="12" hidden="1" customHeight="1" x14ac:dyDescent="0.2">
      <c r="A34" s="102"/>
      <c r="B34" s="27"/>
      <c r="C34" s="35"/>
      <c r="D34" s="141"/>
      <c r="E34" s="27"/>
      <c r="F34" s="139"/>
      <c r="G34" s="139"/>
      <c r="H34" s="103"/>
      <c r="I34" s="41"/>
      <c r="J34" s="43"/>
      <c r="K34" s="8"/>
      <c r="L34" s="86"/>
      <c r="N34" s="4"/>
      <c r="O34" s="3">
        <v>40</v>
      </c>
      <c r="P34" s="3">
        <v>80</v>
      </c>
      <c r="Q34" s="48">
        <f>IF(AND(B32&gt;=O34,B32&lt;=P34),1,0)</f>
        <v>0</v>
      </c>
      <c r="R34" s="17">
        <f>$G$113</f>
        <v>3.4</v>
      </c>
      <c r="S34" s="17">
        <f>$H$113</f>
        <v>3.7</v>
      </c>
      <c r="T34" s="17">
        <f>$I$113</f>
        <v>3.4</v>
      </c>
      <c r="U34" s="17">
        <f>$J$113</f>
        <v>3.6</v>
      </c>
      <c r="V34" s="17">
        <f>$K$113</f>
        <v>2.7</v>
      </c>
      <c r="W34" s="44">
        <f>SUM(Q34:Q37)</f>
        <v>0</v>
      </c>
    </row>
    <row r="35" spans="1:25" ht="12" hidden="1" customHeight="1" x14ac:dyDescent="0.2">
      <c r="A35" s="102"/>
      <c r="B35" s="27"/>
      <c r="C35" s="34"/>
      <c r="D35" s="141"/>
      <c r="E35" s="27"/>
      <c r="F35" s="139"/>
      <c r="G35" s="139"/>
      <c r="H35" s="103"/>
      <c r="I35" s="41"/>
      <c r="J35" s="43"/>
      <c r="K35" s="27"/>
      <c r="L35" s="86"/>
      <c r="N35" s="4"/>
      <c r="O35" s="3">
        <v>100</v>
      </c>
      <c r="P35" s="3">
        <v>150</v>
      </c>
      <c r="Q35" s="49">
        <f>IF(AND(B32&gt;=O35,B32&lt;=P35),1,0)</f>
        <v>0</v>
      </c>
      <c r="R35" s="17">
        <f>$G$114</f>
        <v>2.5</v>
      </c>
      <c r="S35" s="17">
        <f>$H$114</f>
        <v>2.8</v>
      </c>
      <c r="T35" s="17">
        <f>$I$114</f>
        <v>2.6</v>
      </c>
      <c r="U35" s="17">
        <f>$J$114</f>
        <v>2.6</v>
      </c>
      <c r="V35" s="17">
        <f>$K$114</f>
        <v>2</v>
      </c>
      <c r="W35" s="44" t="str">
        <f>IF(W33+W34&gt;=1,Q33,"")</f>
        <v/>
      </c>
    </row>
    <row r="36" spans="1:25" ht="12" hidden="1" customHeight="1" x14ac:dyDescent="0.2">
      <c r="A36" s="102"/>
      <c r="B36" s="27"/>
      <c r="C36" s="34"/>
      <c r="D36" s="141"/>
      <c r="E36" s="27"/>
      <c r="F36" s="139"/>
      <c r="G36" s="139"/>
      <c r="H36" s="41"/>
      <c r="I36" s="41"/>
      <c r="J36" s="43"/>
      <c r="K36" s="27"/>
      <c r="L36" s="86"/>
      <c r="N36" s="4"/>
      <c r="O36" s="3">
        <v>200</v>
      </c>
      <c r="P36" s="3">
        <v>350</v>
      </c>
      <c r="Q36" s="49">
        <f>IF(AND(B32&gt;=O36,B32&lt;=P36),1,0)</f>
        <v>0</v>
      </c>
      <c r="R36" s="17">
        <f>$G$115</f>
        <v>1.8</v>
      </c>
      <c r="S36" s="17">
        <f>$H$115</f>
        <v>1.9</v>
      </c>
      <c r="T36" s="17">
        <f>$I$115</f>
        <v>1.8</v>
      </c>
      <c r="U36" s="17">
        <f>$J$115</f>
        <v>1.9</v>
      </c>
      <c r="V36" s="17">
        <f>$K$115</f>
        <v>1.6</v>
      </c>
      <c r="W36" s="58">
        <f>COUNTBLANK(B32:D32)</f>
        <v>3</v>
      </c>
      <c r="X36" s="61">
        <f>COUNTBLANK(F32:G32)</f>
        <v>2</v>
      </c>
      <c r="Y36" s="62">
        <f>SUM(W36:X36)</f>
        <v>5</v>
      </c>
    </row>
    <row r="37" spans="1:25" ht="12" hidden="1" customHeight="1" x14ac:dyDescent="0.2">
      <c r="A37" s="102"/>
      <c r="B37" s="27"/>
      <c r="C37" s="34"/>
      <c r="D37" s="141"/>
      <c r="E37" s="27"/>
      <c r="F37" s="139"/>
      <c r="G37" s="139"/>
      <c r="H37" s="103"/>
      <c r="I37" s="41"/>
      <c r="J37" s="43"/>
      <c r="K37" s="27"/>
      <c r="L37" s="86"/>
      <c r="N37" s="4"/>
      <c r="O37" s="3">
        <v>400</v>
      </c>
      <c r="P37" s="3">
        <v>500</v>
      </c>
      <c r="Q37" s="50">
        <f>IF(AND(B32&gt;=O37,B32&lt;=P37),1,0)</f>
        <v>0</v>
      </c>
      <c r="R37" s="17">
        <f>$G$116</f>
        <v>1.6</v>
      </c>
      <c r="S37" s="17">
        <f>$H$116</f>
        <v>1.6</v>
      </c>
      <c r="T37" s="17">
        <f>$I$116</f>
        <v>1.6</v>
      </c>
      <c r="U37" s="17">
        <f>$J$116</f>
        <v>1.6</v>
      </c>
      <c r="V37" s="17">
        <f>$K$116</f>
        <v>1.6</v>
      </c>
      <c r="W37" s="44" t="str">
        <f>IF(W36=0,Q33,"")</f>
        <v/>
      </c>
      <c r="Y37" s="62" t="str">
        <f>IF(Y36=0,Q33,"")</f>
        <v/>
      </c>
    </row>
    <row r="38" spans="1:25" ht="6" customHeight="1" x14ac:dyDescent="0.2">
      <c r="A38" s="102"/>
      <c r="B38" s="27"/>
      <c r="C38" s="34"/>
      <c r="D38" s="141"/>
      <c r="E38" s="27"/>
      <c r="F38" s="139"/>
      <c r="G38" s="139"/>
      <c r="H38" s="41"/>
      <c r="I38" s="41"/>
      <c r="J38" s="43"/>
      <c r="K38" s="27"/>
      <c r="L38" s="86"/>
      <c r="N38" s="4"/>
      <c r="O38" s="3"/>
      <c r="P38" s="3"/>
      <c r="Q38" s="4"/>
      <c r="R38" s="17"/>
      <c r="S38" s="17"/>
      <c r="T38" s="17"/>
      <c r="U38" s="17"/>
      <c r="V38" s="17"/>
    </row>
    <row r="39" spans="1:25" ht="18" customHeight="1" x14ac:dyDescent="0.25">
      <c r="A39" s="102"/>
      <c r="B39" s="36"/>
      <c r="C39" s="37" t="str">
        <f>IF(B39=0,"",Y39/1000)</f>
        <v/>
      </c>
      <c r="D39" s="70"/>
      <c r="E39" s="38" t="str">
        <f>IF(W39=0,"",W39)</f>
        <v/>
      </c>
      <c r="F39" s="36"/>
      <c r="G39" s="36"/>
      <c r="H39" s="40" t="str">
        <f>IF(H40="","",ROUND(H40,1))</f>
        <v/>
      </c>
      <c r="I39" s="86"/>
      <c r="J39" s="42" t="str">
        <f>W44</f>
        <v/>
      </c>
      <c r="K39" s="39" t="str">
        <f>IF(J39="nb","Nee",IF(P39=0,IF(H39&gt;=J39,"Ja","Nee"),""))</f>
        <v/>
      </c>
      <c r="L39" s="98"/>
      <c r="N39" s="4"/>
      <c r="O39" s="3">
        <f>COUNTBLANK(B39:G39)</f>
        <v>6</v>
      </c>
      <c r="P39" s="45">
        <f>IF(O39&lt;=0,0,1)</f>
        <v>1</v>
      </c>
      <c r="R39" s="54">
        <f>IF(AND($D39&gt;=R$7,$D39&lt;=R$8),R$9,0)</f>
        <v>0</v>
      </c>
      <c r="S39" s="55">
        <f>IF(AND($D39&gt;=S$7,$D39&lt;=S$8),S$9,0)</f>
        <v>0</v>
      </c>
      <c r="T39" s="55">
        <f>IF(AND($D39&gt;=T$7,$D39&lt;=T$8),T$9,0)</f>
        <v>0</v>
      </c>
      <c r="U39" s="55">
        <f>IF(AND($D39&gt;=U$7,$D39&lt;=U$8),U$9,0)</f>
        <v>0</v>
      </c>
      <c r="V39" s="56">
        <f>IF(AND($D39&gt;=V$7,$D39&lt;=V$8),V$9,0)</f>
        <v>0</v>
      </c>
      <c r="W39" s="46" t="str">
        <f>IF(D39=0,"",SUM(R39:V39))</f>
        <v/>
      </c>
      <c r="X39" s="24" t="s">
        <v>18</v>
      </c>
      <c r="Y39" s="3" t="e">
        <f>VLOOKUP(B39,$B$110:$C$123,2,0)</f>
        <v>#N/A</v>
      </c>
    </row>
    <row r="40" spans="1:25" hidden="1" x14ac:dyDescent="0.2">
      <c r="A40" s="102"/>
      <c r="B40" s="139"/>
      <c r="C40" s="34"/>
      <c r="D40" s="140"/>
      <c r="E40" s="59"/>
      <c r="F40" s="142"/>
      <c r="G40" s="142"/>
      <c r="H40" s="40" t="str">
        <f>IF(P39=0,(LN((C39+2*(F39/1000))/C39))/(2*PI()*G39),"")</f>
        <v/>
      </c>
      <c r="I40" s="41"/>
      <c r="J40" s="47"/>
      <c r="K40" s="8"/>
      <c r="L40" s="86"/>
      <c r="N40" s="4"/>
      <c r="O40" s="23" t="s">
        <v>12</v>
      </c>
      <c r="P40" s="23" t="s">
        <v>12</v>
      </c>
      <c r="Q40" s="63" t="str">
        <f>IF(W41+W40&gt;=2,INDEX(R41:V44,MATCH(1,Q41:Q44,0),MATCH(1,R40:V40,0)),"nb")</f>
        <v>nb</v>
      </c>
      <c r="R40" s="51">
        <f>IF(AND($D39&gt;=R$7,$D39&lt;=R$8),1,0)</f>
        <v>0</v>
      </c>
      <c r="S40" s="52">
        <f>IF(AND($D39&gt;=S$7,$D39&lt;=S$8),1,0)</f>
        <v>0</v>
      </c>
      <c r="T40" s="52">
        <f>IF(AND($D39&gt;=T$7,$D39&lt;=T$8),1,0)</f>
        <v>0</v>
      </c>
      <c r="U40" s="52">
        <f>IF(AND($D39&gt;=U$7,$D39&lt;=U$8),1,0)</f>
        <v>0</v>
      </c>
      <c r="V40" s="53">
        <f>IF(AND($D39&gt;=V$7,$D39&lt;=V$8),1,0)</f>
        <v>0</v>
      </c>
      <c r="W40" s="44">
        <f>SUM(R40:V40)</f>
        <v>0</v>
      </c>
    </row>
    <row r="41" spans="1:25" ht="12" hidden="1" customHeight="1" x14ac:dyDescent="0.2">
      <c r="A41" s="102"/>
      <c r="B41" s="139"/>
      <c r="C41" s="35"/>
      <c r="D41" s="141"/>
      <c r="E41" s="27"/>
      <c r="F41" s="139"/>
      <c r="G41" s="139"/>
      <c r="H41" s="103"/>
      <c r="I41" s="41"/>
      <c r="J41" s="43"/>
      <c r="K41" s="8"/>
      <c r="L41" s="86"/>
      <c r="N41" s="4"/>
      <c r="O41" s="3">
        <v>40</v>
      </c>
      <c r="P41" s="3">
        <v>80</v>
      </c>
      <c r="Q41" s="48">
        <f>IF(AND(B39&gt;=O41,B39&lt;=P41),1,0)</f>
        <v>0</v>
      </c>
      <c r="R41" s="17">
        <f>$G$113</f>
        <v>3.4</v>
      </c>
      <c r="S41" s="17">
        <f>$H$113</f>
        <v>3.7</v>
      </c>
      <c r="T41" s="17">
        <f>$I$113</f>
        <v>3.4</v>
      </c>
      <c r="U41" s="17">
        <f>$J$113</f>
        <v>3.6</v>
      </c>
      <c r="V41" s="17">
        <f>$K$113</f>
        <v>2.7</v>
      </c>
      <c r="W41" s="44">
        <f>SUM(Q41:Q44)</f>
        <v>0</v>
      </c>
    </row>
    <row r="42" spans="1:25" ht="12" hidden="1" customHeight="1" x14ac:dyDescent="0.2">
      <c r="A42" s="102"/>
      <c r="B42" s="139"/>
      <c r="C42" s="34"/>
      <c r="D42" s="141"/>
      <c r="E42" s="27"/>
      <c r="F42" s="139"/>
      <c r="G42" s="139"/>
      <c r="H42" s="103"/>
      <c r="I42" s="41"/>
      <c r="J42" s="43"/>
      <c r="K42" s="27"/>
      <c r="L42" s="86"/>
      <c r="N42" s="4"/>
      <c r="O42" s="3">
        <v>100</v>
      </c>
      <c r="P42" s="3">
        <v>150</v>
      </c>
      <c r="Q42" s="49">
        <f>IF(AND(B39&gt;=O42,B39&lt;=P42),1,0)</f>
        <v>0</v>
      </c>
      <c r="R42" s="17">
        <f>$G$114</f>
        <v>2.5</v>
      </c>
      <c r="S42" s="17">
        <f>$H$114</f>
        <v>2.8</v>
      </c>
      <c r="T42" s="17">
        <f>$I$114</f>
        <v>2.6</v>
      </c>
      <c r="U42" s="17">
        <f>$J$114</f>
        <v>2.6</v>
      </c>
      <c r="V42" s="17">
        <f>$K$114</f>
        <v>2</v>
      </c>
      <c r="W42" s="44" t="str">
        <f>IF(W40+W41&gt;=1,Q40,"")</f>
        <v/>
      </c>
    </row>
    <row r="43" spans="1:25" ht="12" hidden="1" customHeight="1" x14ac:dyDescent="0.2">
      <c r="A43" s="102"/>
      <c r="B43" s="139"/>
      <c r="C43" s="34"/>
      <c r="D43" s="141"/>
      <c r="E43" s="27"/>
      <c r="F43" s="139"/>
      <c r="G43" s="139"/>
      <c r="H43" s="41"/>
      <c r="I43" s="41"/>
      <c r="J43" s="43"/>
      <c r="K43" s="27"/>
      <c r="L43" s="86"/>
      <c r="N43" s="4"/>
      <c r="O43" s="3">
        <v>200</v>
      </c>
      <c r="P43" s="3">
        <v>350</v>
      </c>
      <c r="Q43" s="49">
        <f>IF(AND(B39&gt;=O43,B39&lt;=P43),1,0)</f>
        <v>0</v>
      </c>
      <c r="R43" s="17">
        <f>$G$115</f>
        <v>1.8</v>
      </c>
      <c r="S43" s="17">
        <f>$H$115</f>
        <v>1.9</v>
      </c>
      <c r="T43" s="17">
        <f>$I$115</f>
        <v>1.8</v>
      </c>
      <c r="U43" s="17">
        <f>$J$115</f>
        <v>1.9</v>
      </c>
      <c r="V43" s="17">
        <f>$K$115</f>
        <v>1.6</v>
      </c>
      <c r="W43" s="58">
        <f>COUNTBLANK(B39:D39)</f>
        <v>3</v>
      </c>
      <c r="X43" s="61">
        <f>COUNTBLANK(F39:G39)</f>
        <v>2</v>
      </c>
      <c r="Y43" s="62">
        <f>SUM(W43:X43)</f>
        <v>5</v>
      </c>
    </row>
    <row r="44" spans="1:25" ht="12" hidden="1" customHeight="1" x14ac:dyDescent="0.2">
      <c r="A44" s="102"/>
      <c r="B44" s="139"/>
      <c r="C44" s="34"/>
      <c r="D44" s="141"/>
      <c r="E44" s="27"/>
      <c r="F44" s="139"/>
      <c r="G44" s="139"/>
      <c r="H44" s="103"/>
      <c r="I44" s="41"/>
      <c r="J44" s="43"/>
      <c r="K44" s="27"/>
      <c r="L44" s="86"/>
      <c r="N44" s="4"/>
      <c r="O44" s="3">
        <v>400</v>
      </c>
      <c r="P44" s="3">
        <v>500</v>
      </c>
      <c r="Q44" s="50">
        <f>IF(AND(B39&gt;=O44,B39&lt;=P44),1,0)</f>
        <v>0</v>
      </c>
      <c r="R44" s="17">
        <f>$G$116</f>
        <v>1.6</v>
      </c>
      <c r="S44" s="17">
        <f>$H$116</f>
        <v>1.6</v>
      </c>
      <c r="T44" s="17">
        <f>$I$116</f>
        <v>1.6</v>
      </c>
      <c r="U44" s="17">
        <f>$J$116</f>
        <v>1.6</v>
      </c>
      <c r="V44" s="17">
        <f>$K$116</f>
        <v>1.6</v>
      </c>
      <c r="W44" s="44" t="str">
        <f>IF(W43=0,Q40,"")</f>
        <v/>
      </c>
      <c r="Y44" s="62" t="str">
        <f>IF(Y43=0,Q40,"")</f>
        <v/>
      </c>
    </row>
    <row r="45" spans="1:25" ht="6" customHeight="1" x14ac:dyDescent="0.2">
      <c r="A45" s="102"/>
      <c r="B45" s="139"/>
      <c r="C45" s="34"/>
      <c r="D45" s="141"/>
      <c r="E45" s="27"/>
      <c r="F45" s="139"/>
      <c r="G45" s="139"/>
      <c r="H45" s="41"/>
      <c r="I45" s="41"/>
      <c r="J45" s="43"/>
      <c r="K45" s="27"/>
      <c r="L45" s="86"/>
      <c r="N45" s="4"/>
      <c r="O45" s="3"/>
      <c r="P45" s="3"/>
      <c r="Q45" s="4"/>
      <c r="R45" s="17"/>
      <c r="S45" s="17"/>
      <c r="T45" s="17"/>
      <c r="U45" s="17"/>
      <c r="V45" s="17"/>
    </row>
    <row r="46" spans="1:25" ht="18" customHeight="1" x14ac:dyDescent="0.25">
      <c r="A46" s="102"/>
      <c r="B46" s="36"/>
      <c r="C46" s="37" t="str">
        <f>IF(B46=0,"",Y46/1000)</f>
        <v/>
      </c>
      <c r="D46" s="70"/>
      <c r="E46" s="38" t="str">
        <f>IF(W46=0,"",W46)</f>
        <v/>
      </c>
      <c r="F46" s="36"/>
      <c r="G46" s="36"/>
      <c r="H46" s="40" t="str">
        <f>IF(H47="","",ROUND(H47,1))</f>
        <v/>
      </c>
      <c r="I46" s="86"/>
      <c r="J46" s="42" t="str">
        <f>W51</f>
        <v/>
      </c>
      <c r="K46" s="39" t="str">
        <f>IF(J46="nb","Nee",IF(P46=0,IF(H46&gt;=J46,"Ja","Nee"),""))</f>
        <v/>
      </c>
      <c r="L46" s="98"/>
      <c r="N46" s="4"/>
      <c r="O46" s="3">
        <f>COUNTBLANK(B46:G46)</f>
        <v>6</v>
      </c>
      <c r="P46" s="45">
        <f>IF(O46&lt;=0,0,1)</f>
        <v>1</v>
      </c>
      <c r="R46" s="54">
        <f>IF(AND($D46&gt;=R$7,$D46&lt;=R$8),R$9,0)</f>
        <v>0</v>
      </c>
      <c r="S46" s="55">
        <f>IF(AND($D46&gt;=S$7,$D46&lt;=S$8),S$9,0)</f>
        <v>0</v>
      </c>
      <c r="T46" s="55">
        <f>IF(AND($D46&gt;=T$7,$D46&lt;=T$8),T$9,0)</f>
        <v>0</v>
      </c>
      <c r="U46" s="55">
        <f>IF(AND($D46&gt;=U$7,$D46&lt;=U$8),U$9,0)</f>
        <v>0</v>
      </c>
      <c r="V46" s="56">
        <f>IF(AND($D46&gt;=V$7,$D46&lt;=V$8),V$9,0)</f>
        <v>0</v>
      </c>
      <c r="W46" s="46" t="str">
        <f>IF(D46=0,"",SUM(R46:V46))</f>
        <v/>
      </c>
      <c r="X46" s="24" t="s">
        <v>18</v>
      </c>
      <c r="Y46" s="3" t="e">
        <f>VLOOKUP(B46,$B$110:$C$123,2,0)</f>
        <v>#N/A</v>
      </c>
    </row>
    <row r="47" spans="1:25" hidden="1" x14ac:dyDescent="0.2">
      <c r="A47" s="102"/>
      <c r="B47" s="139"/>
      <c r="C47" s="34"/>
      <c r="D47" s="140"/>
      <c r="E47" s="59"/>
      <c r="F47" s="142"/>
      <c r="G47" s="142"/>
      <c r="H47" s="40" t="str">
        <f>IF(P46=0,(LN((C46+2*(F46/1000))/C46))/(2*PI()*G46),"")</f>
        <v/>
      </c>
      <c r="I47" s="41"/>
      <c r="J47" s="47"/>
      <c r="K47" s="8"/>
      <c r="L47" s="86"/>
      <c r="N47" s="4"/>
      <c r="O47" s="23" t="s">
        <v>12</v>
      </c>
      <c r="P47" s="23" t="s">
        <v>12</v>
      </c>
      <c r="Q47" s="63" t="str">
        <f>IF(W48+W47&gt;=2,INDEX(R48:V51,MATCH(1,Q48:Q51,0),MATCH(1,R47:V47,0)),"nb")</f>
        <v>nb</v>
      </c>
      <c r="R47" s="51">
        <f>IF(AND($D46&gt;=R$7,$D46&lt;=R$8),1,0)</f>
        <v>0</v>
      </c>
      <c r="S47" s="52">
        <f>IF(AND($D46&gt;=S$7,$D46&lt;=S$8),1,0)</f>
        <v>0</v>
      </c>
      <c r="T47" s="52">
        <f>IF(AND($D46&gt;=T$7,$D46&lt;=T$8),1,0)</f>
        <v>0</v>
      </c>
      <c r="U47" s="52">
        <f>IF(AND($D46&gt;=U$7,$D46&lt;=U$8),1,0)</f>
        <v>0</v>
      </c>
      <c r="V47" s="53">
        <f>IF(AND($D46&gt;=V$7,$D46&lt;=V$8),1,0)</f>
        <v>0</v>
      </c>
      <c r="W47" s="44">
        <f>SUM(R47:V47)</f>
        <v>0</v>
      </c>
    </row>
    <row r="48" spans="1:25" ht="12" hidden="1" customHeight="1" x14ac:dyDescent="0.2">
      <c r="A48" s="102"/>
      <c r="B48" s="139"/>
      <c r="C48" s="35"/>
      <c r="D48" s="141"/>
      <c r="E48" s="27"/>
      <c r="F48" s="139"/>
      <c r="G48" s="139"/>
      <c r="H48" s="103"/>
      <c r="I48" s="41"/>
      <c r="J48" s="43"/>
      <c r="K48" s="8"/>
      <c r="L48" s="86"/>
      <c r="N48" s="4"/>
      <c r="O48" s="3">
        <v>40</v>
      </c>
      <c r="P48" s="3">
        <v>80</v>
      </c>
      <c r="Q48" s="48">
        <f>IF(AND(B46&gt;=O48,B46&lt;=P48),1,0)</f>
        <v>0</v>
      </c>
      <c r="R48" s="17">
        <f>$G$113</f>
        <v>3.4</v>
      </c>
      <c r="S48" s="17">
        <f>$H$113</f>
        <v>3.7</v>
      </c>
      <c r="T48" s="17">
        <f>$I$113</f>
        <v>3.4</v>
      </c>
      <c r="U48" s="17">
        <f>$J$113</f>
        <v>3.6</v>
      </c>
      <c r="V48" s="17">
        <f>$K$113</f>
        <v>2.7</v>
      </c>
      <c r="W48" s="44">
        <f>SUM(Q48:Q51)</f>
        <v>0</v>
      </c>
    </row>
    <row r="49" spans="1:25" ht="12" hidden="1" customHeight="1" x14ac:dyDescent="0.2">
      <c r="A49" s="102"/>
      <c r="B49" s="139"/>
      <c r="C49" s="34"/>
      <c r="D49" s="141"/>
      <c r="E49" s="27"/>
      <c r="F49" s="139"/>
      <c r="G49" s="139"/>
      <c r="H49" s="103"/>
      <c r="I49" s="41"/>
      <c r="J49" s="43"/>
      <c r="K49" s="27"/>
      <c r="L49" s="86"/>
      <c r="N49" s="4"/>
      <c r="O49" s="3">
        <v>100</v>
      </c>
      <c r="P49" s="3">
        <v>150</v>
      </c>
      <c r="Q49" s="49">
        <f>IF(AND(B46&gt;=O49,B46&lt;=P49),1,0)</f>
        <v>0</v>
      </c>
      <c r="R49" s="17">
        <f>$G$114</f>
        <v>2.5</v>
      </c>
      <c r="S49" s="17">
        <f>$H$114</f>
        <v>2.8</v>
      </c>
      <c r="T49" s="17">
        <f>$I$114</f>
        <v>2.6</v>
      </c>
      <c r="U49" s="17">
        <f>$J$114</f>
        <v>2.6</v>
      </c>
      <c r="V49" s="17">
        <f>$K$114</f>
        <v>2</v>
      </c>
      <c r="W49" s="44" t="str">
        <f>IF(W47+W48&gt;=1,Q47,"")</f>
        <v/>
      </c>
    </row>
    <row r="50" spans="1:25" ht="12" hidden="1" customHeight="1" x14ac:dyDescent="0.2">
      <c r="A50" s="102"/>
      <c r="B50" s="139"/>
      <c r="C50" s="34"/>
      <c r="D50" s="141"/>
      <c r="E50" s="27"/>
      <c r="F50" s="139"/>
      <c r="G50" s="139"/>
      <c r="H50" s="41"/>
      <c r="I50" s="41"/>
      <c r="J50" s="43"/>
      <c r="K50" s="27"/>
      <c r="L50" s="86"/>
      <c r="N50" s="4"/>
      <c r="O50" s="3">
        <v>200</v>
      </c>
      <c r="P50" s="3">
        <v>350</v>
      </c>
      <c r="Q50" s="49">
        <f>IF(AND(B46&gt;=O50,B46&lt;=P50),1,0)</f>
        <v>0</v>
      </c>
      <c r="R50" s="17">
        <f>$G$115</f>
        <v>1.8</v>
      </c>
      <c r="S50" s="17">
        <f>$H$115</f>
        <v>1.9</v>
      </c>
      <c r="T50" s="17">
        <f>$I$115</f>
        <v>1.8</v>
      </c>
      <c r="U50" s="17">
        <f>$J$115</f>
        <v>1.9</v>
      </c>
      <c r="V50" s="17">
        <f>$K$115</f>
        <v>1.6</v>
      </c>
      <c r="W50" s="58">
        <f>COUNTBLANK(B46:D46)</f>
        <v>3</v>
      </c>
      <c r="X50" s="61">
        <f>COUNTBLANK(F46:G46)</f>
        <v>2</v>
      </c>
      <c r="Y50" s="62">
        <f>SUM(W50:X50)</f>
        <v>5</v>
      </c>
    </row>
    <row r="51" spans="1:25" ht="12" hidden="1" customHeight="1" x14ac:dyDescent="0.2">
      <c r="A51" s="102"/>
      <c r="B51" s="139"/>
      <c r="C51" s="34"/>
      <c r="D51" s="141"/>
      <c r="E51" s="27"/>
      <c r="F51" s="139"/>
      <c r="G51" s="139"/>
      <c r="H51" s="103"/>
      <c r="I51" s="41"/>
      <c r="J51" s="43"/>
      <c r="K51" s="27"/>
      <c r="L51" s="86"/>
      <c r="N51" s="4"/>
      <c r="O51" s="3">
        <v>400</v>
      </c>
      <c r="P51" s="3">
        <v>500</v>
      </c>
      <c r="Q51" s="50">
        <f>IF(AND(B46&gt;=O51,B46&lt;=P51),1,0)</f>
        <v>0</v>
      </c>
      <c r="R51" s="17">
        <f>$G$116</f>
        <v>1.6</v>
      </c>
      <c r="S51" s="17">
        <f>$H$116</f>
        <v>1.6</v>
      </c>
      <c r="T51" s="17">
        <f>$I$116</f>
        <v>1.6</v>
      </c>
      <c r="U51" s="17">
        <f>$J$116</f>
        <v>1.6</v>
      </c>
      <c r="V51" s="17">
        <f>$K$116</f>
        <v>1.6</v>
      </c>
      <c r="W51" s="44" t="str">
        <f>IF(W50=0,Q47,"")</f>
        <v/>
      </c>
      <c r="Y51" s="62" t="str">
        <f>IF(Y50=0,Q47,"")</f>
        <v/>
      </c>
    </row>
    <row r="52" spans="1:25" ht="6" customHeight="1" x14ac:dyDescent="0.2">
      <c r="A52" s="102"/>
      <c r="B52" s="139"/>
      <c r="C52" s="28"/>
      <c r="D52" s="141"/>
      <c r="E52" s="27"/>
      <c r="F52" s="139"/>
      <c r="G52" s="139"/>
      <c r="H52" s="41"/>
      <c r="I52" s="41"/>
      <c r="J52" s="43"/>
      <c r="K52" s="27"/>
      <c r="L52" s="86"/>
      <c r="N52" s="4"/>
      <c r="O52" s="3"/>
      <c r="P52" s="3"/>
      <c r="Q52" s="4"/>
      <c r="R52" s="17"/>
      <c r="S52" s="17"/>
      <c r="T52" s="17"/>
      <c r="U52" s="17"/>
      <c r="V52" s="17"/>
    </row>
    <row r="53" spans="1:25" ht="18" customHeight="1" x14ac:dyDescent="0.25">
      <c r="A53" s="102"/>
      <c r="B53" s="36"/>
      <c r="C53" s="37" t="str">
        <f>IF(B53=0,"",Y53/1000)</f>
        <v/>
      </c>
      <c r="D53" s="70"/>
      <c r="E53" s="38" t="str">
        <f>IF(W53=0,"",W53)</f>
        <v/>
      </c>
      <c r="F53" s="36"/>
      <c r="G53" s="36"/>
      <c r="H53" s="40" t="str">
        <f>IF(H54="","",ROUND(H54,1))</f>
        <v/>
      </c>
      <c r="I53" s="86"/>
      <c r="J53" s="42" t="str">
        <f>W58</f>
        <v/>
      </c>
      <c r="K53" s="39" t="str">
        <f>IF(J53="nb","Nee",IF(P53=0,IF(H53&gt;=J53,"Ja","Nee"),""))</f>
        <v/>
      </c>
      <c r="L53" s="98"/>
      <c r="N53" s="4"/>
      <c r="O53" s="3">
        <f>COUNTBLANK(B53:G53)</f>
        <v>6</v>
      </c>
      <c r="P53" s="45">
        <f>IF(O53&lt;=0,0,1)</f>
        <v>1</v>
      </c>
      <c r="R53" s="54">
        <f>IF(AND($D53&gt;=R$7,$D53&lt;=R$8),R$9,0)</f>
        <v>0</v>
      </c>
      <c r="S53" s="55">
        <f>IF(AND($D53&gt;=S$7,$D53&lt;=S$8),S$9,0)</f>
        <v>0</v>
      </c>
      <c r="T53" s="55">
        <f>IF(AND($D53&gt;=T$7,$D53&lt;=T$8),T$9,0)</f>
        <v>0</v>
      </c>
      <c r="U53" s="55">
        <f>IF(AND($D53&gt;=U$7,$D53&lt;=U$8),U$9,0)</f>
        <v>0</v>
      </c>
      <c r="V53" s="56">
        <f>IF(AND($D53&gt;=V$7,$D53&lt;=V$8),V$9,0)</f>
        <v>0</v>
      </c>
      <c r="W53" s="46" t="str">
        <f>IF(D53=0,"",SUM(R53:V53))</f>
        <v/>
      </c>
      <c r="X53" s="24" t="s">
        <v>18</v>
      </c>
      <c r="Y53" s="3" t="e">
        <f>VLOOKUP(B53,$B$110:$C$123,2,0)</f>
        <v>#N/A</v>
      </c>
    </row>
    <row r="54" spans="1:25" hidden="1" x14ac:dyDescent="0.2">
      <c r="A54" s="102"/>
      <c r="B54" s="139"/>
      <c r="C54" s="34"/>
      <c r="D54" s="140"/>
      <c r="E54" s="59"/>
      <c r="F54" s="142"/>
      <c r="G54" s="142"/>
      <c r="H54" s="40" t="str">
        <f>IF(P53=0,(LN((C53+2*(F53/1000))/C53))/(2*PI()*G53),"")</f>
        <v/>
      </c>
      <c r="I54" s="41"/>
      <c r="J54" s="47"/>
      <c r="K54" s="8"/>
      <c r="L54" s="86"/>
      <c r="N54" s="4"/>
      <c r="O54" s="23" t="s">
        <v>12</v>
      </c>
      <c r="P54" s="23" t="s">
        <v>12</v>
      </c>
      <c r="Q54" s="63" t="str">
        <f>IF(W55+W54&gt;=2,INDEX(R55:V58,MATCH(1,Q55:Q58,0),MATCH(1,R54:V54,0)),"nb")</f>
        <v>nb</v>
      </c>
      <c r="R54" s="51">
        <f>IF(AND($D53&gt;=R$7,$D53&lt;=R$8),1,0)</f>
        <v>0</v>
      </c>
      <c r="S54" s="52">
        <f>IF(AND($D53&gt;=S$7,$D53&lt;=S$8),1,0)</f>
        <v>0</v>
      </c>
      <c r="T54" s="52">
        <f>IF(AND($D53&gt;=T$7,$D53&lt;=T$8),1,0)</f>
        <v>0</v>
      </c>
      <c r="U54" s="52">
        <f>IF(AND($D53&gt;=U$7,$D53&lt;=U$8),1,0)</f>
        <v>0</v>
      </c>
      <c r="V54" s="53">
        <f>IF(AND($D53&gt;=V$7,$D53&lt;=V$8),1,0)</f>
        <v>0</v>
      </c>
      <c r="W54" s="44">
        <f>SUM(R54:V54)</f>
        <v>0</v>
      </c>
    </row>
    <row r="55" spans="1:25" ht="12" hidden="1" customHeight="1" x14ac:dyDescent="0.2">
      <c r="A55" s="102"/>
      <c r="B55" s="139"/>
      <c r="C55" s="35"/>
      <c r="D55" s="141"/>
      <c r="E55" s="27"/>
      <c r="F55" s="139"/>
      <c r="G55" s="139"/>
      <c r="H55" s="103"/>
      <c r="I55" s="41"/>
      <c r="J55" s="43"/>
      <c r="K55" s="8"/>
      <c r="L55" s="86"/>
      <c r="N55" s="4"/>
      <c r="O55" s="3">
        <v>40</v>
      </c>
      <c r="P55" s="3">
        <v>80</v>
      </c>
      <c r="Q55" s="48">
        <f>IF(AND(B53&gt;=O55,B53&lt;=P55),1,0)</f>
        <v>0</v>
      </c>
      <c r="R55" s="17">
        <f>$G$113</f>
        <v>3.4</v>
      </c>
      <c r="S55" s="17">
        <f>$H$113</f>
        <v>3.7</v>
      </c>
      <c r="T55" s="17">
        <f>$I$113</f>
        <v>3.4</v>
      </c>
      <c r="U55" s="17">
        <f>$J$113</f>
        <v>3.6</v>
      </c>
      <c r="V55" s="17">
        <f>$K$113</f>
        <v>2.7</v>
      </c>
      <c r="W55" s="44">
        <f>SUM(Q55:Q58)</f>
        <v>0</v>
      </c>
    </row>
    <row r="56" spans="1:25" ht="12" hidden="1" customHeight="1" x14ac:dyDescent="0.2">
      <c r="A56" s="102"/>
      <c r="B56" s="139"/>
      <c r="C56" s="34"/>
      <c r="D56" s="141"/>
      <c r="E56" s="27"/>
      <c r="F56" s="139"/>
      <c r="G56" s="139"/>
      <c r="H56" s="103"/>
      <c r="I56" s="41"/>
      <c r="J56" s="43"/>
      <c r="K56" s="27"/>
      <c r="L56" s="86"/>
      <c r="N56" s="4"/>
      <c r="O56" s="3">
        <v>100</v>
      </c>
      <c r="P56" s="3">
        <v>150</v>
      </c>
      <c r="Q56" s="49">
        <f>IF(AND(B53&gt;=O56,B53&lt;=P56),1,0)</f>
        <v>0</v>
      </c>
      <c r="R56" s="17">
        <f>$G$114</f>
        <v>2.5</v>
      </c>
      <c r="S56" s="17">
        <f>$H$114</f>
        <v>2.8</v>
      </c>
      <c r="T56" s="17">
        <f>$I$114</f>
        <v>2.6</v>
      </c>
      <c r="U56" s="17">
        <f>$J$114</f>
        <v>2.6</v>
      </c>
      <c r="V56" s="17">
        <f>$K$114</f>
        <v>2</v>
      </c>
      <c r="W56" s="44" t="str">
        <f>IF(W54+W55&gt;=1,Q54,"")</f>
        <v/>
      </c>
    </row>
    <row r="57" spans="1:25" ht="12" hidden="1" customHeight="1" x14ac:dyDescent="0.2">
      <c r="A57" s="102"/>
      <c r="B57" s="139"/>
      <c r="C57" s="34"/>
      <c r="D57" s="141"/>
      <c r="E57" s="27"/>
      <c r="F57" s="139"/>
      <c r="G57" s="139"/>
      <c r="H57" s="41"/>
      <c r="I57" s="41"/>
      <c r="J57" s="43"/>
      <c r="K57" s="27"/>
      <c r="L57" s="86"/>
      <c r="N57" s="4"/>
      <c r="O57" s="3">
        <v>200</v>
      </c>
      <c r="P57" s="3">
        <v>350</v>
      </c>
      <c r="Q57" s="49">
        <f>IF(AND(B53&gt;=O57,B53&lt;=P57),1,0)</f>
        <v>0</v>
      </c>
      <c r="R57" s="17">
        <f>$G$115</f>
        <v>1.8</v>
      </c>
      <c r="S57" s="17">
        <f>$H$115</f>
        <v>1.9</v>
      </c>
      <c r="T57" s="17">
        <f>$I$115</f>
        <v>1.8</v>
      </c>
      <c r="U57" s="17">
        <f>$J$115</f>
        <v>1.9</v>
      </c>
      <c r="V57" s="17">
        <f>$K$115</f>
        <v>1.6</v>
      </c>
      <c r="W57" s="58">
        <f>COUNTBLANK(B53:D53)</f>
        <v>3</v>
      </c>
      <c r="X57" s="61">
        <f>COUNTBLANK(F53:G53)</f>
        <v>2</v>
      </c>
      <c r="Y57" s="62">
        <f>SUM(W57:X57)</f>
        <v>5</v>
      </c>
    </row>
    <row r="58" spans="1:25" ht="12" hidden="1" customHeight="1" x14ac:dyDescent="0.2">
      <c r="A58" s="102"/>
      <c r="B58" s="139"/>
      <c r="C58" s="34"/>
      <c r="D58" s="141"/>
      <c r="E58" s="27"/>
      <c r="F58" s="139"/>
      <c r="G58" s="139"/>
      <c r="H58" s="103"/>
      <c r="I58" s="41"/>
      <c r="J58" s="43"/>
      <c r="K58" s="27"/>
      <c r="L58" s="86"/>
      <c r="N58" s="4"/>
      <c r="O58" s="3">
        <v>400</v>
      </c>
      <c r="P58" s="3">
        <v>500</v>
      </c>
      <c r="Q58" s="50">
        <f>IF(AND(B53&gt;=O58,B53&lt;=P58),1,0)</f>
        <v>0</v>
      </c>
      <c r="R58" s="17">
        <f>$G$116</f>
        <v>1.6</v>
      </c>
      <c r="S58" s="17">
        <f>$H$116</f>
        <v>1.6</v>
      </c>
      <c r="T58" s="17">
        <f>$I$116</f>
        <v>1.6</v>
      </c>
      <c r="U58" s="17">
        <f>$J$116</f>
        <v>1.6</v>
      </c>
      <c r="V58" s="17">
        <f>$K$116</f>
        <v>1.6</v>
      </c>
      <c r="W58" s="44" t="str">
        <f>IF(W57=0,Q54,"")</f>
        <v/>
      </c>
      <c r="Y58" s="62" t="str">
        <f>IF(Y57=0,Q54,"")</f>
        <v/>
      </c>
    </row>
    <row r="59" spans="1:25" ht="6" customHeight="1" x14ac:dyDescent="0.2">
      <c r="A59" s="102"/>
      <c r="B59" s="139"/>
      <c r="C59" s="28"/>
      <c r="D59" s="141"/>
      <c r="E59" s="27"/>
      <c r="F59" s="139"/>
      <c r="G59" s="139"/>
      <c r="H59" s="41"/>
      <c r="I59" s="41"/>
      <c r="J59" s="43"/>
      <c r="K59" s="27"/>
      <c r="L59" s="86"/>
      <c r="N59" s="4"/>
      <c r="O59" s="3"/>
      <c r="P59" s="3"/>
      <c r="Q59" s="4"/>
      <c r="R59" s="17"/>
      <c r="S59" s="17"/>
      <c r="T59" s="17"/>
      <c r="U59" s="17"/>
      <c r="V59" s="17"/>
    </row>
    <row r="60" spans="1:25" ht="18" customHeight="1" x14ac:dyDescent="0.25">
      <c r="A60" s="102"/>
      <c r="B60" s="36"/>
      <c r="C60" s="37" t="str">
        <f>IF(B60=0,"",Y60/1000)</f>
        <v/>
      </c>
      <c r="D60" s="70"/>
      <c r="E60" s="38" t="str">
        <f>IF(W60=0,"",W60)</f>
        <v/>
      </c>
      <c r="F60" s="36"/>
      <c r="G60" s="36"/>
      <c r="H60" s="40" t="str">
        <f>IF(H61="","",ROUND(H61,1))</f>
        <v/>
      </c>
      <c r="I60" s="86"/>
      <c r="J60" s="42" t="str">
        <f>W65</f>
        <v/>
      </c>
      <c r="K60" s="39" t="str">
        <f>IF(J60="nb","Nee",IF(P60=0,IF(H60&gt;=J60,"Ja","Nee"),""))</f>
        <v/>
      </c>
      <c r="L60" s="98"/>
      <c r="N60" s="4"/>
      <c r="O60" s="3">
        <f>COUNTBLANK(B60:G60)</f>
        <v>6</v>
      </c>
      <c r="P60" s="45">
        <f>IF(O60&lt;=0,0,1)</f>
        <v>1</v>
      </c>
      <c r="R60" s="54">
        <f>IF(AND($D60&gt;=R$7,$D60&lt;=R$8),R$9,0)</f>
        <v>0</v>
      </c>
      <c r="S60" s="55">
        <f>IF(AND($D60&gt;=S$7,$D60&lt;=S$8),S$9,0)</f>
        <v>0</v>
      </c>
      <c r="T60" s="55">
        <f>IF(AND($D60&gt;=T$7,$D60&lt;=T$8),T$9,0)</f>
        <v>0</v>
      </c>
      <c r="U60" s="55">
        <f>IF(AND($D60&gt;=U$7,$D60&lt;=U$8),U$9,0)</f>
        <v>0</v>
      </c>
      <c r="V60" s="56">
        <f>IF(AND($D60&gt;=V$7,$D60&lt;=V$8),V$9,0)</f>
        <v>0</v>
      </c>
      <c r="W60" s="46" t="str">
        <f>IF(D60=0,"",SUM(R60:V60))</f>
        <v/>
      </c>
      <c r="X60" s="24" t="s">
        <v>18</v>
      </c>
      <c r="Y60" s="3" t="e">
        <f>VLOOKUP(B60,$B$110:$C$123,2,0)</f>
        <v>#N/A</v>
      </c>
    </row>
    <row r="61" spans="1:25" hidden="1" x14ac:dyDescent="0.2">
      <c r="A61" s="102"/>
      <c r="B61" s="139"/>
      <c r="C61" s="34"/>
      <c r="D61" s="140"/>
      <c r="E61" s="59"/>
      <c r="F61" s="142"/>
      <c r="G61" s="142"/>
      <c r="H61" s="40" t="str">
        <f>IF(P60=0,(LN((C60+2*(F60/1000))/C60))/(2*PI()*G60),"")</f>
        <v/>
      </c>
      <c r="I61" s="41"/>
      <c r="J61" s="47"/>
      <c r="K61" s="8"/>
      <c r="L61" s="86"/>
      <c r="N61" s="4"/>
      <c r="O61" s="23" t="s">
        <v>12</v>
      </c>
      <c r="P61" s="23" t="s">
        <v>12</v>
      </c>
      <c r="Q61" s="63" t="str">
        <f>IF(W62+W61&gt;=2,INDEX(R62:V65,MATCH(1,Q62:Q65,0),MATCH(1,R61:V61,0)),"nb")</f>
        <v>nb</v>
      </c>
      <c r="R61" s="51">
        <f>IF(AND($D60&gt;=R$7,$D60&lt;=R$8),1,0)</f>
        <v>0</v>
      </c>
      <c r="S61" s="52">
        <f>IF(AND($D60&gt;=S$7,$D60&lt;=S$8),1,0)</f>
        <v>0</v>
      </c>
      <c r="T61" s="52">
        <f>IF(AND($D60&gt;=T$7,$D60&lt;=T$8),1,0)</f>
        <v>0</v>
      </c>
      <c r="U61" s="52">
        <f>IF(AND($D60&gt;=U$7,$D60&lt;=U$8),1,0)</f>
        <v>0</v>
      </c>
      <c r="V61" s="53">
        <f>IF(AND($D60&gt;=V$7,$D60&lt;=V$8),1,0)</f>
        <v>0</v>
      </c>
      <c r="W61" s="44">
        <f>SUM(R61:V61)</f>
        <v>0</v>
      </c>
    </row>
    <row r="62" spans="1:25" ht="12" hidden="1" customHeight="1" x14ac:dyDescent="0.2">
      <c r="A62" s="102"/>
      <c r="B62" s="139"/>
      <c r="C62" s="35"/>
      <c r="D62" s="141"/>
      <c r="E62" s="27"/>
      <c r="F62" s="139"/>
      <c r="G62" s="139"/>
      <c r="H62" s="103"/>
      <c r="I62" s="41"/>
      <c r="J62" s="43"/>
      <c r="K62" s="8"/>
      <c r="L62" s="86"/>
      <c r="N62" s="4"/>
      <c r="O62" s="3">
        <v>40</v>
      </c>
      <c r="P62" s="3">
        <v>80</v>
      </c>
      <c r="Q62" s="48">
        <f>IF(AND(B60&gt;=O62,B60&lt;=P62),1,0)</f>
        <v>0</v>
      </c>
      <c r="R62" s="17">
        <f>$G$113</f>
        <v>3.4</v>
      </c>
      <c r="S62" s="17">
        <f>$H$113</f>
        <v>3.7</v>
      </c>
      <c r="T62" s="17">
        <f>$I$113</f>
        <v>3.4</v>
      </c>
      <c r="U62" s="17">
        <f>$J$113</f>
        <v>3.6</v>
      </c>
      <c r="V62" s="17">
        <f>$K$113</f>
        <v>2.7</v>
      </c>
      <c r="W62" s="44">
        <f>SUM(Q62:Q65)</f>
        <v>0</v>
      </c>
    </row>
    <row r="63" spans="1:25" ht="12" hidden="1" customHeight="1" x14ac:dyDescent="0.2">
      <c r="A63" s="102"/>
      <c r="B63" s="139"/>
      <c r="C63" s="34"/>
      <c r="D63" s="141"/>
      <c r="E63" s="27"/>
      <c r="F63" s="139"/>
      <c r="G63" s="139"/>
      <c r="H63" s="103"/>
      <c r="I63" s="41"/>
      <c r="J63" s="43"/>
      <c r="K63" s="27"/>
      <c r="L63" s="86"/>
      <c r="N63" s="4"/>
      <c r="O63" s="3">
        <v>100</v>
      </c>
      <c r="P63" s="3">
        <v>150</v>
      </c>
      <c r="Q63" s="49">
        <f>IF(AND(B60&gt;=O63,B60&lt;=P63),1,0)</f>
        <v>0</v>
      </c>
      <c r="R63" s="17">
        <f>$G$114</f>
        <v>2.5</v>
      </c>
      <c r="S63" s="17">
        <f>$H$114</f>
        <v>2.8</v>
      </c>
      <c r="T63" s="17">
        <f>$I$114</f>
        <v>2.6</v>
      </c>
      <c r="U63" s="17">
        <f>$J$114</f>
        <v>2.6</v>
      </c>
      <c r="V63" s="17">
        <f>$K$114</f>
        <v>2</v>
      </c>
      <c r="W63" s="44" t="str">
        <f>IF(W61+W62&gt;=1,Q61,"")</f>
        <v/>
      </c>
    </row>
    <row r="64" spans="1:25" ht="12" hidden="1" customHeight="1" x14ac:dyDescent="0.2">
      <c r="A64" s="102"/>
      <c r="B64" s="139"/>
      <c r="C64" s="34"/>
      <c r="D64" s="141"/>
      <c r="E64" s="27"/>
      <c r="F64" s="139"/>
      <c r="G64" s="139"/>
      <c r="H64" s="41"/>
      <c r="I64" s="41"/>
      <c r="J64" s="43"/>
      <c r="K64" s="27"/>
      <c r="L64" s="86"/>
      <c r="N64" s="4"/>
      <c r="O64" s="3">
        <v>200</v>
      </c>
      <c r="P64" s="3">
        <v>350</v>
      </c>
      <c r="Q64" s="49">
        <f>IF(AND(B60&gt;=O64,B60&lt;=P64),1,0)</f>
        <v>0</v>
      </c>
      <c r="R64" s="17">
        <f>$G$115</f>
        <v>1.8</v>
      </c>
      <c r="S64" s="17">
        <f>$H$115</f>
        <v>1.9</v>
      </c>
      <c r="T64" s="17">
        <f>$I$115</f>
        <v>1.8</v>
      </c>
      <c r="U64" s="17">
        <f>$J$115</f>
        <v>1.9</v>
      </c>
      <c r="V64" s="17">
        <f>$K$115</f>
        <v>1.6</v>
      </c>
      <c r="W64" s="58">
        <f>COUNTBLANK(B60:D60)</f>
        <v>3</v>
      </c>
      <c r="X64" s="61">
        <f>COUNTBLANK(F60:G60)</f>
        <v>2</v>
      </c>
      <c r="Y64" s="62">
        <f>SUM(W64:X64)</f>
        <v>5</v>
      </c>
    </row>
    <row r="65" spans="1:25" ht="12" hidden="1" customHeight="1" x14ac:dyDescent="0.2">
      <c r="A65" s="102"/>
      <c r="B65" s="139"/>
      <c r="C65" s="34"/>
      <c r="D65" s="141"/>
      <c r="E65" s="27"/>
      <c r="F65" s="139"/>
      <c r="G65" s="139"/>
      <c r="H65" s="103"/>
      <c r="I65" s="41"/>
      <c r="J65" s="43"/>
      <c r="K65" s="27"/>
      <c r="L65" s="86"/>
      <c r="N65" s="4"/>
      <c r="O65" s="3">
        <v>400</v>
      </c>
      <c r="P65" s="3">
        <v>500</v>
      </c>
      <c r="Q65" s="50">
        <f>IF(AND(B60&gt;=O65,B60&lt;=P65),1,0)</f>
        <v>0</v>
      </c>
      <c r="R65" s="17">
        <f>$G$116</f>
        <v>1.6</v>
      </c>
      <c r="S65" s="17">
        <f>$H$116</f>
        <v>1.6</v>
      </c>
      <c r="T65" s="17">
        <f>$I$116</f>
        <v>1.6</v>
      </c>
      <c r="U65" s="17">
        <f>$J$116</f>
        <v>1.6</v>
      </c>
      <c r="V65" s="17">
        <f>$K$116</f>
        <v>1.6</v>
      </c>
      <c r="W65" s="44" t="str">
        <f>IF(W64=0,Q61,"")</f>
        <v/>
      </c>
      <c r="Y65" s="62" t="str">
        <f>IF(Y64=0,Q61,"")</f>
        <v/>
      </c>
    </row>
    <row r="66" spans="1:25" ht="6" customHeight="1" x14ac:dyDescent="0.2">
      <c r="A66" s="102"/>
      <c r="B66" s="139"/>
      <c r="C66" s="28"/>
      <c r="D66" s="141"/>
      <c r="E66" s="27"/>
      <c r="F66" s="139"/>
      <c r="G66" s="139"/>
      <c r="H66" s="41"/>
      <c r="I66" s="41"/>
      <c r="J66" s="43"/>
      <c r="K66" s="27"/>
      <c r="L66" s="86"/>
      <c r="N66" s="4"/>
      <c r="O66" s="3"/>
      <c r="P66" s="3"/>
      <c r="Q66" s="4"/>
      <c r="R66" s="17"/>
      <c r="S66" s="17"/>
      <c r="T66" s="17"/>
      <c r="U66" s="17"/>
      <c r="V66" s="17"/>
    </row>
    <row r="67" spans="1:25" ht="18" customHeight="1" x14ac:dyDescent="0.25">
      <c r="A67" s="102"/>
      <c r="B67" s="36"/>
      <c r="C67" s="37" t="str">
        <f>IF(B67=0,"",Y67/1000)</f>
        <v/>
      </c>
      <c r="D67" s="70"/>
      <c r="E67" s="38" t="str">
        <f>IF(W67=0,"",W67)</f>
        <v/>
      </c>
      <c r="F67" s="36"/>
      <c r="G67" s="36"/>
      <c r="H67" s="40" t="str">
        <f>IF(H68="","",ROUND(H68,1))</f>
        <v/>
      </c>
      <c r="I67" s="86"/>
      <c r="J67" s="42" t="str">
        <f>W72</f>
        <v/>
      </c>
      <c r="K67" s="39" t="str">
        <f>IF(J67="nb","Nee",IF(P67=0,IF(H67&gt;=J67,"Ja","Nee"),""))</f>
        <v/>
      </c>
      <c r="L67" s="98"/>
      <c r="N67" s="4"/>
      <c r="O67" s="3">
        <f>COUNTBLANK(B67:G67)</f>
        <v>6</v>
      </c>
      <c r="P67" s="45">
        <f>IF(O67&lt;=0,0,1)</f>
        <v>1</v>
      </c>
      <c r="R67" s="54">
        <f>IF(AND($D67&gt;=R$7,$D67&lt;=R$8),R$9,0)</f>
        <v>0</v>
      </c>
      <c r="S67" s="55">
        <f>IF(AND($D67&gt;=S$7,$D67&lt;=S$8),S$9,0)</f>
        <v>0</v>
      </c>
      <c r="T67" s="55">
        <f>IF(AND($D67&gt;=T$7,$D67&lt;=T$8),T$9,0)</f>
        <v>0</v>
      </c>
      <c r="U67" s="55">
        <f>IF(AND($D67&gt;=U$7,$D67&lt;=U$8),U$9,0)</f>
        <v>0</v>
      </c>
      <c r="V67" s="56">
        <f>IF(AND($D67&gt;=V$7,$D67&lt;=V$8),V$9,0)</f>
        <v>0</v>
      </c>
      <c r="W67" s="46" t="str">
        <f>IF(D67=0,"",SUM(R67:V67))</f>
        <v/>
      </c>
      <c r="X67" s="24" t="s">
        <v>18</v>
      </c>
      <c r="Y67" s="3" t="e">
        <f>VLOOKUP(B67,$B$110:$C$123,2,0)</f>
        <v>#N/A</v>
      </c>
    </row>
    <row r="68" spans="1:25" hidden="1" x14ac:dyDescent="0.2">
      <c r="A68" s="102"/>
      <c r="B68" s="139"/>
      <c r="C68" s="34"/>
      <c r="D68" s="140"/>
      <c r="E68" s="59"/>
      <c r="F68" s="142"/>
      <c r="G68" s="142"/>
      <c r="H68" s="40" t="str">
        <f>IF(P67=0,(LN((C67+2*(F67/1000))/C67))/(2*PI()*G67),"")</f>
        <v/>
      </c>
      <c r="I68" s="41"/>
      <c r="J68" s="47"/>
      <c r="K68" s="8"/>
      <c r="L68" s="86"/>
      <c r="N68" s="4"/>
      <c r="O68" s="23" t="s">
        <v>12</v>
      </c>
      <c r="P68" s="23" t="s">
        <v>12</v>
      </c>
      <c r="Q68" s="63" t="str">
        <f>IF(W69+W68&gt;=2,INDEX(R69:V72,MATCH(1,Q69:Q72,0),MATCH(1,R68:V68,0)),"nb")</f>
        <v>nb</v>
      </c>
      <c r="R68" s="51">
        <f>IF(AND($D67&gt;=R$7,$D67&lt;=R$8),1,0)</f>
        <v>0</v>
      </c>
      <c r="S68" s="52">
        <f>IF(AND($D67&gt;=S$7,$D67&lt;=S$8),1,0)</f>
        <v>0</v>
      </c>
      <c r="T68" s="52">
        <f>IF(AND($D67&gt;=T$7,$D67&lt;=T$8),1,0)</f>
        <v>0</v>
      </c>
      <c r="U68" s="52">
        <f>IF(AND($D67&gt;=U$7,$D67&lt;=U$8),1,0)</f>
        <v>0</v>
      </c>
      <c r="V68" s="53">
        <f>IF(AND($D67&gt;=V$7,$D67&lt;=V$8),1,0)</f>
        <v>0</v>
      </c>
      <c r="W68" s="44">
        <f>SUM(R68:V68)</f>
        <v>0</v>
      </c>
    </row>
    <row r="69" spans="1:25" ht="12" hidden="1" customHeight="1" x14ac:dyDescent="0.2">
      <c r="A69" s="102"/>
      <c r="B69" s="139"/>
      <c r="C69" s="35"/>
      <c r="D69" s="141"/>
      <c r="E69" s="27"/>
      <c r="F69" s="139"/>
      <c r="G69" s="139"/>
      <c r="H69" s="103"/>
      <c r="I69" s="41"/>
      <c r="J69" s="43"/>
      <c r="K69" s="8"/>
      <c r="L69" s="86"/>
      <c r="N69" s="4"/>
      <c r="O69" s="3">
        <v>40</v>
      </c>
      <c r="P69" s="3">
        <v>80</v>
      </c>
      <c r="Q69" s="48">
        <f>IF(AND(B67&gt;=O69,B67&lt;=P69),1,0)</f>
        <v>0</v>
      </c>
      <c r="R69" s="17">
        <f>$G$113</f>
        <v>3.4</v>
      </c>
      <c r="S69" s="17">
        <f>$H$113</f>
        <v>3.7</v>
      </c>
      <c r="T69" s="17">
        <f>$I$113</f>
        <v>3.4</v>
      </c>
      <c r="U69" s="17">
        <f>$J$113</f>
        <v>3.6</v>
      </c>
      <c r="V69" s="17">
        <f>$K$113</f>
        <v>2.7</v>
      </c>
      <c r="W69" s="44">
        <f>SUM(Q69:Q72)</f>
        <v>0</v>
      </c>
    </row>
    <row r="70" spans="1:25" ht="12" hidden="1" customHeight="1" x14ac:dyDescent="0.2">
      <c r="A70" s="102"/>
      <c r="B70" s="139"/>
      <c r="C70" s="34"/>
      <c r="D70" s="141"/>
      <c r="E70" s="27"/>
      <c r="F70" s="139"/>
      <c r="G70" s="139"/>
      <c r="H70" s="103"/>
      <c r="I70" s="41"/>
      <c r="J70" s="43"/>
      <c r="K70" s="27"/>
      <c r="L70" s="86"/>
      <c r="N70" s="4"/>
      <c r="O70" s="3">
        <v>100</v>
      </c>
      <c r="P70" s="3">
        <v>150</v>
      </c>
      <c r="Q70" s="49">
        <f>IF(AND(B67&gt;=O70,B67&lt;=P70),1,0)</f>
        <v>0</v>
      </c>
      <c r="R70" s="17">
        <f>$G$114</f>
        <v>2.5</v>
      </c>
      <c r="S70" s="17">
        <f>$H$114</f>
        <v>2.8</v>
      </c>
      <c r="T70" s="17">
        <f>$I$114</f>
        <v>2.6</v>
      </c>
      <c r="U70" s="17">
        <f>$J$114</f>
        <v>2.6</v>
      </c>
      <c r="V70" s="17">
        <f>$K$114</f>
        <v>2</v>
      </c>
      <c r="W70" s="44" t="str">
        <f>IF(W68+W69&gt;=1,Q68,"")</f>
        <v/>
      </c>
    </row>
    <row r="71" spans="1:25" ht="12" hidden="1" customHeight="1" x14ac:dyDescent="0.2">
      <c r="A71" s="102"/>
      <c r="B71" s="139"/>
      <c r="C71" s="34"/>
      <c r="D71" s="141"/>
      <c r="E71" s="27"/>
      <c r="F71" s="139"/>
      <c r="G71" s="139"/>
      <c r="H71" s="41"/>
      <c r="I71" s="41"/>
      <c r="J71" s="43"/>
      <c r="K71" s="27"/>
      <c r="L71" s="86"/>
      <c r="N71" s="4"/>
      <c r="O71" s="3">
        <v>200</v>
      </c>
      <c r="P71" s="3">
        <v>350</v>
      </c>
      <c r="Q71" s="49">
        <f>IF(AND(B67&gt;=O71,B67&lt;=P71),1,0)</f>
        <v>0</v>
      </c>
      <c r="R71" s="17">
        <f>$G$115</f>
        <v>1.8</v>
      </c>
      <c r="S71" s="17">
        <f>$H$115</f>
        <v>1.9</v>
      </c>
      <c r="T71" s="17">
        <f>$I$115</f>
        <v>1.8</v>
      </c>
      <c r="U71" s="17">
        <f>$J$115</f>
        <v>1.9</v>
      </c>
      <c r="V71" s="17">
        <f>$K$115</f>
        <v>1.6</v>
      </c>
      <c r="W71" s="58">
        <f>COUNTBLANK(B67:D67)</f>
        <v>3</v>
      </c>
      <c r="X71" s="61">
        <f>COUNTBLANK(F67:G67)</f>
        <v>2</v>
      </c>
      <c r="Y71" s="62">
        <f>SUM(W71:X71)</f>
        <v>5</v>
      </c>
    </row>
    <row r="72" spans="1:25" ht="12" hidden="1" customHeight="1" x14ac:dyDescent="0.2">
      <c r="A72" s="102"/>
      <c r="B72" s="139"/>
      <c r="C72" s="34"/>
      <c r="D72" s="141"/>
      <c r="E72" s="27"/>
      <c r="F72" s="139"/>
      <c r="G72" s="139"/>
      <c r="H72" s="103"/>
      <c r="I72" s="41"/>
      <c r="J72" s="43"/>
      <c r="K72" s="27"/>
      <c r="L72" s="86"/>
      <c r="N72" s="4"/>
      <c r="O72" s="3">
        <v>400</v>
      </c>
      <c r="P72" s="3">
        <v>500</v>
      </c>
      <c r="Q72" s="50">
        <f>IF(AND(B67&gt;=O72,B67&lt;=P72),1,0)</f>
        <v>0</v>
      </c>
      <c r="R72" s="17">
        <f>$G$116</f>
        <v>1.6</v>
      </c>
      <c r="S72" s="17">
        <f>$H$116</f>
        <v>1.6</v>
      </c>
      <c r="T72" s="17">
        <f>$I$116</f>
        <v>1.6</v>
      </c>
      <c r="U72" s="17">
        <f>$J$116</f>
        <v>1.6</v>
      </c>
      <c r="V72" s="17">
        <f>$K$116</f>
        <v>1.6</v>
      </c>
      <c r="W72" s="44" t="str">
        <f>IF(W71=0,Q68,"")</f>
        <v/>
      </c>
      <c r="Y72" s="62" t="str">
        <f>IF(Y71=0,Q68,"")</f>
        <v/>
      </c>
    </row>
    <row r="73" spans="1:25" ht="6" customHeight="1" x14ac:dyDescent="0.2">
      <c r="A73" s="102"/>
      <c r="B73" s="139"/>
      <c r="C73" s="28"/>
      <c r="D73" s="141"/>
      <c r="E73" s="27"/>
      <c r="F73" s="139"/>
      <c r="G73" s="139"/>
      <c r="H73" s="41"/>
      <c r="I73" s="41"/>
      <c r="J73" s="43"/>
      <c r="K73" s="27"/>
      <c r="L73" s="86"/>
      <c r="N73" s="4"/>
      <c r="O73" s="3"/>
      <c r="P73" s="3"/>
      <c r="Q73" s="4"/>
      <c r="R73" s="17"/>
      <c r="S73" s="17"/>
      <c r="T73" s="17"/>
      <c r="U73" s="17"/>
      <c r="V73" s="17"/>
    </row>
    <row r="74" spans="1:25" ht="18" customHeight="1" x14ac:dyDescent="0.25">
      <c r="A74" s="102"/>
      <c r="B74" s="36"/>
      <c r="C74" s="37" t="str">
        <f>IF(B74=0,"",Y74/1000)</f>
        <v/>
      </c>
      <c r="D74" s="70"/>
      <c r="E74" s="38" t="str">
        <f>IF(W74=0,"",W74)</f>
        <v/>
      </c>
      <c r="F74" s="36"/>
      <c r="G74" s="36"/>
      <c r="H74" s="40" t="str">
        <f>IF(H75="","",ROUND(H75,1))</f>
        <v/>
      </c>
      <c r="I74" s="86"/>
      <c r="J74" s="42" t="str">
        <f>W79</f>
        <v/>
      </c>
      <c r="K74" s="39" t="str">
        <f>IF(J74="nb","Nee",IF(P74=0,IF(H74&gt;=J74,"Ja","Nee"),""))</f>
        <v/>
      </c>
      <c r="L74" s="98"/>
      <c r="N74" s="4"/>
      <c r="O74" s="3">
        <f>COUNTBLANK(B74:G74)</f>
        <v>6</v>
      </c>
      <c r="P74" s="45">
        <f>IF(O74&lt;=0,0,1)</f>
        <v>1</v>
      </c>
      <c r="R74" s="54">
        <f>IF(AND($D74&gt;=R$7,$D74&lt;=R$8),R$9,0)</f>
        <v>0</v>
      </c>
      <c r="S74" s="55">
        <f>IF(AND($D74&gt;=S$7,$D74&lt;=S$8),S$9,0)</f>
        <v>0</v>
      </c>
      <c r="T74" s="55">
        <f>IF(AND($D74&gt;=T$7,$D74&lt;=T$8),T$9,0)</f>
        <v>0</v>
      </c>
      <c r="U74" s="55">
        <f>IF(AND($D74&gt;=U$7,$D74&lt;=U$8),U$9,0)</f>
        <v>0</v>
      </c>
      <c r="V74" s="56">
        <f>IF(AND($D74&gt;=V$7,$D74&lt;=V$8),V$9,0)</f>
        <v>0</v>
      </c>
      <c r="W74" s="46" t="str">
        <f>IF(D74=0,"",SUM(R74:V74))</f>
        <v/>
      </c>
      <c r="X74" s="24" t="s">
        <v>18</v>
      </c>
      <c r="Y74" s="3" t="e">
        <f>VLOOKUP(B74,$B$110:$C$123,2,0)</f>
        <v>#N/A</v>
      </c>
    </row>
    <row r="75" spans="1:25" hidden="1" x14ac:dyDescent="0.2">
      <c r="A75" s="102"/>
      <c r="B75" s="27"/>
      <c r="C75" s="34"/>
      <c r="D75" s="71"/>
      <c r="E75" s="59"/>
      <c r="F75" s="60"/>
      <c r="G75" s="60"/>
      <c r="H75" s="40" t="str">
        <f>IF(P74=0,(LN((C74+2*(F74/1000))/C74))/(2*PI()*G74),"")</f>
        <v/>
      </c>
      <c r="I75" s="41"/>
      <c r="J75" s="47"/>
      <c r="K75" s="8"/>
      <c r="L75" s="86"/>
      <c r="N75" s="4"/>
      <c r="O75" s="23" t="s">
        <v>12</v>
      </c>
      <c r="P75" s="23" t="s">
        <v>12</v>
      </c>
      <c r="Q75" s="63" t="str">
        <f>IF(W76+W75&gt;=2,INDEX(R76:V79,MATCH(1,Q76:Q79,0),MATCH(1,R75:V75,0)),"nb")</f>
        <v>nb</v>
      </c>
      <c r="R75" s="51">
        <f>IF(AND($D74&gt;=R$7,$D74&lt;=R$8),1,0)</f>
        <v>0</v>
      </c>
      <c r="S75" s="52">
        <f>IF(AND($D74&gt;=S$7,$D74&lt;=S$8),1,0)</f>
        <v>0</v>
      </c>
      <c r="T75" s="52">
        <f>IF(AND($D74&gt;=T$7,$D74&lt;=T$8),1,0)</f>
        <v>0</v>
      </c>
      <c r="U75" s="52">
        <f>IF(AND($D74&gt;=U$7,$D74&lt;=U$8),1,0)</f>
        <v>0</v>
      </c>
      <c r="V75" s="53">
        <f>IF(AND($D74&gt;=V$7,$D74&lt;=V$8),1,0)</f>
        <v>0</v>
      </c>
      <c r="W75" s="44">
        <f>SUM(R75:V75)</f>
        <v>0</v>
      </c>
    </row>
    <row r="76" spans="1:25" ht="12" hidden="1" customHeight="1" x14ac:dyDescent="0.2">
      <c r="A76" s="102"/>
      <c r="B76" s="27"/>
      <c r="C76" s="35"/>
      <c r="D76" s="72"/>
      <c r="E76" s="27"/>
      <c r="F76" s="27"/>
      <c r="G76" s="27"/>
      <c r="H76" s="103"/>
      <c r="I76" s="41"/>
      <c r="J76" s="43"/>
      <c r="K76" s="8"/>
      <c r="L76" s="86"/>
      <c r="N76" s="4"/>
      <c r="O76" s="3">
        <v>40</v>
      </c>
      <c r="P76" s="3">
        <v>80</v>
      </c>
      <c r="Q76" s="48">
        <f>IF(AND(B74&gt;=O76,B74&lt;=P76),1,0)</f>
        <v>0</v>
      </c>
      <c r="R76" s="17">
        <f>$G$113</f>
        <v>3.4</v>
      </c>
      <c r="S76" s="17">
        <f>$H$113</f>
        <v>3.7</v>
      </c>
      <c r="T76" s="17">
        <f>$I$113</f>
        <v>3.4</v>
      </c>
      <c r="U76" s="17">
        <f>$J$113</f>
        <v>3.6</v>
      </c>
      <c r="V76" s="17">
        <f>$K$113</f>
        <v>2.7</v>
      </c>
      <c r="W76" s="44">
        <f>SUM(Q76:Q79)</f>
        <v>0</v>
      </c>
    </row>
    <row r="77" spans="1:25" ht="12" hidden="1" customHeight="1" x14ac:dyDescent="0.2">
      <c r="A77" s="102"/>
      <c r="B77" s="27"/>
      <c r="C77" s="34"/>
      <c r="D77" s="72"/>
      <c r="E77" s="27"/>
      <c r="F77" s="27"/>
      <c r="G77" s="27"/>
      <c r="H77" s="103"/>
      <c r="I77" s="41"/>
      <c r="J77" s="43"/>
      <c r="K77" s="27"/>
      <c r="L77" s="86"/>
      <c r="N77" s="4"/>
      <c r="O77" s="3">
        <v>100</v>
      </c>
      <c r="P77" s="3">
        <v>150</v>
      </c>
      <c r="Q77" s="49">
        <f>IF(AND(B74&gt;=O77,B74&lt;=P77),1,0)</f>
        <v>0</v>
      </c>
      <c r="R77" s="17">
        <f>$G$114</f>
        <v>2.5</v>
      </c>
      <c r="S77" s="17">
        <f>$H$114</f>
        <v>2.8</v>
      </c>
      <c r="T77" s="17">
        <f>$I$114</f>
        <v>2.6</v>
      </c>
      <c r="U77" s="17">
        <f>$J$114</f>
        <v>2.6</v>
      </c>
      <c r="V77" s="17">
        <f>$K$114</f>
        <v>2</v>
      </c>
      <c r="W77" s="44" t="str">
        <f>IF(W75+W76&gt;=1,Q75,"")</f>
        <v/>
      </c>
    </row>
    <row r="78" spans="1:25" ht="12" hidden="1" customHeight="1" x14ac:dyDescent="0.2">
      <c r="A78" s="102"/>
      <c r="B78" s="27"/>
      <c r="C78" s="34"/>
      <c r="D78" s="72"/>
      <c r="E78" s="27"/>
      <c r="F78" s="27"/>
      <c r="G78" s="27"/>
      <c r="H78" s="41"/>
      <c r="I78" s="41"/>
      <c r="J78" s="43"/>
      <c r="K78" s="27"/>
      <c r="L78" s="86"/>
      <c r="N78" s="4"/>
      <c r="O78" s="3">
        <v>200</v>
      </c>
      <c r="P78" s="3">
        <v>350</v>
      </c>
      <c r="Q78" s="49">
        <f>IF(AND(B74&gt;=O78,B74&lt;=P78),1,0)</f>
        <v>0</v>
      </c>
      <c r="R78" s="17">
        <f>$G$115</f>
        <v>1.8</v>
      </c>
      <c r="S78" s="17">
        <f>$H$115</f>
        <v>1.9</v>
      </c>
      <c r="T78" s="17">
        <f>$I$115</f>
        <v>1.8</v>
      </c>
      <c r="U78" s="17">
        <f>$J$115</f>
        <v>1.9</v>
      </c>
      <c r="V78" s="17">
        <f>$K$115</f>
        <v>1.6</v>
      </c>
      <c r="W78" s="58">
        <f>COUNTBLANK(B74:D74)</f>
        <v>3</v>
      </c>
      <c r="X78" s="61">
        <f>COUNTBLANK(F74:G74)</f>
        <v>2</v>
      </c>
      <c r="Y78" s="62">
        <f>SUM(W78:X78)</f>
        <v>5</v>
      </c>
    </row>
    <row r="79" spans="1:25" ht="12" hidden="1" customHeight="1" x14ac:dyDescent="0.2">
      <c r="A79" s="102"/>
      <c r="B79" s="27"/>
      <c r="C79" s="34"/>
      <c r="D79" s="72"/>
      <c r="E79" s="27"/>
      <c r="F79" s="27"/>
      <c r="G79" s="27"/>
      <c r="H79" s="103"/>
      <c r="I79" s="41"/>
      <c r="J79" s="43"/>
      <c r="K79" s="27"/>
      <c r="L79" s="86"/>
      <c r="N79" s="4"/>
      <c r="O79" s="3">
        <v>400</v>
      </c>
      <c r="P79" s="3">
        <v>500</v>
      </c>
      <c r="Q79" s="50">
        <f>IF(AND(B74&gt;=O79,B74&lt;=P79),1,0)</f>
        <v>0</v>
      </c>
      <c r="R79" s="17">
        <f>$G$116</f>
        <v>1.6</v>
      </c>
      <c r="S79" s="17">
        <f>$H$116</f>
        <v>1.6</v>
      </c>
      <c r="T79" s="17">
        <f>$I$116</f>
        <v>1.6</v>
      </c>
      <c r="U79" s="17">
        <f>$J$116</f>
        <v>1.6</v>
      </c>
      <c r="V79" s="17">
        <f>$K$116</f>
        <v>1.6</v>
      </c>
      <c r="W79" s="44" t="str">
        <f>IF(W78=0,Q75,"")</f>
        <v/>
      </c>
      <c r="Y79" s="62" t="str">
        <f>IF(Y78=0,Q75,"")</f>
        <v/>
      </c>
    </row>
    <row r="80" spans="1:25" ht="6" customHeight="1" x14ac:dyDescent="0.2">
      <c r="A80" s="102"/>
      <c r="B80" s="27"/>
      <c r="C80" s="28"/>
      <c r="D80" s="72"/>
      <c r="E80" s="27"/>
      <c r="F80" s="27"/>
      <c r="G80" s="27"/>
      <c r="H80" s="41"/>
      <c r="I80" s="27"/>
      <c r="J80" s="43"/>
      <c r="K80" s="27"/>
      <c r="L80" s="86"/>
      <c r="N80" s="4"/>
      <c r="O80" s="3"/>
      <c r="P80" s="3"/>
      <c r="Q80" s="4"/>
      <c r="R80" s="17"/>
      <c r="S80" s="17"/>
      <c r="T80" s="17"/>
      <c r="U80" s="17"/>
      <c r="V80" s="17"/>
    </row>
    <row r="81" spans="1:25" ht="10.5" customHeight="1" x14ac:dyDescent="0.2">
      <c r="A81" s="102"/>
      <c r="B81" s="27"/>
      <c r="C81" s="28"/>
      <c r="D81" s="72"/>
      <c r="E81" s="27"/>
      <c r="F81" s="27"/>
      <c r="G81" s="27"/>
      <c r="H81" s="41"/>
      <c r="I81" s="27"/>
      <c r="J81" s="43"/>
      <c r="K81" s="27"/>
      <c r="L81" s="86"/>
      <c r="N81" s="4"/>
      <c r="O81" s="3"/>
      <c r="P81" s="3"/>
      <c r="Q81" s="4"/>
      <c r="R81" s="17"/>
      <c r="S81" s="17"/>
      <c r="T81" s="17"/>
      <c r="U81" s="17"/>
      <c r="V81" s="17"/>
    </row>
    <row r="82" spans="1:25" ht="23.25" x14ac:dyDescent="0.35">
      <c r="A82" s="102"/>
      <c r="B82" s="85" t="s">
        <v>16</v>
      </c>
      <c r="C82" s="85"/>
      <c r="D82" s="85"/>
      <c r="E82" s="27"/>
      <c r="F82" s="27"/>
      <c r="G82" s="27"/>
      <c r="H82" s="41"/>
      <c r="I82" s="27"/>
      <c r="J82" s="43"/>
      <c r="K82" s="27"/>
      <c r="L82" s="86"/>
      <c r="N82" s="4"/>
    </row>
    <row r="83" spans="1:25" ht="6" customHeight="1" x14ac:dyDescent="0.2">
      <c r="A83" s="102"/>
      <c r="B83" s="27"/>
      <c r="C83" s="27"/>
      <c r="D83" s="72"/>
      <c r="E83" s="27"/>
      <c r="F83" s="27"/>
      <c r="G83" s="27"/>
      <c r="H83" s="41"/>
      <c r="I83" s="27"/>
      <c r="J83" s="43"/>
      <c r="K83" s="27"/>
      <c r="L83" s="86"/>
      <c r="N83" s="4"/>
    </row>
    <row r="84" spans="1:25" ht="37.5" customHeight="1" x14ac:dyDescent="0.3">
      <c r="A84" s="102"/>
      <c r="B84" s="163" t="s">
        <v>27</v>
      </c>
      <c r="C84" s="164"/>
      <c r="D84" s="78" t="s">
        <v>48</v>
      </c>
      <c r="E84" s="74" t="s">
        <v>49</v>
      </c>
      <c r="F84" s="75" t="s">
        <v>28</v>
      </c>
      <c r="G84" s="79" t="s">
        <v>50</v>
      </c>
      <c r="H84" s="80" t="s">
        <v>51</v>
      </c>
      <c r="I84" s="86"/>
      <c r="J84" s="82" t="s">
        <v>13</v>
      </c>
      <c r="K84" s="74" t="s">
        <v>20</v>
      </c>
      <c r="L84" s="86"/>
      <c r="N84" s="4"/>
      <c r="Y84" s="6" t="s">
        <v>21</v>
      </c>
    </row>
    <row r="85" spans="1:25" ht="6" customHeight="1" x14ac:dyDescent="0.2">
      <c r="A85" s="102"/>
      <c r="B85" s="86"/>
      <c r="C85" s="27"/>
      <c r="D85" s="73"/>
      <c r="E85" s="30"/>
      <c r="F85" s="30"/>
      <c r="G85" s="30"/>
      <c r="H85" s="81"/>
      <c r="I85" s="86"/>
      <c r="J85" s="83"/>
      <c r="K85" s="8"/>
      <c r="L85" s="86"/>
      <c r="N85" s="4"/>
    </row>
    <row r="86" spans="1:25" ht="18" customHeight="1" x14ac:dyDescent="0.2">
      <c r="A86" s="102"/>
      <c r="B86" s="151"/>
      <c r="C86" s="152"/>
      <c r="D86" s="70"/>
      <c r="E86" s="38" t="str">
        <f>IF(W86=0," ",W86)</f>
        <v xml:space="preserve"> </v>
      </c>
      <c r="F86" s="36"/>
      <c r="G86" s="36"/>
      <c r="H86" s="40" t="str">
        <f>IF(H87="","",ROUND(H87,1))</f>
        <v/>
      </c>
      <c r="I86" s="86"/>
      <c r="J86" s="42" t="str">
        <f>IF(W87=1,Q87,"")</f>
        <v/>
      </c>
      <c r="K86" s="39" t="str">
        <f>IF(P86=1,IF(H86&gt;=J86,"Ja","Nee"),"")</f>
        <v/>
      </c>
      <c r="L86" s="86"/>
      <c r="N86" s="4"/>
      <c r="O86" s="3">
        <f>COUNTBLANK(B86:G86)-1</f>
        <v>4</v>
      </c>
      <c r="P86" s="3">
        <f>IF(O86=0,1,0)</f>
        <v>0</v>
      </c>
      <c r="Q86" s="68">
        <f>COUNTBLANK(E86:G86)</f>
        <v>2</v>
      </c>
      <c r="R86" s="13">
        <f>IF(AND($D86&gt;=R$7,$D86&lt;=R$8),R$9,0)</f>
        <v>0</v>
      </c>
      <c r="S86" s="14">
        <f>IF(AND($D86&gt;=S$7,$D86&lt;=S$8),S$9,0)</f>
        <v>0</v>
      </c>
      <c r="T86" s="14">
        <f>IF(AND($D86&gt;=T$7,$D86&lt;=T$8),T$9,0)</f>
        <v>0</v>
      </c>
      <c r="U86" s="14">
        <f>IF(AND($D86&gt;=U$7,$D86&lt;=U$8),U$9,0)</f>
        <v>0</v>
      </c>
      <c r="V86" s="15">
        <f>IF(AND($D86&gt;=V$7,$D86&lt;=V$8),V$9,0)</f>
        <v>0</v>
      </c>
      <c r="W86" s="16">
        <f>SUM(R86:V86)</f>
        <v>0</v>
      </c>
      <c r="Y86" s="8">
        <f>IF(D86&gt;=550,1,0)</f>
        <v>0</v>
      </c>
    </row>
    <row r="87" spans="1:25" hidden="1" x14ac:dyDescent="0.2">
      <c r="A87" s="102"/>
      <c r="B87" s="143"/>
      <c r="C87" s="144"/>
      <c r="D87" s="145"/>
      <c r="E87" s="69"/>
      <c r="F87" s="148"/>
      <c r="G87" s="148"/>
      <c r="H87" s="40" t="str">
        <f>IF(Q86&gt;0,"",(F86/1000)/G86)</f>
        <v/>
      </c>
      <c r="I87" s="86"/>
      <c r="J87" s="65"/>
      <c r="K87" s="27"/>
      <c r="L87" s="86"/>
      <c r="N87" s="4"/>
      <c r="O87" s="23" t="s">
        <v>12</v>
      </c>
      <c r="P87" s="23" t="s">
        <v>12</v>
      </c>
      <c r="Q87" s="9" t="str">
        <f>IF(P88="nb","nb",IF(W86=0,"nb",INDEX(R88:V88,MATCH(1,Q88,0),MATCH(1,R87:V87,0))))</f>
        <v>nb</v>
      </c>
      <c r="R87" s="64">
        <f>IF(AND($D86&gt;=R$7,$D86&lt;=R$8),1,0)</f>
        <v>0</v>
      </c>
      <c r="S87" s="64">
        <f>IF(AND($D86&gt;=S$7,$D86&lt;=S$8),1,0)</f>
        <v>0</v>
      </c>
      <c r="T87" s="64">
        <f>IF(AND($D86&gt;=T$7,$D86&lt;=T$8),1,0)</f>
        <v>0</v>
      </c>
      <c r="U87" s="64">
        <f>IF(AND($D86&gt;=U$7,$D86&lt;=U$8),1,0)</f>
        <v>0</v>
      </c>
      <c r="V87" s="64">
        <f>IF(AND($D86&gt;=V$7,$D86&lt;=V$8),1,0)</f>
        <v>0</v>
      </c>
      <c r="W87" s="57">
        <f>COUNTBLANK(B86:D86)</f>
        <v>3</v>
      </c>
    </row>
    <row r="88" spans="1:25" hidden="1" x14ac:dyDescent="0.2">
      <c r="A88" s="102"/>
      <c r="B88" s="146"/>
      <c r="C88" s="147"/>
      <c r="D88" s="141"/>
      <c r="E88" s="27"/>
      <c r="F88" s="139"/>
      <c r="G88" s="139"/>
      <c r="H88" s="41"/>
      <c r="I88" s="86"/>
      <c r="J88" s="43"/>
      <c r="K88" s="27"/>
      <c r="L88" s="86"/>
      <c r="N88" s="4"/>
      <c r="O88" s="3">
        <v>500</v>
      </c>
      <c r="P88" s="3" t="str">
        <f>IF(B86&lt;=O88,"nb",B86)</f>
        <v>nb</v>
      </c>
      <c r="Q88" s="3">
        <v>1</v>
      </c>
      <c r="R88" s="17">
        <f>$G$117</f>
        <v>2.4</v>
      </c>
      <c r="S88" s="17">
        <f>$H$117</f>
        <v>2.6</v>
      </c>
      <c r="T88" s="17">
        <f>$I$117</f>
        <v>2.7</v>
      </c>
      <c r="U88" s="17">
        <f>$J$117</f>
        <v>2.8</v>
      </c>
      <c r="V88" s="17">
        <f>$K$117</f>
        <v>3</v>
      </c>
    </row>
    <row r="89" spans="1:25" ht="6" customHeight="1" x14ac:dyDescent="0.2">
      <c r="A89" s="102"/>
      <c r="B89" s="146"/>
      <c r="C89" s="147"/>
      <c r="D89" s="141"/>
      <c r="E89" s="27"/>
      <c r="F89" s="139"/>
      <c r="G89" s="139"/>
      <c r="H89" s="41"/>
      <c r="I89" s="86"/>
      <c r="J89" s="43"/>
      <c r="K89" s="27"/>
      <c r="L89" s="86"/>
      <c r="N89" s="4"/>
    </row>
    <row r="90" spans="1:25" ht="18" customHeight="1" x14ac:dyDescent="0.2">
      <c r="A90" s="102"/>
      <c r="B90" s="151"/>
      <c r="C90" s="152"/>
      <c r="D90" s="70"/>
      <c r="E90" s="38" t="str">
        <f>IF(W90=0," ",W90)</f>
        <v xml:space="preserve"> </v>
      </c>
      <c r="F90" s="36"/>
      <c r="G90" s="36"/>
      <c r="H90" s="40" t="str">
        <f>IF(H91="","",ROUND(H91,1))</f>
        <v/>
      </c>
      <c r="I90" s="86"/>
      <c r="J90" s="42" t="str">
        <f>IF(W91=1,Q91,"")</f>
        <v/>
      </c>
      <c r="K90" s="39" t="str">
        <f>IF(P90=1,IF(H90&gt;=J90,"Ja","Nee"),"")</f>
        <v/>
      </c>
      <c r="L90" s="86"/>
      <c r="N90" s="4"/>
      <c r="O90" s="3">
        <f>COUNTBLANK(B90:G90)-1</f>
        <v>4</v>
      </c>
      <c r="P90" s="3">
        <f>IF(O90=0,1,0)</f>
        <v>0</v>
      </c>
      <c r="Q90" s="68">
        <f>COUNTBLANK(E90:G90)</f>
        <v>2</v>
      </c>
      <c r="R90" s="13">
        <f>IF(AND($D90&gt;=R$7,$D90&lt;=R$8),R$9,0)</f>
        <v>0</v>
      </c>
      <c r="S90" s="14">
        <f>IF(AND($D90&gt;=S$7,$D90&lt;=S$8),S$9,0)</f>
        <v>0</v>
      </c>
      <c r="T90" s="14">
        <f>IF(AND($D90&gt;=T$7,$D90&lt;=T$8),T$9,0)</f>
        <v>0</v>
      </c>
      <c r="U90" s="14">
        <f>IF(AND($D90&gt;=U$7,$D90&lt;=U$8),U$9,0)</f>
        <v>0</v>
      </c>
      <c r="V90" s="15">
        <f>IF(AND($D90&gt;=V$7,$D90&lt;=V$8),V$9,0)</f>
        <v>0</v>
      </c>
      <c r="W90" s="16">
        <f>SUM(R90:V90)</f>
        <v>0</v>
      </c>
      <c r="Y90" s="8">
        <f>IF(D90&gt;=550,1,0)</f>
        <v>0</v>
      </c>
    </row>
    <row r="91" spans="1:25" hidden="1" x14ac:dyDescent="0.2">
      <c r="A91" s="102"/>
      <c r="B91" s="143"/>
      <c r="C91" s="144"/>
      <c r="D91" s="145"/>
      <c r="E91" s="69"/>
      <c r="F91" s="148"/>
      <c r="G91" s="148"/>
      <c r="H91" s="40" t="str">
        <f>IF(Q90&gt;0,"",(F90/1000)/G90)</f>
        <v/>
      </c>
      <c r="I91" s="86"/>
      <c r="J91" s="65"/>
      <c r="K91" s="27"/>
      <c r="L91" s="86"/>
      <c r="N91" s="4"/>
      <c r="O91" s="23" t="s">
        <v>12</v>
      </c>
      <c r="P91" s="23" t="s">
        <v>12</v>
      </c>
      <c r="Q91" s="9" t="str">
        <f>IF(P92="nb","nb",IF(W90=0,"nb",INDEX(R92:V92,MATCH(1,Q92,0),MATCH(1,R91:V91,0))))</f>
        <v>nb</v>
      </c>
      <c r="R91" s="64">
        <f>IF(AND($D90&gt;=R$7,$D90&lt;=R$8),1,0)</f>
        <v>0</v>
      </c>
      <c r="S91" s="64">
        <f>IF(AND($D90&gt;=S$7,$D90&lt;=S$8),1,0)</f>
        <v>0</v>
      </c>
      <c r="T91" s="64">
        <f>IF(AND($D90&gt;=T$7,$D90&lt;=T$8),1,0)</f>
        <v>0</v>
      </c>
      <c r="U91" s="64">
        <f>IF(AND($D90&gt;=U$7,$D90&lt;=U$8),1,0)</f>
        <v>0</v>
      </c>
      <c r="V91" s="64">
        <f>IF(AND($D90&gt;=V$7,$D90&lt;=V$8),1,0)</f>
        <v>0</v>
      </c>
      <c r="W91" s="57">
        <f>COUNTBLANK(B90:D90)</f>
        <v>3</v>
      </c>
    </row>
    <row r="92" spans="1:25" hidden="1" x14ac:dyDescent="0.2">
      <c r="A92" s="102"/>
      <c r="B92" s="146"/>
      <c r="C92" s="147"/>
      <c r="D92" s="141"/>
      <c r="E92" s="27"/>
      <c r="F92" s="139"/>
      <c r="G92" s="139"/>
      <c r="H92" s="41"/>
      <c r="I92" s="86"/>
      <c r="J92" s="43"/>
      <c r="K92" s="27"/>
      <c r="L92" s="86"/>
      <c r="N92" s="4"/>
      <c r="O92" s="3">
        <v>500</v>
      </c>
      <c r="P92" s="3" t="str">
        <f>IF(B90&lt;=O92,"nb",B90)</f>
        <v>nb</v>
      </c>
      <c r="Q92" s="3">
        <v>1</v>
      </c>
      <c r="R92" s="17">
        <f>$G$117</f>
        <v>2.4</v>
      </c>
      <c r="S92" s="17">
        <f>$H$117</f>
        <v>2.6</v>
      </c>
      <c r="T92" s="17">
        <f>$I$117</f>
        <v>2.7</v>
      </c>
      <c r="U92" s="17">
        <f>$J$117</f>
        <v>2.8</v>
      </c>
      <c r="V92" s="17">
        <f>$K$117</f>
        <v>3</v>
      </c>
    </row>
    <row r="93" spans="1:25" ht="6" customHeight="1" x14ac:dyDescent="0.2">
      <c r="A93" s="102"/>
      <c r="B93" s="146"/>
      <c r="C93" s="147"/>
      <c r="D93" s="141"/>
      <c r="E93" s="27"/>
      <c r="F93" s="139"/>
      <c r="G93" s="139"/>
      <c r="H93" s="41"/>
      <c r="I93" s="86"/>
      <c r="J93" s="43"/>
      <c r="K93" s="27"/>
      <c r="L93" s="86"/>
      <c r="N93" s="4"/>
    </row>
    <row r="94" spans="1:25" ht="18" customHeight="1" x14ac:dyDescent="0.2">
      <c r="A94" s="102"/>
      <c r="B94" s="151"/>
      <c r="C94" s="152"/>
      <c r="D94" s="70"/>
      <c r="E94" s="38" t="str">
        <f>IF(W94=0," ",W94)</f>
        <v xml:space="preserve"> </v>
      </c>
      <c r="F94" s="36"/>
      <c r="G94" s="36"/>
      <c r="H94" s="40" t="str">
        <f>IF(H95="","",ROUND(H95,1))</f>
        <v/>
      </c>
      <c r="I94" s="86"/>
      <c r="J94" s="42" t="str">
        <f>IF(W95=1,Q95,"")</f>
        <v/>
      </c>
      <c r="K94" s="39" t="str">
        <f>IF(P94=1,IF(H94&gt;=J94,"Ja","Nee"),"")</f>
        <v/>
      </c>
      <c r="L94" s="86"/>
      <c r="N94" s="4"/>
      <c r="O94" s="3">
        <f>COUNTBLANK(B94:G94)-1</f>
        <v>4</v>
      </c>
      <c r="P94" s="3">
        <f>IF(O94=0,1,0)</f>
        <v>0</v>
      </c>
      <c r="Q94" s="68">
        <f>COUNTBLANK(E94:G94)</f>
        <v>2</v>
      </c>
      <c r="R94" s="13">
        <f>IF(AND($D94&gt;=R$7,$D94&lt;=R$8),R$9,0)</f>
        <v>0</v>
      </c>
      <c r="S94" s="14">
        <f>IF(AND($D94&gt;=S$7,$D94&lt;=S$8),S$9,0)</f>
        <v>0</v>
      </c>
      <c r="T94" s="14">
        <f>IF(AND($D94&gt;=T$7,$D94&lt;=T$8),T$9,0)</f>
        <v>0</v>
      </c>
      <c r="U94" s="14">
        <f>IF(AND($D94&gt;=U$7,$D94&lt;=U$8),U$9,0)</f>
        <v>0</v>
      </c>
      <c r="V94" s="15">
        <f>IF(AND($D94&gt;=V$7,$D94&lt;=V$8),V$9,0)</f>
        <v>0</v>
      </c>
      <c r="W94" s="16">
        <f>SUM(R94:V94)</f>
        <v>0</v>
      </c>
      <c r="Y94" s="8">
        <f>IF(D94&gt;=550,1,0)</f>
        <v>0</v>
      </c>
    </row>
    <row r="95" spans="1:25" hidden="1" x14ac:dyDescent="0.2">
      <c r="A95" s="102"/>
      <c r="B95" s="143"/>
      <c r="C95" s="144"/>
      <c r="D95" s="145"/>
      <c r="E95" s="69"/>
      <c r="F95" s="148"/>
      <c r="G95" s="148"/>
      <c r="H95" s="40" t="str">
        <f>IF(Q94&gt;0,"",(F94/1000)/G94)</f>
        <v/>
      </c>
      <c r="I95" s="86"/>
      <c r="J95" s="65"/>
      <c r="K95" s="27"/>
      <c r="L95" s="86"/>
      <c r="N95" s="4"/>
      <c r="O95" s="23" t="s">
        <v>12</v>
      </c>
      <c r="P95" s="23" t="s">
        <v>12</v>
      </c>
      <c r="Q95" s="9" t="str">
        <f>IF(P96="nb","nb",IF(W94=0,"nb",INDEX(R96:V96,MATCH(1,Q96,0),MATCH(1,R95:V95,0))))</f>
        <v>nb</v>
      </c>
      <c r="R95" s="64">
        <f>IF(AND($D94&gt;=R$7,$D94&lt;=R$8),1,0)</f>
        <v>0</v>
      </c>
      <c r="S95" s="64">
        <f>IF(AND($D94&gt;=S$7,$D94&lt;=S$8),1,0)</f>
        <v>0</v>
      </c>
      <c r="T95" s="64">
        <f>IF(AND($D94&gt;=T$7,$D94&lt;=T$8),1,0)</f>
        <v>0</v>
      </c>
      <c r="U95" s="64">
        <f>IF(AND($D94&gt;=U$7,$D94&lt;=U$8),1,0)</f>
        <v>0</v>
      </c>
      <c r="V95" s="64">
        <f>IF(AND($D94&gt;=V$7,$D94&lt;=V$8),1,0)</f>
        <v>0</v>
      </c>
      <c r="W95" s="57">
        <f>COUNTBLANK(B94:D94)</f>
        <v>3</v>
      </c>
    </row>
    <row r="96" spans="1:25" hidden="1" x14ac:dyDescent="0.2">
      <c r="A96" s="102"/>
      <c r="B96" s="146"/>
      <c r="C96" s="147"/>
      <c r="D96" s="141"/>
      <c r="E96" s="27"/>
      <c r="F96" s="139"/>
      <c r="G96" s="139"/>
      <c r="H96" s="41"/>
      <c r="I96" s="86"/>
      <c r="J96" s="43"/>
      <c r="K96" s="27"/>
      <c r="L96" s="86"/>
      <c r="N96" s="4"/>
      <c r="O96" s="3">
        <v>500</v>
      </c>
      <c r="P96" s="3" t="str">
        <f>IF(B94&lt;=O96,"nb",B94)</f>
        <v>nb</v>
      </c>
      <c r="Q96" s="3">
        <v>1</v>
      </c>
      <c r="R96" s="17">
        <f>$G$117</f>
        <v>2.4</v>
      </c>
      <c r="S96" s="17">
        <f>$H$117</f>
        <v>2.6</v>
      </c>
      <c r="T96" s="17">
        <f>$I$117</f>
        <v>2.7</v>
      </c>
      <c r="U96" s="17">
        <f>$J$117</f>
        <v>2.8</v>
      </c>
      <c r="V96" s="17">
        <f>$K$117</f>
        <v>3</v>
      </c>
    </row>
    <row r="97" spans="1:25" ht="6" customHeight="1" x14ac:dyDescent="0.2">
      <c r="A97" s="102"/>
      <c r="B97" s="146"/>
      <c r="C97" s="147"/>
      <c r="D97" s="141"/>
      <c r="E97" s="27"/>
      <c r="F97" s="139"/>
      <c r="G97" s="139"/>
      <c r="H97" s="41"/>
      <c r="I97" s="86"/>
      <c r="J97" s="43"/>
      <c r="K97" s="27"/>
      <c r="L97" s="86"/>
      <c r="N97" s="4"/>
    </row>
    <row r="98" spans="1:25" ht="18" customHeight="1" x14ac:dyDescent="0.2">
      <c r="A98" s="102"/>
      <c r="B98" s="151"/>
      <c r="C98" s="152"/>
      <c r="D98" s="70"/>
      <c r="E98" s="38" t="str">
        <f>IF(W98=0," ",W98)</f>
        <v xml:space="preserve"> </v>
      </c>
      <c r="F98" s="36"/>
      <c r="G98" s="36"/>
      <c r="H98" s="40" t="str">
        <f>IF(H99="","",ROUND(H99,1))</f>
        <v/>
      </c>
      <c r="I98" s="86"/>
      <c r="J98" s="42" t="str">
        <f>IF(W99=1,Q99,"")</f>
        <v/>
      </c>
      <c r="K98" s="39" t="str">
        <f>IF(P98=1,IF(H98&gt;=J98,"Ja","Nee"),"")</f>
        <v/>
      </c>
      <c r="L98" s="86"/>
      <c r="N98" s="4"/>
      <c r="O98" s="3">
        <f>COUNTBLANK(B98:G98)-1</f>
        <v>4</v>
      </c>
      <c r="P98" s="3">
        <f>IF(O98=0,1,0)</f>
        <v>0</v>
      </c>
      <c r="Q98" s="68">
        <f>COUNTBLANK(E98:G98)</f>
        <v>2</v>
      </c>
      <c r="R98" s="13">
        <f>IF(AND($D98&gt;=R$7,$D98&lt;=R$8),R$9,0)</f>
        <v>0</v>
      </c>
      <c r="S98" s="14">
        <f>IF(AND($D98&gt;=S$7,$D98&lt;=S$8),S$9,0)</f>
        <v>0</v>
      </c>
      <c r="T98" s="14">
        <f>IF(AND($D98&gt;=T$7,$D98&lt;=T$8),T$9,0)</f>
        <v>0</v>
      </c>
      <c r="U98" s="14">
        <f>IF(AND($D98&gt;=U$7,$D98&lt;=U$8),U$9,0)</f>
        <v>0</v>
      </c>
      <c r="V98" s="15">
        <f>IF(AND($D98&gt;=V$7,$D98&lt;=V$8),V$9,0)</f>
        <v>0</v>
      </c>
      <c r="W98" s="16">
        <f>SUM(R98:V98)</f>
        <v>0</v>
      </c>
      <c r="Y98" s="8">
        <f>IF(D98&gt;=550,1,0)</f>
        <v>0</v>
      </c>
    </row>
    <row r="99" spans="1:25" hidden="1" x14ac:dyDescent="0.2">
      <c r="A99" s="102"/>
      <c r="B99" s="143"/>
      <c r="C99" s="144"/>
      <c r="D99" s="145"/>
      <c r="E99" s="69"/>
      <c r="F99" s="148"/>
      <c r="G99" s="148"/>
      <c r="H99" s="40" t="str">
        <f>IF(Q98&gt;0,"",(F98/1000)/G98)</f>
        <v/>
      </c>
      <c r="I99" s="86"/>
      <c r="J99" s="65"/>
      <c r="K99" s="27"/>
      <c r="L99" s="86"/>
      <c r="N99" s="4"/>
      <c r="O99" s="23" t="s">
        <v>12</v>
      </c>
      <c r="P99" s="23" t="s">
        <v>12</v>
      </c>
      <c r="Q99" s="9" t="str">
        <f>IF(P100="nb","nb",IF(W98=0,"nb",INDEX(R100:V100,MATCH(1,Q100,0),MATCH(1,R99:V99,0))))</f>
        <v>nb</v>
      </c>
      <c r="R99" s="64">
        <f>IF(AND($D98&gt;=R$7,$D98&lt;=R$8),1,0)</f>
        <v>0</v>
      </c>
      <c r="S99" s="64">
        <f>IF(AND($D98&gt;=S$7,$D98&lt;=S$8),1,0)</f>
        <v>0</v>
      </c>
      <c r="T99" s="64">
        <f>IF(AND($D98&gt;=T$7,$D98&lt;=T$8),1,0)</f>
        <v>0</v>
      </c>
      <c r="U99" s="64">
        <f>IF(AND($D98&gt;=U$7,$D98&lt;=U$8),1,0)</f>
        <v>0</v>
      </c>
      <c r="V99" s="64">
        <f>IF(AND($D98&gt;=V$7,$D98&lt;=V$8),1,0)</f>
        <v>0</v>
      </c>
      <c r="W99" s="57">
        <f>COUNTBLANK(B98:D98)</f>
        <v>3</v>
      </c>
    </row>
    <row r="100" spans="1:25" hidden="1" x14ac:dyDescent="0.2">
      <c r="A100" s="102"/>
      <c r="B100" s="146"/>
      <c r="C100" s="147"/>
      <c r="D100" s="141"/>
      <c r="E100" s="27"/>
      <c r="F100" s="139"/>
      <c r="G100" s="139"/>
      <c r="H100" s="41"/>
      <c r="I100" s="86"/>
      <c r="J100" s="43"/>
      <c r="K100" s="27"/>
      <c r="L100" s="86"/>
      <c r="N100" s="4"/>
      <c r="O100" s="3">
        <v>500</v>
      </c>
      <c r="P100" s="3" t="str">
        <f>IF(B98&lt;=O100,"nb",B98)</f>
        <v>nb</v>
      </c>
      <c r="Q100" s="3">
        <v>1</v>
      </c>
      <c r="R100" s="17">
        <f>$G$117</f>
        <v>2.4</v>
      </c>
      <c r="S100" s="17">
        <f>$H$117</f>
        <v>2.6</v>
      </c>
      <c r="T100" s="17">
        <f>$I$117</f>
        <v>2.7</v>
      </c>
      <c r="U100" s="17">
        <f>$J$117</f>
        <v>2.8</v>
      </c>
      <c r="V100" s="17">
        <f>$K$117</f>
        <v>3</v>
      </c>
    </row>
    <row r="101" spans="1:25" ht="6" customHeight="1" x14ac:dyDescent="0.2">
      <c r="A101" s="102"/>
      <c r="B101" s="146"/>
      <c r="C101" s="147"/>
      <c r="D101" s="141"/>
      <c r="E101" s="27"/>
      <c r="F101" s="139"/>
      <c r="G101" s="139"/>
      <c r="H101" s="41"/>
      <c r="I101" s="86"/>
      <c r="J101" s="43"/>
      <c r="K101" s="27"/>
      <c r="L101" s="86"/>
      <c r="N101" s="4"/>
    </row>
    <row r="102" spans="1:25" ht="18" customHeight="1" x14ac:dyDescent="0.2">
      <c r="A102" s="102"/>
      <c r="B102" s="151"/>
      <c r="C102" s="152"/>
      <c r="D102" s="70"/>
      <c r="E102" s="38" t="str">
        <f>IF(W102=0," ",W102)</f>
        <v xml:space="preserve"> </v>
      </c>
      <c r="F102" s="36"/>
      <c r="G102" s="36"/>
      <c r="H102" s="40" t="str">
        <f>IF(H103="","",ROUND(H103,1))</f>
        <v/>
      </c>
      <c r="I102" s="86"/>
      <c r="J102" s="42" t="str">
        <f>IF(W103=1,Q103,"")</f>
        <v/>
      </c>
      <c r="K102" s="39" t="str">
        <f>IF(P102=1,IF(H102&gt;=J102,"Ja","Nee"),"")</f>
        <v/>
      </c>
      <c r="L102" s="86"/>
      <c r="N102" s="4"/>
      <c r="O102" s="3">
        <f>COUNTBLANK(B102:G102)-1</f>
        <v>4</v>
      </c>
      <c r="P102" s="3">
        <f>IF(O102=0,1,0)</f>
        <v>0</v>
      </c>
      <c r="Q102" s="68">
        <f>COUNTBLANK(E102:G102)</f>
        <v>2</v>
      </c>
      <c r="R102" s="13">
        <f>IF(AND($D102&gt;=R$7,$D102&lt;=R$8),R$9,0)</f>
        <v>0</v>
      </c>
      <c r="S102" s="14">
        <f>IF(AND($D102&gt;=S$7,$D102&lt;=S$8),S$9,0)</f>
        <v>0</v>
      </c>
      <c r="T102" s="14">
        <f>IF(AND($D102&gt;=T$7,$D102&lt;=T$8),T$9,0)</f>
        <v>0</v>
      </c>
      <c r="U102" s="14">
        <f>IF(AND($D102&gt;=U$7,$D102&lt;=U$8),U$9,0)</f>
        <v>0</v>
      </c>
      <c r="V102" s="15">
        <f>IF(AND($D102&gt;=V$7,$D102&lt;=V$8),V$9,0)</f>
        <v>0</v>
      </c>
      <c r="W102" s="16">
        <f>SUM(R102:V102)</f>
        <v>0</v>
      </c>
      <c r="Y102" s="8">
        <f>IF(D102&gt;=550,1,0)</f>
        <v>0</v>
      </c>
    </row>
    <row r="103" spans="1:25" hidden="1" x14ac:dyDescent="0.2">
      <c r="A103" s="102"/>
      <c r="B103" s="104"/>
      <c r="C103" s="66"/>
      <c r="D103" s="67"/>
      <c r="E103" s="69"/>
      <c r="F103" s="69"/>
      <c r="G103" s="69"/>
      <c r="H103" s="39" t="str">
        <f>IF(Q102&gt;0,"",(F102/1000)/G102)</f>
        <v/>
      </c>
      <c r="I103" s="86"/>
      <c r="J103" s="65"/>
      <c r="K103" s="27"/>
      <c r="L103" s="86"/>
      <c r="N103" s="4"/>
      <c r="O103" s="23" t="s">
        <v>12</v>
      </c>
      <c r="P103" s="23" t="s">
        <v>12</v>
      </c>
      <c r="Q103" s="9" t="str">
        <f>IF(P104="nb","nb",IF(W102=0,"nb",INDEX(R104:V104,MATCH(1,Q104,0),MATCH(1,R103:V103,0))))</f>
        <v>nb</v>
      </c>
      <c r="R103" s="64">
        <f>IF(AND($D102&gt;=R$7,$D102&lt;=R$8),1,0)</f>
        <v>0</v>
      </c>
      <c r="S103" s="64">
        <f>IF(AND($D102&gt;=S$7,$D102&lt;=S$8),1,0)</f>
        <v>0</v>
      </c>
      <c r="T103" s="64">
        <f>IF(AND($D102&gt;=T$7,$D102&lt;=T$8),1,0)</f>
        <v>0</v>
      </c>
      <c r="U103" s="64">
        <f>IF(AND($D102&gt;=U$7,$D102&lt;=U$8),1,0)</f>
        <v>0</v>
      </c>
      <c r="V103" s="64">
        <f>IF(AND($D102&gt;=V$7,$D102&lt;=V$8),1,0)</f>
        <v>0</v>
      </c>
      <c r="W103" s="57">
        <f>COUNTBLANK(B102:D102)</f>
        <v>3</v>
      </c>
    </row>
    <row r="104" spans="1:25" hidden="1" x14ac:dyDescent="0.2">
      <c r="A104" s="102"/>
      <c r="B104" s="88"/>
      <c r="C104" s="28"/>
      <c r="D104" s="27"/>
      <c r="E104" s="27"/>
      <c r="F104" s="27"/>
      <c r="G104" s="27"/>
      <c r="H104" s="27"/>
      <c r="I104" s="86"/>
      <c r="J104" s="43"/>
      <c r="K104" s="27"/>
      <c r="L104" s="86"/>
      <c r="N104" s="4"/>
      <c r="O104" s="3">
        <v>500</v>
      </c>
      <c r="P104" s="3" t="str">
        <f>IF(B102&lt;=O104,"nb",B102)</f>
        <v>nb</v>
      </c>
      <c r="Q104" s="3">
        <v>1</v>
      </c>
      <c r="R104" s="17">
        <f>$G$117</f>
        <v>2.4</v>
      </c>
      <c r="S104" s="17">
        <f>$H$117</f>
        <v>2.6</v>
      </c>
      <c r="T104" s="17">
        <f>$I$117</f>
        <v>2.7</v>
      </c>
      <c r="U104" s="17">
        <f>$J$117</f>
        <v>2.8</v>
      </c>
      <c r="V104" s="17">
        <f>$K$117</f>
        <v>3</v>
      </c>
    </row>
    <row r="105" spans="1:25" ht="18.75" customHeight="1" x14ac:dyDescent="0.2">
      <c r="A105" s="86"/>
      <c r="B105" s="86"/>
      <c r="C105" s="28"/>
      <c r="D105" s="27"/>
      <c r="E105" s="27"/>
      <c r="F105" s="27"/>
      <c r="G105" s="27"/>
      <c r="H105" s="27"/>
      <c r="I105" s="27"/>
      <c r="J105" s="43"/>
      <c r="K105" s="27"/>
      <c r="L105" s="86"/>
      <c r="N105" s="4"/>
      <c r="O105" s="3"/>
      <c r="P105" s="3"/>
      <c r="Q105" s="3"/>
      <c r="R105" s="17"/>
      <c r="S105" s="17"/>
      <c r="T105" s="17"/>
      <c r="U105" s="17"/>
      <c r="V105" s="17"/>
    </row>
    <row r="106" spans="1:25" ht="0.75" customHeight="1" x14ac:dyDescent="0.2">
      <c r="A106" s="86"/>
      <c r="B106" s="86"/>
      <c r="C106" s="28"/>
      <c r="D106" s="33"/>
      <c r="E106" s="27"/>
      <c r="F106" s="27"/>
      <c r="G106" s="27"/>
      <c r="H106" s="27"/>
      <c r="I106" s="27"/>
      <c r="J106" s="28"/>
      <c r="K106" s="27"/>
      <c r="L106" s="86"/>
      <c r="N106" s="4"/>
      <c r="O106" s="3"/>
      <c r="P106" s="3"/>
      <c r="Q106" s="3"/>
      <c r="R106" s="17"/>
      <c r="S106" s="17"/>
      <c r="T106" s="17"/>
      <c r="U106" s="17"/>
      <c r="V106" s="17"/>
      <c r="Y106" s="3">
        <f>SUM(Y86:Y104)</f>
        <v>0</v>
      </c>
    </row>
    <row r="107" spans="1:25" ht="30.75" customHeight="1" x14ac:dyDescent="0.35">
      <c r="A107" s="86"/>
      <c r="B107" s="105" t="s">
        <v>30</v>
      </c>
      <c r="C107" s="86"/>
      <c r="D107" s="86"/>
      <c r="E107" s="86"/>
      <c r="F107" s="86"/>
      <c r="G107" s="86"/>
      <c r="H107" s="86"/>
      <c r="I107" s="86"/>
      <c r="J107" s="88"/>
      <c r="K107" s="86"/>
      <c r="L107" s="86"/>
      <c r="N107" s="4"/>
      <c r="O107" s="3"/>
      <c r="P107" s="3"/>
      <c r="Q107" s="3"/>
      <c r="R107" s="3"/>
      <c r="S107" s="3"/>
      <c r="T107" s="3"/>
      <c r="U107" s="3"/>
      <c r="V107" s="3"/>
    </row>
    <row r="108" spans="1:25" ht="6" customHeight="1" x14ac:dyDescent="0.2">
      <c r="A108" s="86"/>
      <c r="B108" s="86"/>
      <c r="C108" s="88"/>
      <c r="D108" s="86"/>
      <c r="E108" s="86"/>
      <c r="F108" s="86"/>
      <c r="G108" s="86"/>
      <c r="H108" s="86"/>
      <c r="I108" s="86"/>
      <c r="J108" s="88"/>
      <c r="K108" s="86"/>
      <c r="L108" s="86"/>
      <c r="N108" s="4"/>
      <c r="O108" s="3"/>
      <c r="P108" s="3"/>
      <c r="Q108" s="3"/>
      <c r="R108" s="3"/>
      <c r="S108" s="3"/>
      <c r="T108" s="3"/>
      <c r="U108" s="3"/>
      <c r="V108" s="3"/>
    </row>
    <row r="109" spans="1:25" ht="15" customHeight="1" x14ac:dyDescent="0.25">
      <c r="A109" s="86"/>
      <c r="B109" s="106" t="s">
        <v>12</v>
      </c>
      <c r="C109" s="106" t="s">
        <v>23</v>
      </c>
      <c r="D109" s="86"/>
      <c r="E109" s="86"/>
      <c r="F109" s="86"/>
      <c r="G109" s="159" t="s">
        <v>32</v>
      </c>
      <c r="H109" s="160"/>
      <c r="I109" s="160"/>
      <c r="J109" s="160"/>
      <c r="K109" s="161"/>
      <c r="L109" s="86"/>
      <c r="N109" s="4"/>
      <c r="O109" s="3"/>
      <c r="P109" s="3"/>
      <c r="Q109" s="3"/>
      <c r="R109" s="3"/>
      <c r="S109" s="3"/>
      <c r="T109" s="3"/>
      <c r="U109" s="3"/>
      <c r="V109" s="3"/>
    </row>
    <row r="110" spans="1:25" ht="15" customHeight="1" x14ac:dyDescent="0.2">
      <c r="A110" s="86"/>
      <c r="B110" s="107">
        <v>40</v>
      </c>
      <c r="C110" s="108">
        <v>48.3</v>
      </c>
      <c r="D110" s="109"/>
      <c r="E110" s="149" t="s">
        <v>6</v>
      </c>
      <c r="F110" s="150"/>
      <c r="G110" s="110" t="s">
        <v>33</v>
      </c>
      <c r="H110" s="110" t="s">
        <v>34</v>
      </c>
      <c r="I110" s="111" t="s">
        <v>35</v>
      </c>
      <c r="J110" s="110" t="s">
        <v>36</v>
      </c>
      <c r="K110" s="110" t="s">
        <v>37</v>
      </c>
      <c r="L110" s="86"/>
      <c r="N110" s="4"/>
      <c r="O110" s="3"/>
      <c r="P110" s="3"/>
      <c r="Q110" s="3"/>
      <c r="R110" s="3"/>
      <c r="S110" s="3"/>
      <c r="T110" s="3"/>
      <c r="U110" s="3"/>
      <c r="V110" s="3"/>
    </row>
    <row r="111" spans="1:25" x14ac:dyDescent="0.2">
      <c r="A111" s="86"/>
      <c r="B111" s="112">
        <v>50</v>
      </c>
      <c r="C111" s="113">
        <v>60.3</v>
      </c>
      <c r="D111" s="109"/>
      <c r="E111" s="86"/>
      <c r="F111" s="114"/>
      <c r="G111" s="110" t="s">
        <v>38</v>
      </c>
      <c r="H111" s="110" t="s">
        <v>39</v>
      </c>
      <c r="I111" s="111" t="s">
        <v>40</v>
      </c>
      <c r="J111" s="110" t="s">
        <v>41</v>
      </c>
      <c r="K111" s="110" t="s">
        <v>42</v>
      </c>
      <c r="L111" s="86"/>
      <c r="N111" s="4"/>
      <c r="O111" s="3"/>
      <c r="P111" s="3"/>
      <c r="Q111" s="3"/>
      <c r="R111" s="3"/>
      <c r="S111" s="3"/>
      <c r="T111" s="3"/>
      <c r="U111" s="3"/>
      <c r="V111" s="3"/>
    </row>
    <row r="112" spans="1:25" x14ac:dyDescent="0.2">
      <c r="A112" s="86"/>
      <c r="B112" s="112">
        <v>65</v>
      </c>
      <c r="C112" s="113">
        <v>73</v>
      </c>
      <c r="D112" s="109"/>
      <c r="E112" s="86"/>
      <c r="F112" s="115" t="s">
        <v>24</v>
      </c>
      <c r="G112" s="116" t="s">
        <v>33</v>
      </c>
      <c r="H112" s="116" t="s">
        <v>43</v>
      </c>
      <c r="I112" s="117" t="s">
        <v>44</v>
      </c>
      <c r="J112" s="116" t="s">
        <v>44</v>
      </c>
      <c r="K112" s="116" t="s">
        <v>45</v>
      </c>
      <c r="L112" s="86"/>
      <c r="N112" s="4"/>
      <c r="O112" s="3"/>
      <c r="P112" s="3"/>
      <c r="Q112" s="3"/>
      <c r="R112" s="3"/>
      <c r="S112" s="3"/>
      <c r="T112" s="3"/>
      <c r="U112" s="3"/>
      <c r="V112" s="3"/>
    </row>
    <row r="113" spans="1:22" x14ac:dyDescent="0.2">
      <c r="A113" s="86"/>
      <c r="B113" s="112">
        <v>80</v>
      </c>
      <c r="C113" s="113">
        <v>88.9</v>
      </c>
      <c r="D113" s="109"/>
      <c r="E113" s="86"/>
      <c r="F113" s="115" t="s">
        <v>8</v>
      </c>
      <c r="G113" s="118">
        <v>3.4</v>
      </c>
      <c r="H113" s="119">
        <v>3.7</v>
      </c>
      <c r="I113" s="120">
        <v>3.4</v>
      </c>
      <c r="J113" s="119">
        <v>3.6</v>
      </c>
      <c r="K113" s="121">
        <v>2.7</v>
      </c>
      <c r="L113" s="86"/>
      <c r="N113" s="4"/>
      <c r="O113" s="3"/>
      <c r="P113" s="3"/>
      <c r="Q113" s="3"/>
      <c r="R113" s="3"/>
      <c r="S113" s="3"/>
      <c r="T113" s="3"/>
      <c r="U113" s="3"/>
      <c r="V113" s="3"/>
    </row>
    <row r="114" spans="1:22" x14ac:dyDescent="0.2">
      <c r="A114" s="86"/>
      <c r="B114" s="112">
        <v>100</v>
      </c>
      <c r="C114" s="113">
        <v>114.3</v>
      </c>
      <c r="D114" s="109"/>
      <c r="E114" s="86"/>
      <c r="F114" s="115" t="s">
        <v>9</v>
      </c>
      <c r="G114" s="122">
        <v>2.5</v>
      </c>
      <c r="H114" s="123">
        <v>2.8</v>
      </c>
      <c r="I114" s="124">
        <v>2.6</v>
      </c>
      <c r="J114" s="123">
        <v>2.6</v>
      </c>
      <c r="K114" s="125">
        <v>2</v>
      </c>
      <c r="L114" s="86"/>
      <c r="N114" s="4"/>
      <c r="O114" s="3"/>
      <c r="P114" s="3"/>
      <c r="Q114" s="3"/>
      <c r="R114" s="3"/>
      <c r="S114" s="3"/>
      <c r="T114" s="3"/>
      <c r="U114" s="3"/>
      <c r="V114" s="3"/>
    </row>
    <row r="115" spans="1:22" x14ac:dyDescent="0.2">
      <c r="A115" s="86"/>
      <c r="B115" s="112">
        <v>125</v>
      </c>
      <c r="C115" s="113">
        <v>141.30000000000001</v>
      </c>
      <c r="D115" s="109"/>
      <c r="E115" s="86"/>
      <c r="F115" s="115" t="s">
        <v>10</v>
      </c>
      <c r="G115" s="122">
        <v>1.8</v>
      </c>
      <c r="H115" s="123">
        <v>1.9</v>
      </c>
      <c r="I115" s="124">
        <v>1.8</v>
      </c>
      <c r="J115" s="123">
        <v>1.9</v>
      </c>
      <c r="K115" s="126">
        <v>1.6</v>
      </c>
      <c r="L115" s="86"/>
      <c r="N115" s="4"/>
      <c r="O115" s="3"/>
      <c r="P115" s="3"/>
      <c r="Q115" s="3"/>
      <c r="R115" s="3"/>
      <c r="S115" s="3"/>
      <c r="T115" s="3"/>
      <c r="U115" s="3"/>
      <c r="V115" s="3"/>
    </row>
    <row r="116" spans="1:22" ht="14.25" customHeight="1" x14ac:dyDescent="0.2">
      <c r="A116" s="86"/>
      <c r="B116" s="112">
        <v>150</v>
      </c>
      <c r="C116" s="113">
        <v>168.3</v>
      </c>
      <c r="D116" s="109"/>
      <c r="E116" s="86"/>
      <c r="F116" s="115" t="s">
        <v>11</v>
      </c>
      <c r="G116" s="122">
        <v>1.6</v>
      </c>
      <c r="H116" s="123">
        <v>1.6</v>
      </c>
      <c r="I116" s="124">
        <v>1.6</v>
      </c>
      <c r="J116" s="123">
        <v>1.6</v>
      </c>
      <c r="K116" s="126">
        <v>1.6</v>
      </c>
      <c r="L116" s="86"/>
      <c r="N116" s="4"/>
      <c r="O116" s="3"/>
      <c r="P116" s="3"/>
      <c r="Q116" s="3"/>
      <c r="R116" s="3"/>
      <c r="S116" s="3"/>
      <c r="T116" s="3"/>
      <c r="U116" s="3"/>
      <c r="V116" s="3"/>
    </row>
    <row r="117" spans="1:22" x14ac:dyDescent="0.2">
      <c r="A117" s="86"/>
      <c r="B117" s="112">
        <v>200</v>
      </c>
      <c r="C117" s="113">
        <v>219.1</v>
      </c>
      <c r="D117" s="109"/>
      <c r="E117" s="109"/>
      <c r="F117" s="115" t="s">
        <v>22</v>
      </c>
      <c r="G117" s="127">
        <v>2.4</v>
      </c>
      <c r="H117" s="128">
        <v>2.6</v>
      </c>
      <c r="I117" s="129">
        <v>2.7</v>
      </c>
      <c r="J117" s="128">
        <v>2.8</v>
      </c>
      <c r="K117" s="130">
        <v>3</v>
      </c>
      <c r="L117" s="86"/>
      <c r="N117" s="4"/>
      <c r="O117" s="3"/>
      <c r="P117" s="3"/>
      <c r="Q117" s="3"/>
      <c r="R117" s="3"/>
      <c r="S117" s="3"/>
      <c r="T117" s="3"/>
      <c r="U117" s="3"/>
      <c r="V117" s="3"/>
    </row>
    <row r="118" spans="1:22" x14ac:dyDescent="0.2">
      <c r="A118" s="86"/>
      <c r="B118" s="112">
        <v>250</v>
      </c>
      <c r="C118" s="113">
        <v>273</v>
      </c>
      <c r="D118" s="109"/>
      <c r="E118" s="131"/>
      <c r="F118" s="131"/>
      <c r="G118" s="109"/>
      <c r="H118" s="109"/>
      <c r="I118" s="109"/>
      <c r="J118" s="132"/>
      <c r="K118" s="109"/>
      <c r="L118" s="86"/>
      <c r="N118" s="4"/>
      <c r="O118" s="3"/>
      <c r="P118" s="3"/>
      <c r="Q118" s="3"/>
      <c r="R118" s="3"/>
      <c r="S118" s="3"/>
      <c r="T118" s="3"/>
      <c r="U118" s="3"/>
      <c r="V118" s="3"/>
    </row>
    <row r="119" spans="1:22" x14ac:dyDescent="0.2">
      <c r="A119" s="86"/>
      <c r="B119" s="112">
        <v>300</v>
      </c>
      <c r="C119" s="113">
        <v>323.89999999999998</v>
      </c>
      <c r="D119" s="109"/>
      <c r="E119" s="109"/>
      <c r="F119" s="109"/>
      <c r="G119" s="109"/>
      <c r="H119" s="109"/>
      <c r="I119" s="109"/>
      <c r="J119" s="132"/>
      <c r="K119" s="109"/>
      <c r="L119" s="86"/>
      <c r="N119" s="4"/>
      <c r="O119" s="3"/>
      <c r="P119" s="3"/>
      <c r="Q119" s="3"/>
      <c r="R119" s="3"/>
      <c r="S119" s="3"/>
      <c r="T119" s="3"/>
      <c r="U119" s="3"/>
      <c r="V119" s="3"/>
    </row>
    <row r="120" spans="1:22" x14ac:dyDescent="0.2">
      <c r="A120" s="86"/>
      <c r="B120" s="112">
        <v>350</v>
      </c>
      <c r="C120" s="113">
        <v>355.6</v>
      </c>
      <c r="D120" s="109"/>
      <c r="E120" s="109"/>
      <c r="F120" s="109"/>
      <c r="G120" s="109"/>
      <c r="H120" s="109"/>
      <c r="I120" s="109"/>
      <c r="J120" s="132"/>
      <c r="K120" s="109"/>
      <c r="L120" s="86"/>
      <c r="N120" s="4"/>
      <c r="O120" s="3"/>
      <c r="P120" s="3"/>
      <c r="Q120" s="3"/>
      <c r="R120" s="3"/>
      <c r="S120" s="3"/>
      <c r="T120" s="3"/>
      <c r="U120" s="3"/>
      <c r="V120" s="3"/>
    </row>
    <row r="121" spans="1:22" x14ac:dyDescent="0.2">
      <c r="A121" s="86"/>
      <c r="B121" s="112">
        <v>400</v>
      </c>
      <c r="C121" s="113">
        <v>406.4</v>
      </c>
      <c r="D121" s="109"/>
      <c r="E121" s="109"/>
      <c r="F121" s="109"/>
      <c r="G121" s="109"/>
      <c r="H121" s="109"/>
      <c r="I121" s="109"/>
      <c r="J121" s="132"/>
      <c r="K121" s="109"/>
      <c r="L121" s="86"/>
      <c r="N121" s="25"/>
      <c r="O121" s="3"/>
      <c r="P121" s="3"/>
      <c r="Q121" s="3"/>
      <c r="R121" s="3"/>
      <c r="S121" s="3"/>
      <c r="T121" s="3"/>
      <c r="U121" s="3"/>
      <c r="V121" s="3"/>
    </row>
    <row r="122" spans="1:22" x14ac:dyDescent="0.2">
      <c r="A122" s="86"/>
      <c r="B122" s="112">
        <v>450</v>
      </c>
      <c r="C122" s="113">
        <v>457.2</v>
      </c>
      <c r="D122" s="109"/>
      <c r="E122" s="109"/>
      <c r="F122" s="109"/>
      <c r="G122" s="109"/>
      <c r="H122" s="109"/>
      <c r="I122" s="109"/>
      <c r="J122" s="132"/>
      <c r="K122" s="109"/>
      <c r="L122" s="86"/>
      <c r="N122" s="25"/>
    </row>
    <row r="123" spans="1:22" x14ac:dyDescent="0.2">
      <c r="A123" s="86"/>
      <c r="B123" s="133">
        <v>500</v>
      </c>
      <c r="C123" s="134">
        <v>508</v>
      </c>
      <c r="D123" s="86"/>
      <c r="E123" s="86"/>
      <c r="F123" s="86"/>
      <c r="G123" s="86"/>
      <c r="H123" s="86"/>
      <c r="I123" s="86"/>
      <c r="J123" s="88"/>
      <c r="K123" s="86"/>
      <c r="L123" s="86"/>
      <c r="N123" s="25"/>
    </row>
    <row r="124" spans="1:22" ht="23.25" customHeight="1" x14ac:dyDescent="0.2">
      <c r="A124" s="86"/>
      <c r="B124" s="135" t="s">
        <v>4</v>
      </c>
      <c r="C124" s="88"/>
      <c r="D124" s="86"/>
      <c r="E124" s="86"/>
      <c r="F124" s="86"/>
      <c r="G124" s="86"/>
      <c r="H124" s="86"/>
      <c r="I124" s="86"/>
      <c r="J124" s="88"/>
      <c r="K124" s="86"/>
      <c r="L124" s="136" t="s">
        <v>54</v>
      </c>
      <c r="N124" s="25"/>
    </row>
    <row r="125" spans="1:22" x14ac:dyDescent="0.2">
      <c r="N125" s="25"/>
    </row>
    <row r="126" spans="1:22" x14ac:dyDescent="0.2">
      <c r="N126" s="25"/>
    </row>
    <row r="127" spans="1:22" x14ac:dyDescent="0.2">
      <c r="N127" s="25"/>
    </row>
    <row r="128" spans="1:22" x14ac:dyDescent="0.2">
      <c r="N128" s="25"/>
    </row>
  </sheetData>
  <sheetProtection sheet="1" objects="1" scenarios="1"/>
  <dataConsolidate/>
  <mergeCells count="19">
    <mergeCell ref="G11:H11"/>
    <mergeCell ref="G109:K109"/>
    <mergeCell ref="B86:C86"/>
    <mergeCell ref="B6:L6"/>
    <mergeCell ref="H9:I9"/>
    <mergeCell ref="B84:C84"/>
    <mergeCell ref="K8:L8"/>
    <mergeCell ref="K9:L9"/>
    <mergeCell ref="B5:L5"/>
    <mergeCell ref="B8:C8"/>
    <mergeCell ref="B9:C9"/>
    <mergeCell ref="E8:F8"/>
    <mergeCell ref="E9:F9"/>
    <mergeCell ref="H8:I8"/>
    <mergeCell ref="E110:F110"/>
    <mergeCell ref="B90:C90"/>
    <mergeCell ref="B94:C94"/>
    <mergeCell ref="B98:C98"/>
    <mergeCell ref="B102:C102"/>
  </mergeCells>
  <conditionalFormatting sqref="L14:L18">
    <cfRule type="expression" dxfId="67" priority="297" stopIfTrue="1">
      <formula>#REF!=1</formula>
    </cfRule>
  </conditionalFormatting>
  <conditionalFormatting sqref="D87">
    <cfRule type="expression" dxfId="66" priority="232" stopIfTrue="1">
      <formula>$D86&gt;550</formula>
    </cfRule>
  </conditionalFormatting>
  <conditionalFormatting sqref="D106">
    <cfRule type="expression" dxfId="65" priority="199" stopIfTrue="1">
      <formula>$Y$106&gt;=1</formula>
    </cfRule>
  </conditionalFormatting>
  <conditionalFormatting sqref="K18 K86">
    <cfRule type="cellIs" dxfId="64" priority="313" stopIfTrue="1" operator="equal">
      <formula>$X$9</formula>
    </cfRule>
  </conditionalFormatting>
  <conditionalFormatting sqref="D18">
    <cfRule type="cellIs" dxfId="63" priority="163" stopIfTrue="1" operator="equal">
      <formula>0</formula>
    </cfRule>
    <cfRule type="cellIs" dxfId="62" priority="164" stopIfTrue="1" operator="lessThan">
      <formula>50</formula>
    </cfRule>
    <cfRule type="cellIs" dxfId="61" priority="165" stopIfTrue="1" operator="greaterThan">
      <formula>550</formula>
    </cfRule>
  </conditionalFormatting>
  <conditionalFormatting sqref="L67">
    <cfRule type="expression" dxfId="60" priority="87" stopIfTrue="1">
      <formula>#REF!=1</formula>
    </cfRule>
  </conditionalFormatting>
  <conditionalFormatting sqref="K67">
    <cfRule type="cellIs" dxfId="59" priority="88" stopIfTrue="1" operator="equal">
      <formula>$X$9</formula>
    </cfRule>
  </conditionalFormatting>
  <conditionalFormatting sqref="L32">
    <cfRule type="expression" dxfId="58" priority="117" stopIfTrue="1">
      <formula>#REF!=1</formula>
    </cfRule>
  </conditionalFormatting>
  <conditionalFormatting sqref="K32">
    <cfRule type="cellIs" dxfId="57" priority="118" stopIfTrue="1" operator="equal">
      <formula>$X$9</formula>
    </cfRule>
  </conditionalFormatting>
  <conditionalFormatting sqref="L25">
    <cfRule type="expression" dxfId="56" priority="112" stopIfTrue="1">
      <formula>#REF!=1</formula>
    </cfRule>
  </conditionalFormatting>
  <conditionalFormatting sqref="K25">
    <cfRule type="cellIs" dxfId="55" priority="113" stopIfTrue="1" operator="equal">
      <formula>$X$9</formula>
    </cfRule>
  </conditionalFormatting>
  <conditionalFormatting sqref="L39">
    <cfRule type="expression" dxfId="54" priority="107" stopIfTrue="1">
      <formula>#REF!=1</formula>
    </cfRule>
  </conditionalFormatting>
  <conditionalFormatting sqref="K39">
    <cfRule type="cellIs" dxfId="53" priority="108" stopIfTrue="1" operator="equal">
      <formula>$X$9</formula>
    </cfRule>
  </conditionalFormatting>
  <conditionalFormatting sqref="L74">
    <cfRule type="expression" dxfId="52" priority="82" stopIfTrue="1">
      <formula>#REF!=1</formula>
    </cfRule>
  </conditionalFormatting>
  <conditionalFormatting sqref="K74">
    <cfRule type="cellIs" dxfId="51" priority="83" stopIfTrue="1" operator="equal">
      <formula>$X$9</formula>
    </cfRule>
  </conditionalFormatting>
  <conditionalFormatting sqref="L53 L46">
    <cfRule type="expression" dxfId="50" priority="97" stopIfTrue="1">
      <formula>#REF!=1</formula>
    </cfRule>
  </conditionalFormatting>
  <conditionalFormatting sqref="K53 K46">
    <cfRule type="cellIs" dxfId="49" priority="98" stopIfTrue="1" operator="equal">
      <formula>$X$9</formula>
    </cfRule>
  </conditionalFormatting>
  <conditionalFormatting sqref="L60">
    <cfRule type="expression" dxfId="48" priority="92" stopIfTrue="1">
      <formula>#REF!=1</formula>
    </cfRule>
  </conditionalFormatting>
  <conditionalFormatting sqref="K60">
    <cfRule type="cellIs" dxfId="47" priority="93" stopIfTrue="1" operator="equal">
      <formula>$X$9</formula>
    </cfRule>
  </conditionalFormatting>
  <conditionalFormatting sqref="D91">
    <cfRule type="expression" dxfId="46" priority="67" stopIfTrue="1">
      <formula>$D90&gt;550</formula>
    </cfRule>
  </conditionalFormatting>
  <conditionalFormatting sqref="K90">
    <cfRule type="cellIs" dxfId="45" priority="68" stopIfTrue="1" operator="equal">
      <formula>$X$9</formula>
    </cfRule>
  </conditionalFormatting>
  <conditionalFormatting sqref="D95">
    <cfRule type="expression" dxfId="44" priority="62" stopIfTrue="1">
      <formula>$D94&gt;550</formula>
    </cfRule>
  </conditionalFormatting>
  <conditionalFormatting sqref="K94">
    <cfRule type="cellIs" dxfId="43" priority="63" stopIfTrue="1" operator="equal">
      <formula>$X$9</formula>
    </cfRule>
  </conditionalFormatting>
  <conditionalFormatting sqref="D99">
    <cfRule type="expression" dxfId="42" priority="57" stopIfTrue="1">
      <formula>$D98&gt;550</formula>
    </cfRule>
  </conditionalFormatting>
  <conditionalFormatting sqref="K98">
    <cfRule type="cellIs" dxfId="41" priority="58" stopIfTrue="1" operator="equal">
      <formula>$X$9</formula>
    </cfRule>
  </conditionalFormatting>
  <conditionalFormatting sqref="D103">
    <cfRule type="expression" dxfId="40" priority="52" stopIfTrue="1">
      <formula>$D102&gt;550</formula>
    </cfRule>
  </conditionalFormatting>
  <conditionalFormatting sqref="K102">
    <cfRule type="cellIs" dxfId="39" priority="53" stopIfTrue="1" operator="equal">
      <formula>$X$9</formula>
    </cfRule>
  </conditionalFormatting>
  <conditionalFormatting sqref="D25">
    <cfRule type="cellIs" dxfId="38" priority="37" stopIfTrue="1" operator="equal">
      <formula>0</formula>
    </cfRule>
    <cfRule type="cellIs" dxfId="37" priority="38" stopIfTrue="1" operator="lessThan">
      <formula>50</formula>
    </cfRule>
    <cfRule type="cellIs" dxfId="36" priority="39" stopIfTrue="1" operator="greaterThan">
      <formula>550</formula>
    </cfRule>
  </conditionalFormatting>
  <conditionalFormatting sqref="D32">
    <cfRule type="cellIs" dxfId="35" priority="34" stopIfTrue="1" operator="equal">
      <formula>0</formula>
    </cfRule>
    <cfRule type="cellIs" dxfId="34" priority="35" stopIfTrue="1" operator="lessThan">
      <formula>50</formula>
    </cfRule>
    <cfRule type="cellIs" dxfId="33" priority="36" stopIfTrue="1" operator="greaterThan">
      <formula>550</formula>
    </cfRule>
  </conditionalFormatting>
  <conditionalFormatting sqref="D39">
    <cfRule type="cellIs" dxfId="32" priority="31" stopIfTrue="1" operator="equal">
      <formula>0</formula>
    </cfRule>
    <cfRule type="cellIs" dxfId="31" priority="32" stopIfTrue="1" operator="lessThan">
      <formula>50</formula>
    </cfRule>
    <cfRule type="cellIs" dxfId="30" priority="33" stopIfTrue="1" operator="greaterThan">
      <formula>550</formula>
    </cfRule>
  </conditionalFormatting>
  <conditionalFormatting sqref="D46">
    <cfRule type="cellIs" dxfId="29" priority="28" stopIfTrue="1" operator="equal">
      <formula>0</formula>
    </cfRule>
    <cfRule type="cellIs" dxfId="28" priority="29" stopIfTrue="1" operator="lessThan">
      <formula>50</formula>
    </cfRule>
    <cfRule type="cellIs" dxfId="27" priority="30" stopIfTrue="1" operator="greaterThan">
      <formula>550</formula>
    </cfRule>
  </conditionalFormatting>
  <conditionalFormatting sqref="D53">
    <cfRule type="cellIs" dxfId="26" priority="25" stopIfTrue="1" operator="equal">
      <formula>0</formula>
    </cfRule>
    <cfRule type="cellIs" dxfId="25" priority="26" stopIfTrue="1" operator="lessThan">
      <formula>50</formula>
    </cfRule>
    <cfRule type="cellIs" dxfId="24" priority="27" stopIfTrue="1" operator="greaterThan">
      <formula>550</formula>
    </cfRule>
  </conditionalFormatting>
  <conditionalFormatting sqref="D60">
    <cfRule type="cellIs" dxfId="23" priority="22" stopIfTrue="1" operator="equal">
      <formula>0</formula>
    </cfRule>
    <cfRule type="cellIs" dxfId="22" priority="23" stopIfTrue="1" operator="lessThan">
      <formula>50</formula>
    </cfRule>
    <cfRule type="cellIs" dxfId="21" priority="24" stopIfTrue="1" operator="greaterThan">
      <formula>550</formula>
    </cfRule>
  </conditionalFormatting>
  <conditionalFormatting sqref="D67">
    <cfRule type="cellIs" dxfId="20" priority="19" stopIfTrue="1" operator="equal">
      <formula>0</formula>
    </cfRule>
    <cfRule type="cellIs" dxfId="19" priority="20" stopIfTrue="1" operator="lessThan">
      <formula>50</formula>
    </cfRule>
    <cfRule type="cellIs" dxfId="18" priority="21" stopIfTrue="1" operator="greaterThan">
      <formula>550</formula>
    </cfRule>
  </conditionalFormatting>
  <conditionalFormatting sqref="D74">
    <cfRule type="cellIs" dxfId="17" priority="16" stopIfTrue="1" operator="equal">
      <formula>0</formula>
    </cfRule>
    <cfRule type="cellIs" dxfId="16" priority="17" stopIfTrue="1" operator="lessThan">
      <formula>50</formula>
    </cfRule>
    <cfRule type="cellIs" dxfId="15" priority="18" stopIfTrue="1" operator="greaterThan">
      <formula>550</formula>
    </cfRule>
  </conditionalFormatting>
  <conditionalFormatting sqref="D86">
    <cfRule type="cellIs" dxfId="14" priority="13" stopIfTrue="1" operator="equal">
      <formula>0</formula>
    </cfRule>
    <cfRule type="cellIs" dxfId="13" priority="14" stopIfTrue="1" operator="lessThan">
      <formula>50</formula>
    </cfRule>
    <cfRule type="cellIs" dxfId="12" priority="15" stopIfTrue="1" operator="greaterThan">
      <formula>550</formula>
    </cfRule>
  </conditionalFormatting>
  <conditionalFormatting sqref="D90">
    <cfRule type="cellIs" dxfId="11" priority="10" stopIfTrue="1" operator="equal">
      <formula>0</formula>
    </cfRule>
    <cfRule type="cellIs" dxfId="10" priority="11" stopIfTrue="1" operator="lessThan">
      <formula>50</formula>
    </cfRule>
    <cfRule type="cellIs" dxfId="9" priority="12" stopIfTrue="1" operator="greaterThan">
      <formula>550</formula>
    </cfRule>
  </conditionalFormatting>
  <conditionalFormatting sqref="D94">
    <cfRule type="cellIs" dxfId="8" priority="7" stopIfTrue="1" operator="equal">
      <formula>0</formula>
    </cfRule>
    <cfRule type="cellIs" dxfId="7" priority="8" stopIfTrue="1" operator="lessThan">
      <formula>50</formula>
    </cfRule>
    <cfRule type="cellIs" dxfId="6" priority="9" stopIfTrue="1" operator="greaterThan">
      <formula>550</formula>
    </cfRule>
  </conditionalFormatting>
  <conditionalFormatting sqref="D98">
    <cfRule type="cellIs" dxfId="5" priority="4" stopIfTrue="1" operator="equal">
      <formula>0</formula>
    </cfRule>
    <cfRule type="cellIs" dxfId="4" priority="5" stopIfTrue="1" operator="lessThan">
      <formula>50</formula>
    </cfRule>
    <cfRule type="cellIs" dxfId="3" priority="6" stopIfTrue="1" operator="greaterThan">
      <formula>550</formula>
    </cfRule>
  </conditionalFormatting>
  <conditionalFormatting sqref="D102">
    <cfRule type="cellIs" dxfId="2" priority="1" stopIfTrue="1" operator="equal">
      <formula>0</formula>
    </cfRule>
    <cfRule type="cellIs" dxfId="1" priority="2" stopIfTrue="1" operator="lessThan">
      <formula>50</formula>
    </cfRule>
    <cfRule type="cellIs" dxfId="0" priority="3" stopIfTrue="1" operator="greaterThan">
      <formula>550</formula>
    </cfRule>
  </conditionalFormatting>
  <dataValidations xWindow="479" yWindow="862" count="5">
    <dataValidation allowBlank="1" showInputMessage="1" showErrorMessage="1" prompt="Het daadwerkelijk aangebracht aantal armaturen._x000a_" sqref="F16" xr:uid="{00000000-0002-0000-0000-000000000000}"/>
    <dataValidation type="textLength" errorStyle="information" operator="equal" allowBlank="1" showInputMessage="1" showErrorMessage="1" error="Het opgegeven referentienummer van het RVO bestaat uit 10 karakters en is opgebouwd als volgt: E2019xxxxx" sqref="G11:H11" xr:uid="{00000000-0002-0000-0000-000001000000}">
      <formula1>10</formula1>
    </dataValidation>
    <dataValidation type="list" allowBlank="1" showInputMessage="1" showErrorMessage="1" sqref="B86 B98 B90 B94 B102" xr:uid="{00000000-0002-0000-0000-000002000000}">
      <formula1>"DN&gt;500,Vlakke plaat"</formula1>
    </dataValidation>
    <dataValidation type="list" allowBlank="1" showInputMessage="1" showErrorMessage="1" sqref="B18 B67 B60 B53 B46 B25 B39 B32 B74" xr:uid="{00000000-0002-0000-0000-000003000000}">
      <formula1>$B$110:$B$123</formula1>
    </dataValidation>
    <dataValidation type="whole" operator="greaterThanOrEqual" allowBlank="1" showInputMessage="1" showErrorMessage="1" errorTitle="Let op:" error="Voer hier alleen hele getallen in. " sqref="D18 D32 D25 D39 D46 D53 D60 D67 D74 D86 D90 D94 D98 D102" xr:uid="{00000000-0002-0000-0000-000004000000}">
      <formula1>0</formula1>
    </dataValidation>
  </dataValidations>
  <pageMargins left="0.23622047244094491" right="0.23622047244094491" top="0.19685039370078741" bottom="0.74803149606299213" header="0.19685039370078741" footer="0.31496062992125984"/>
  <pageSetup paperSize="9" scale="69" fitToHeight="0" orientation="portrait" r:id="rId1"/>
  <ignoredErrors>
    <ignoredError sqref="Q86" formulaRange="1"/>
  </ignoredErrors>
  <drawing r:id="rId2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Formulier EIA code 220409</vt:lpstr>
      <vt:lpstr>'Formulier EIA code 220409'!Afdrukbereik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Formulier aanvullende informatie - Isolatie bestaande procesinstallaties (code 220409) versie energielijst 2024</dc:title>
  <dc:creator>Rijksdienst voor Ondernemend Nederland</dc:creator>
  <cp:lastModifiedBy>Rijksdienst voor Ondernemend Nederland</cp:lastModifiedBy>
  <cp:lastPrinted>2024-01-03T14:04:42Z</cp:lastPrinted>
  <dcterms:created xsi:type="dcterms:W3CDTF">2016-05-25T10:20:27Z</dcterms:created>
  <dcterms:modified xsi:type="dcterms:W3CDTF">2024-01-03T14:16:56Z</dcterms:modified>
</cp:coreProperties>
</file>